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划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Q73" i="70" l="1"/>
  <c r="Q60" i="70"/>
  <c r="D60" i="70"/>
  <c r="Q59" i="70"/>
  <c r="K59" i="70"/>
  <c r="P75" i="70" s="1"/>
  <c r="Q52" i="70"/>
  <c r="J50" i="70"/>
  <c r="M47" i="70"/>
  <c r="F33" i="70"/>
  <c r="F60" i="70" s="1"/>
  <c r="F23" i="70"/>
  <c r="D24" i="70" s="1"/>
  <c r="D23" i="70"/>
  <c r="D22" i="70"/>
  <c r="F21" i="70"/>
  <c r="F20" i="70"/>
  <c r="M19" i="70"/>
  <c r="F18" i="70"/>
  <c r="F17" i="70"/>
  <c r="F15" i="70"/>
  <c r="P62" i="70" l="1"/>
  <c r="D3" i="69" l="1"/>
  <c r="D28" i="69"/>
  <c r="D10" i="69" l="1"/>
  <c r="D2" i="69"/>
  <c r="I48" i="39"/>
  <c r="G48" i="39"/>
  <c r="E48" i="39"/>
  <c r="E9" i="6"/>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F14" i="67"/>
  <c r="E14" i="67"/>
  <c r="F13" i="67"/>
  <c r="B12" i="67"/>
  <c r="B11" i="67"/>
  <c r="B8" i="67"/>
  <c r="B13" i="67"/>
  <c r="E13" i="67"/>
  <c r="F12" i="67"/>
  <c r="E8" i="67"/>
  <c r="F9" i="67"/>
  <c r="F11" i="67"/>
  <c r="E11" i="67"/>
  <c r="F8" i="67"/>
  <c r="F10" i="67"/>
  <c r="E9" i="67"/>
  <c r="E12" i="67"/>
  <c r="B10" i="67"/>
  <c r="B9"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4" i="65"/>
  <c r="I3" i="65"/>
  <c r="J7" i="65"/>
  <c r="J3" i="65"/>
  <c r="I5" i="65"/>
  <c r="J6" i="65"/>
  <c r="N4" i="65"/>
  <c r="N6" i="65"/>
  <c r="I7" i="65"/>
  <c r="I4" i="65"/>
  <c r="J5" i="65"/>
  <c r="I6" i="65"/>
  <c r="N3" i="65"/>
  <c r="N5" i="65"/>
  <c r="E20" i="46" l="1"/>
  <c r="J1" i="65"/>
  <c r="C4" i="65"/>
  <c r="B39" i="1" s="1"/>
  <c r="E3" i="65"/>
  <c r="F11" i="70" l="1"/>
  <c r="M11" i="70"/>
  <c r="J10" i="70" s="1"/>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B128" i="33"/>
  <c r="H45" i="33"/>
  <c r="U45" i="33" s="1"/>
  <c r="B126" i="33"/>
  <c r="B98" i="33"/>
  <c r="B96" i="33"/>
  <c r="F30" i="33" s="1"/>
  <c r="S30" i="33" s="1"/>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E20" i="6" s="1"/>
  <c r="K7" i="1" s="1"/>
  <c r="M7" i="1" s="1"/>
  <c r="O7" i="1" s="1"/>
  <c r="P7" i="1"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H36" i="21"/>
  <c r="U36" i="21" s="1"/>
  <c r="F35" i="21"/>
  <c r="AA35" i="21" s="1"/>
  <c r="J33" i="21"/>
  <c r="W33" i="21" s="1"/>
  <c r="H33" i="21"/>
  <c r="U33" i="21" s="1"/>
  <c r="F33" i="21"/>
  <c r="J10" i="21"/>
  <c r="AC10" i="21" s="1"/>
  <c r="H26" i="21"/>
  <c r="H19" i="21"/>
  <c r="AB19" i="21" s="1"/>
  <c r="J12" i="2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24" i="35"/>
  <c r="W31" i="35"/>
  <c r="F36" i="34"/>
  <c r="S36" i="34" s="1"/>
  <c r="S34" i="34"/>
  <c r="H39" i="33"/>
  <c r="AB39" i="33" s="1"/>
  <c r="U9" i="33"/>
  <c r="W38" i="33"/>
  <c r="S40" i="33"/>
  <c r="S33" i="33"/>
  <c r="W33" i="33"/>
  <c r="U38" i="33"/>
  <c r="S8" i="21"/>
  <c r="W8" i="21"/>
  <c r="AB27" i="35"/>
  <c r="S10" i="40"/>
  <c r="W10" i="40"/>
  <c r="S11" i="40"/>
  <c r="U11" i="40"/>
  <c r="S36" i="40"/>
  <c r="U36" i="40"/>
  <c r="S36" i="39"/>
  <c r="C29" i="39"/>
  <c r="C23" i="39"/>
  <c r="U36" i="39"/>
  <c r="H32" i="33"/>
  <c r="AB32" i="33" s="1"/>
  <c r="F100" i="40"/>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AC34" i="36"/>
  <c r="H29" i="35"/>
  <c r="S34" i="37"/>
  <c r="AC43" i="34"/>
  <c r="AB42" i="34"/>
  <c r="AB40" i="34"/>
  <c r="J19" i="34"/>
  <c r="AC19" i="34" s="1"/>
  <c r="H37" i="33"/>
  <c r="AB37" i="33" s="1"/>
  <c r="W43" i="34"/>
  <c r="W42" i="34"/>
  <c r="AA42" i="34"/>
  <c r="S42" i="34"/>
  <c r="W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J45" i="33"/>
  <c r="W45" i="33" s="1"/>
  <c r="F45" i="33"/>
  <c r="S45" i="33" s="1"/>
  <c r="F11" i="35"/>
  <c r="S11" i="35" s="1"/>
  <c r="H28" i="36"/>
  <c r="U28" i="36" s="1"/>
  <c r="H32" i="36"/>
  <c r="AB32" i="36" s="1"/>
  <c r="J11" i="36"/>
  <c r="W11" i="36" s="1"/>
  <c r="H13" i="36"/>
  <c r="AB13" i="36" s="1"/>
  <c r="J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F27" i="37"/>
  <c r="AA27" i="37" s="1"/>
  <c r="J27" i="37"/>
  <c r="W27" i="37" s="1"/>
  <c r="W46" i="33"/>
  <c r="AB40" i="37"/>
  <c r="J36" i="37"/>
  <c r="AC36" i="37" s="1"/>
  <c r="G105" i="37"/>
  <c r="AB28" i="36"/>
  <c r="AA28" i="21"/>
  <c r="U36" i="37"/>
  <c r="AB45"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W23" i="35"/>
  <c r="AC23" i="37"/>
  <c r="S27"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G167" i="3"/>
  <c r="BA169" i="3"/>
  <c r="BL170" i="3"/>
  <c r="AZ170" i="3" s="1"/>
  <c r="G171" i="3"/>
  <c r="BA173" i="3"/>
  <c r="AZ173" i="3" s="1"/>
  <c r="BL174" i="3"/>
  <c r="AZ174" i="3" s="1"/>
  <c r="G175" i="3"/>
  <c r="BA178" i="3"/>
  <c r="BL179" i="3"/>
  <c r="AZ179" i="3" s="1"/>
  <c r="G180" i="3"/>
  <c r="AZ23" i="3"/>
  <c r="AZ31" i="3"/>
  <c r="AZ39" i="3"/>
  <c r="AZ47" i="3"/>
  <c r="G537" i="3"/>
  <c r="BL181" i="3"/>
  <c r="G182" i="3"/>
  <c r="BA184" i="3"/>
  <c r="BL185" i="3"/>
  <c r="G186" i="3"/>
  <c r="BA188" i="3"/>
  <c r="BL189" i="3"/>
  <c r="G190" i="3"/>
  <c r="BA192" i="3"/>
  <c r="BL193" i="3"/>
  <c r="G194" i="3"/>
  <c r="BA196" i="3"/>
  <c r="BL197" i="3"/>
  <c r="G198" i="3"/>
  <c r="BA200" i="3"/>
  <c r="BL201" i="3"/>
  <c r="AZ74" i="3"/>
  <c r="AZ94" i="3"/>
  <c r="AZ110" i="3"/>
  <c r="G491" i="3"/>
  <c r="BA298" i="3"/>
  <c r="AZ298" i="3" s="1"/>
  <c r="BA299" i="3"/>
  <c r="AZ299" i="3" s="1"/>
  <c r="BL299" i="3"/>
  <c r="G300" i="3"/>
  <c r="G303" i="3"/>
  <c r="BL304" i="3"/>
  <c r="BA306" i="3"/>
  <c r="AZ306" i="3" s="1"/>
  <c r="BA307" i="3"/>
  <c r="BL307" i="3"/>
  <c r="G308" i="3"/>
  <c r="G319" i="3"/>
  <c r="BL320" i="3"/>
  <c r="BA322" i="3"/>
  <c r="AZ322" i="3" s="1"/>
  <c r="BA323" i="3"/>
  <c r="BL323" i="3"/>
  <c r="G324" i="3"/>
  <c r="G327" i="3"/>
  <c r="BL328" i="3"/>
  <c r="BA330" i="3"/>
  <c r="AZ330" i="3" s="1"/>
  <c r="BA331" i="3"/>
  <c r="AZ331" i="3" s="1"/>
  <c r="BL331" i="3"/>
  <c r="G332" i="3"/>
  <c r="G335" i="3"/>
  <c r="BL336" i="3"/>
  <c r="BA338" i="3"/>
  <c r="BA339" i="3"/>
  <c r="AZ339" i="3" s="1"/>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66" i="3"/>
  <c r="AZ203" i="3"/>
  <c r="G523" i="3"/>
  <c r="BL297" i="3"/>
  <c r="G298" i="3"/>
  <c r="BA300" i="3"/>
  <c r="BL301" i="3"/>
  <c r="G302" i="3"/>
  <c r="BA304" i="3"/>
  <c r="AZ304" i="3" s="1"/>
  <c r="BL305" i="3"/>
  <c r="AZ305" i="3" s="1"/>
  <c r="G306" i="3"/>
  <c r="BA308" i="3"/>
  <c r="BL309" i="3"/>
  <c r="G310" i="3"/>
  <c r="BA310" i="3"/>
  <c r="BL311" i="3"/>
  <c r="G312" i="3"/>
  <c r="BA312" i="3"/>
  <c r="AZ312" i="3" s="1"/>
  <c r="BL313" i="3"/>
  <c r="G314" i="3"/>
  <c r="BA314" i="3"/>
  <c r="BL315" i="3"/>
  <c r="G316" i="3"/>
  <c r="BA316" i="3"/>
  <c r="AZ316" i="3" s="1"/>
  <c r="BL317" i="3"/>
  <c r="G318" i="3"/>
  <c r="BA320" i="3"/>
  <c r="BL321" i="3"/>
  <c r="G322" i="3"/>
  <c r="BA324" i="3"/>
  <c r="AZ324" i="3" s="1"/>
  <c r="BL325" i="3"/>
  <c r="G326" i="3"/>
  <c r="BA328" i="3"/>
  <c r="BL329" i="3"/>
  <c r="AZ329" i="3" s="1"/>
  <c r="G330" i="3"/>
  <c r="BA332" i="3"/>
  <c r="BL333" i="3"/>
  <c r="G334" i="3"/>
  <c r="BA336" i="3"/>
  <c r="BL337" i="3"/>
  <c r="AZ337" i="3" s="1"/>
  <c r="G338" i="3"/>
  <c r="BA340" i="3"/>
  <c r="AZ340" i="3" s="1"/>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7" i="3" s="1"/>
  <c r="AZ205" i="3"/>
  <c r="AZ209" i="3"/>
  <c r="AZ221" i="3"/>
  <c r="AZ225" i="3"/>
  <c r="G368" i="3"/>
  <c r="BA370" i="3"/>
  <c r="BL371" i="3"/>
  <c r="G372" i="3"/>
  <c r="BA374" i="3"/>
  <c r="AZ374" i="3" s="1"/>
  <c r="BL375" i="3"/>
  <c r="G376" i="3"/>
  <c r="BA378" i="3"/>
  <c r="AZ378" i="3" s="1"/>
  <c r="BL379" i="3"/>
  <c r="AZ379" i="3" s="1"/>
  <c r="G380" i="3"/>
  <c r="BA382" i="3"/>
  <c r="BL383" i="3"/>
  <c r="G384" i="3"/>
  <c r="AZ253" i="3"/>
  <c r="AZ257" i="3"/>
  <c r="AZ383" i="3"/>
  <c r="AZ290" i="3"/>
  <c r="AZ295" i="3"/>
  <c r="AZ311" i="3"/>
  <c r="AZ319" i="3"/>
  <c r="AZ351" i="3"/>
  <c r="AZ369" i="3"/>
  <c r="AZ390" i="3"/>
  <c r="AZ398" i="3"/>
  <c r="AZ434" i="3"/>
  <c r="AZ438"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08" i="3"/>
  <c r="AC29" i="33"/>
  <c r="AA45" i="33"/>
  <c r="AC11" i="36"/>
  <c r="AC10" i="36"/>
  <c r="AB45" i="34"/>
  <c r="AB35" i="35"/>
  <c r="S25" i="35"/>
  <c r="W44" i="33"/>
  <c r="AC30" i="33"/>
  <c r="W30" i="33"/>
  <c r="AC29" i="37"/>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c r="BA526" i="3"/>
  <c r="BA525" i="3"/>
  <c r="AZ525" i="3" s="1"/>
  <c r="BL523" i="3"/>
  <c r="BA523" i="3"/>
  <c r="BL522" i="3"/>
  <c r="BA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B41" i="1"/>
  <c r="F34" i="44" s="1"/>
  <c r="J42" i="40"/>
  <c r="AC42" i="40" s="1"/>
  <c r="J40" i="40"/>
  <c r="AC40" i="40" s="1"/>
  <c r="J34" i="40"/>
  <c r="AC34" i="40" s="1"/>
  <c r="H16" i="40"/>
  <c r="AB16" i="40" s="1"/>
  <c r="H14" i="40"/>
  <c r="U14" i="40" s="1"/>
  <c r="F32" i="40"/>
  <c r="AA32" i="40" s="1"/>
  <c r="AZ436" i="3"/>
  <c r="M1" i="46"/>
  <c r="M6" i="46"/>
  <c r="M10" i="46"/>
  <c r="N2" i="46"/>
  <c r="N5" i="46"/>
  <c r="F58" i="46" s="1"/>
  <c r="F47" i="46"/>
  <c r="H49" i="46" s="1"/>
  <c r="N7" i="46"/>
  <c r="AZ469" i="3"/>
  <c r="AZ474" i="3"/>
  <c r="AZ207" i="3"/>
  <c r="AZ223" i="3"/>
  <c r="AZ228" i="3"/>
  <c r="AZ255" i="3"/>
  <c r="AZ260" i="3"/>
  <c r="AZ289" i="3"/>
  <c r="AZ292" i="3"/>
  <c r="AZ140" i="3"/>
  <c r="M7" i="46"/>
  <c r="M11" i="46"/>
  <c r="N3" i="46"/>
  <c r="N6" i="46"/>
  <c r="N10" i="46"/>
  <c r="AZ164" i="3"/>
  <c r="AZ24" i="3"/>
  <c r="AZ40" i="3"/>
  <c r="H47" i="46"/>
  <c r="J13" i="40"/>
  <c r="W13" i="40" s="1"/>
  <c r="AB14" i="40"/>
  <c r="W40" i="40"/>
  <c r="F66" i="9"/>
  <c r="P72" i="9" s="1"/>
  <c r="AC14" i="40"/>
  <c r="S33" i="40"/>
  <c r="AB32" i="40"/>
  <c r="AC47" i="39"/>
  <c r="S47" i="39"/>
  <c r="AB25" i="39"/>
  <c r="U37" i="34"/>
  <c r="AB37" i="34"/>
  <c r="AC41" i="40"/>
  <c r="W41" i="40"/>
  <c r="U41" i="40"/>
  <c r="J23" i="40"/>
  <c r="AC23" i="40" s="1"/>
  <c r="F23" i="40"/>
  <c r="S23" i="40" s="1"/>
  <c r="AC15" i="40"/>
  <c r="W15" i="40"/>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97" i="3"/>
  <c r="AZ530" i="3"/>
  <c r="AZ548"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C20" i="43"/>
  <c r="E2" i="65"/>
  <c r="W35" i="40" l="1"/>
  <c r="F72" i="9"/>
  <c r="F27" i="43"/>
  <c r="F28" i="70"/>
  <c r="M18" i="70"/>
  <c r="F32" i="70"/>
  <c r="F59" i="70" s="1"/>
  <c r="AZ490" i="3"/>
  <c r="AZ499" i="3"/>
  <c r="S38" i="37"/>
  <c r="AA38" i="37"/>
  <c r="U13" i="35"/>
  <c r="AB13" i="35"/>
  <c r="U13" i="21"/>
  <c r="AB13" i="21"/>
  <c r="AB33" i="33"/>
  <c r="U33" i="33"/>
  <c r="AA38" i="33"/>
  <c r="S38" i="33"/>
  <c r="U27" i="33"/>
  <c r="AB27" i="33"/>
  <c r="H28" i="33"/>
  <c r="J28" i="33"/>
  <c r="J26" i="33"/>
  <c r="AC26" i="33" s="1"/>
  <c r="F26" i="33"/>
  <c r="AA26" i="33" s="1"/>
  <c r="AC8" i="34"/>
  <c r="W8" i="34"/>
  <c r="J9" i="34"/>
  <c r="F9" i="34"/>
  <c r="AA9" i="34" s="1"/>
  <c r="S28" i="34"/>
  <c r="AA28" i="34"/>
  <c r="AB34" i="35"/>
  <c r="U34" i="35"/>
  <c r="H14" i="33"/>
  <c r="U14" i="33" s="1"/>
  <c r="J14" i="33"/>
  <c r="AC14" i="33" s="1"/>
  <c r="J34" i="35"/>
  <c r="AC34" i="35" s="1"/>
  <c r="F34" i="35"/>
  <c r="AC23" i="36"/>
  <c r="W23" i="36"/>
  <c r="AB26" i="36"/>
  <c r="U26" i="36"/>
  <c r="J24" i="36"/>
  <c r="H24" i="36"/>
  <c r="F32" i="36"/>
  <c r="S32" i="36" s="1"/>
  <c r="J32" i="36"/>
  <c r="AB29" i="36"/>
  <c r="U29" i="36"/>
  <c r="H14" i="37"/>
  <c r="F14" i="37"/>
  <c r="AA14" i="37" s="1"/>
  <c r="J14" i="37"/>
  <c r="J39" i="37"/>
  <c r="H39" i="37"/>
  <c r="AZ504" i="3"/>
  <c r="AZ506" i="3"/>
  <c r="AZ513" i="3"/>
  <c r="AZ515" i="3"/>
  <c r="AZ522" i="3"/>
  <c r="AZ552" i="3"/>
  <c r="AZ362" i="3"/>
  <c r="AZ352" i="3"/>
  <c r="AZ344" i="3"/>
  <c r="AZ336" i="3"/>
  <c r="AZ328" i="3"/>
  <c r="AZ320" i="3"/>
  <c r="AZ300" i="3"/>
  <c r="AZ338" i="3"/>
  <c r="AZ307" i="3"/>
  <c r="AZ363" i="3"/>
  <c r="AZ361" i="3"/>
  <c r="U31" i="37"/>
  <c r="AA23" i="37"/>
  <c r="AZ520" i="3"/>
  <c r="AZ551" i="3"/>
  <c r="AZ569" i="3"/>
  <c r="AB31" i="21"/>
  <c r="W35" i="35"/>
  <c r="AB30" i="33"/>
  <c r="U30" i="33"/>
  <c r="W13" i="36"/>
  <c r="AC13" i="36"/>
  <c r="U31" i="33"/>
  <c r="AB31" i="33"/>
  <c r="AA22" i="35"/>
  <c r="S22" i="35"/>
  <c r="AA12" i="33"/>
  <c r="F12" i="21"/>
  <c r="H12" i="21"/>
  <c r="J14" i="21"/>
  <c r="H14" i="21"/>
  <c r="H30" i="21"/>
  <c r="J30" i="21"/>
  <c r="H46" i="21"/>
  <c r="F46" i="21"/>
  <c r="E81" i="21"/>
  <c r="F81" i="21" s="1"/>
  <c r="G81" i="21" s="1"/>
  <c r="F19" i="21"/>
  <c r="J19" i="21"/>
  <c r="W19" i="21" s="1"/>
  <c r="E106" i="21"/>
  <c r="F106" i="21" s="1"/>
  <c r="G106" i="21" s="1"/>
  <c r="H106" i="21" s="1"/>
  <c r="I106" i="21" s="1"/>
  <c r="J106" i="21" s="1"/>
  <c r="K106" i="21" s="1"/>
  <c r="L106" i="21" s="1"/>
  <c r="M106" i="21" s="1"/>
  <c r="H34" i="21"/>
  <c r="J34" i="21"/>
  <c r="W34" i="21" s="1"/>
  <c r="J12" i="33"/>
  <c r="W12" i="33" s="1"/>
  <c r="AC40" i="33"/>
  <c r="W40" i="33"/>
  <c r="H9" i="34"/>
  <c r="AC39" i="34"/>
  <c r="W39" i="34"/>
  <c r="AC36" i="35"/>
  <c r="W36" i="35"/>
  <c r="H9" i="35"/>
  <c r="AB9" i="35" s="1"/>
  <c r="J9" i="35"/>
  <c r="W9" i="35" s="1"/>
  <c r="F31" i="33"/>
  <c r="J31" i="33"/>
  <c r="AC31" i="33" s="1"/>
  <c r="AA46" i="33"/>
  <c r="S46" i="33"/>
  <c r="H13" i="34"/>
  <c r="U13" i="34" s="1"/>
  <c r="F13" i="34"/>
  <c r="AA13" i="34" s="1"/>
  <c r="J31" i="34"/>
  <c r="F31" i="34"/>
  <c r="S31" i="34" s="1"/>
  <c r="H47" i="34"/>
  <c r="U47" i="34" s="1"/>
  <c r="J47" i="34"/>
  <c r="AC47" i="34" s="1"/>
  <c r="J12" i="36"/>
  <c r="F12" i="36"/>
  <c r="S12" i="36" s="1"/>
  <c r="H34" i="36"/>
  <c r="F34" i="36"/>
  <c r="S34" i="36" s="1"/>
  <c r="AB30" i="37"/>
  <c r="U30" i="37"/>
  <c r="F28" i="37"/>
  <c r="AA28" i="37" s="1"/>
  <c r="H28" i="37"/>
  <c r="U28" i="37" s="1"/>
  <c r="H25" i="37"/>
  <c r="U25" i="37" s="1"/>
  <c r="J25" i="37"/>
  <c r="S37" i="33"/>
  <c r="U34" i="37"/>
  <c r="F86" i="40"/>
  <c r="G86" i="40" s="1"/>
  <c r="G572" i="3"/>
  <c r="G570" i="3"/>
  <c r="G13" i="3"/>
  <c r="W41" i="33"/>
  <c r="G569" i="3"/>
  <c r="G564" i="3"/>
  <c r="G551" i="3"/>
  <c r="G543" i="3"/>
  <c r="G541" i="3"/>
  <c r="G531" i="3"/>
  <c r="G520" i="3"/>
  <c r="G519" i="3"/>
  <c r="G504" i="3"/>
  <c r="G503" i="3"/>
  <c r="G500" i="3"/>
  <c r="G497" i="3"/>
  <c r="G482" i="3"/>
  <c r="G481" i="3"/>
  <c r="G19" i="3"/>
  <c r="F34" i="15"/>
  <c r="F61" i="15" s="1"/>
  <c r="M20" i="70"/>
  <c r="F34" i="70"/>
  <c r="C92" i="9"/>
  <c r="G393" i="3"/>
  <c r="BL394" i="3"/>
  <c r="G395" i="3"/>
  <c r="G398" i="3"/>
  <c r="G400" i="3"/>
  <c r="BL401" i="3"/>
  <c r="G402" i="3"/>
  <c r="G404" i="3"/>
  <c r="BA405" i="3"/>
  <c r="BL405" i="3"/>
  <c r="BA406" i="3"/>
  <c r="AZ406" i="3" s="1"/>
  <c r="BA407" i="3"/>
  <c r="AZ407" i="3" s="1"/>
  <c r="BL409" i="3"/>
  <c r="G410" i="3"/>
  <c r="BA411" i="3"/>
  <c r="BL411" i="3"/>
  <c r="BA412" i="3"/>
  <c r="AZ412" i="3" s="1"/>
  <c r="BA414" i="3"/>
  <c r="AZ414" i="3" s="1"/>
  <c r="BL414" i="3"/>
  <c r="BL416" i="3"/>
  <c r="G417" i="3"/>
  <c r="G419" i="3"/>
  <c r="BA420" i="3"/>
  <c r="BL420" i="3"/>
  <c r="BA421" i="3"/>
  <c r="AZ421" i="3" s="1"/>
  <c r="BA422" i="3"/>
  <c r="AZ422" i="3" s="1"/>
  <c r="BA423" i="3"/>
  <c r="AZ423" i="3" s="1"/>
  <c r="BL425" i="3"/>
  <c r="G426" i="3"/>
  <c r="BA427" i="3"/>
  <c r="BL427" i="3"/>
  <c r="BL429" i="3"/>
  <c r="G430" i="3"/>
  <c r="BL431" i="3"/>
  <c r="G432" i="3"/>
  <c r="G434"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G212" i="3"/>
  <c r="BL212" i="3"/>
  <c r="AZ212" i="3" s="1"/>
  <c r="BL214" i="3"/>
  <c r="G215" i="3"/>
  <c r="BA216" i="3"/>
  <c r="BL216" i="3"/>
  <c r="BL218" i="3"/>
  <c r="G219" i="3"/>
  <c r="G221" i="3"/>
  <c r="G225" i="3"/>
  <c r="G228" i="3"/>
  <c r="G230" i="3"/>
  <c r="BL231" i="3"/>
  <c r="G232" i="3"/>
  <c r="G234" i="3"/>
  <c r="BA235" i="3"/>
  <c r="BL235" i="3"/>
  <c r="BA237" i="3"/>
  <c r="AZ237" i="3" s="1"/>
  <c r="BL237" i="3"/>
  <c r="BA238" i="3"/>
  <c r="AZ238" i="3" s="1"/>
  <c r="BA239" i="3"/>
  <c r="AZ239" i="3" s="1"/>
  <c r="BA241" i="3"/>
  <c r="AZ241" i="3" s="1"/>
  <c r="BL241" i="3"/>
  <c r="BA242" i="3"/>
  <c r="AZ242" i="3" s="1"/>
  <c r="BA244" i="3"/>
  <c r="BL244" i="3"/>
  <c r="BL246" i="3"/>
  <c r="G247" i="3"/>
  <c r="BA248" i="3"/>
  <c r="BL248" i="3"/>
  <c r="BL250" i="3"/>
  <c r="G251" i="3"/>
  <c r="G253" i="3"/>
  <c r="G257" i="3"/>
  <c r="G260" i="3"/>
  <c r="G262" i="3"/>
  <c r="BL263" i="3"/>
  <c r="G264" i="3"/>
  <c r="G266" i="3"/>
  <c r="BA267" i="3"/>
  <c r="BL267" i="3"/>
  <c r="BL269" i="3"/>
  <c r="G270" i="3"/>
  <c r="BA271" i="3"/>
  <c r="BL271" i="3"/>
  <c r="BA272" i="3"/>
  <c r="AZ272" i="3" s="1"/>
  <c r="BA273" i="3"/>
  <c r="AZ273" i="3" s="1"/>
  <c r="BA274" i="3"/>
  <c r="AZ274" i="3" s="1"/>
  <c r="BA276" i="3"/>
  <c r="BL276" i="3"/>
  <c r="BL277" i="3"/>
  <c r="G278" i="3"/>
  <c r="BA279" i="3"/>
  <c r="BL279" i="3"/>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AZ175" i="3" s="1"/>
  <c r="BL175" i="3"/>
  <c r="BA176" i="3"/>
  <c r="AZ176" i="3" s="1"/>
  <c r="BA177" i="3"/>
  <c r="AZ177" i="3" s="1"/>
  <c r="BL178" i="3"/>
  <c r="AZ178" i="3" s="1"/>
  <c r="BA181" i="3"/>
  <c r="AZ181" i="3" s="1"/>
  <c r="BL183" i="3"/>
  <c r="G184" i="3"/>
  <c r="BA185" i="3"/>
  <c r="AZ185" i="3" s="1"/>
  <c r="BL187" i="3"/>
  <c r="G188" i="3"/>
  <c r="BA189" i="3"/>
  <c r="AZ189" i="3" s="1"/>
  <c r="BL191" i="3"/>
  <c r="G192" i="3"/>
  <c r="BA193" i="3"/>
  <c r="AZ193" i="3" s="1"/>
  <c r="BL195" i="3"/>
  <c r="G196" i="3"/>
  <c r="BA197" i="3"/>
  <c r="AZ197" i="3" s="1"/>
  <c r="BL199" i="3"/>
  <c r="G200" i="3"/>
  <c r="BA201" i="3"/>
  <c r="AZ201" i="3" s="1"/>
  <c r="G203" i="3"/>
  <c r="G26" i="3"/>
  <c r="BL27" i="3"/>
  <c r="G28" i="3"/>
  <c r="G31" i="3"/>
  <c r="G33" i="3"/>
  <c r="BA34" i="3"/>
  <c r="BL34" i="3"/>
  <c r="BL36" i="3"/>
  <c r="G37" i="3"/>
  <c r="G42" i="3"/>
  <c r="BL43" i="3"/>
  <c r="I21" i="57"/>
  <c r="D1" i="57"/>
  <c r="E10" i="57" s="1"/>
  <c r="G44" i="3"/>
  <c r="G47" i="3"/>
  <c r="G49" i="3"/>
  <c r="BA50" i="3"/>
  <c r="AZ50" i="3" s="1"/>
  <c r="BL50" i="3"/>
  <c r="BL52" i="3"/>
  <c r="G53" i="3"/>
  <c r="BL55" i="3"/>
  <c r="G56" i="3"/>
  <c r="BA57" i="3"/>
  <c r="BL57" i="3"/>
  <c r="BA58" i="3"/>
  <c r="AZ58" i="3" s="1"/>
  <c r="BA59" i="3"/>
  <c r="AZ59" i="3" s="1"/>
  <c r="BL61" i="3"/>
  <c r="G62" i="3"/>
  <c r="G64" i="3"/>
  <c r="BA65" i="3"/>
  <c r="BL65" i="3"/>
  <c r="BA67" i="3"/>
  <c r="AZ67" i="3" s="1"/>
  <c r="BL69" i="3"/>
  <c r="G70" i="3"/>
  <c r="BL71" i="3"/>
  <c r="G72" i="3"/>
  <c r="G76" i="3"/>
  <c r="BA77" i="3"/>
  <c r="BL77" i="3"/>
  <c r="BA79" i="3"/>
  <c r="BL79" i="3"/>
  <c r="BA80" i="3"/>
  <c r="AZ80" i="3" s="1"/>
  <c r="BA82" i="3"/>
  <c r="AZ82" i="3" s="1"/>
  <c r="BL82" i="3"/>
  <c r="BA83" i="3"/>
  <c r="AZ83" i="3" s="1"/>
  <c r="BA84" i="3"/>
  <c r="AZ84" i="3" s="1"/>
  <c r="BA86" i="3"/>
  <c r="AZ86" i="3" s="1"/>
  <c r="BL86" i="3"/>
  <c r="G87" i="3"/>
  <c r="BL89" i="3"/>
  <c r="G90" i="3"/>
  <c r="BL91" i="3"/>
  <c r="G92" i="3"/>
  <c r="G96" i="3"/>
  <c r="BA97" i="3"/>
  <c r="BL97" i="3"/>
  <c r="BA99" i="3"/>
  <c r="AZ99" i="3" s="1"/>
  <c r="BL99" i="3"/>
  <c r="BA100" i="3"/>
  <c r="AZ100" i="3" s="1"/>
  <c r="BA102" i="3"/>
  <c r="BL102" i="3"/>
  <c r="BA103" i="3"/>
  <c r="AZ103" i="3" s="1"/>
  <c r="BL105" i="3"/>
  <c r="G106" i="3"/>
  <c r="BL107" i="3"/>
  <c r="G108" i="3"/>
  <c r="BA112" i="3"/>
  <c r="AZ112" i="3" s="1"/>
  <c r="BL112" i="3"/>
  <c r="G1" i="70"/>
  <c r="C42" i="1"/>
  <c r="J51" i="70"/>
  <c r="D9" i="12"/>
  <c r="AZ560" i="3"/>
  <c r="AZ486" i="3"/>
  <c r="AZ489" i="3"/>
  <c r="AZ496" i="3"/>
  <c r="AZ507" i="3"/>
  <c r="AZ510" i="3"/>
  <c r="AZ523" i="3"/>
  <c r="AZ514" i="3"/>
  <c r="AZ484" i="3"/>
  <c r="AZ550" i="3"/>
  <c r="BA570" i="3"/>
  <c r="AZ570" i="3" s="1"/>
  <c r="BG5" i="3"/>
  <c r="G567" i="3"/>
  <c r="G563" i="3"/>
  <c r="G552" i="3"/>
  <c r="G547" i="3"/>
  <c r="G536" i="3"/>
  <c r="G535" i="3"/>
  <c r="AZ529" i="3"/>
  <c r="AZ370" i="3"/>
  <c r="AZ381" i="3"/>
  <c r="AZ372" i="3"/>
  <c r="AZ359" i="3"/>
  <c r="AZ323" i="3"/>
  <c r="AZ343" i="3"/>
  <c r="AZ327" i="3"/>
  <c r="AZ493" i="3"/>
  <c r="AZ526" i="3"/>
  <c r="AZ534" i="3"/>
  <c r="AZ544" i="3"/>
  <c r="AZ542" i="3"/>
  <c r="AZ572" i="3"/>
  <c r="AZ557" i="3"/>
  <c r="BF5" i="3"/>
  <c r="G532" i="3"/>
  <c r="G524" i="3"/>
  <c r="G512" i="3"/>
  <c r="G505" i="3"/>
  <c r="G390" i="3"/>
  <c r="G391" i="3"/>
  <c r="G392" i="3"/>
  <c r="BL392" i="3"/>
  <c r="AZ392" i="3" s="1"/>
  <c r="BA393" i="3"/>
  <c r="AZ393" i="3" s="1"/>
  <c r="BA394" i="3"/>
  <c r="AZ394" i="3" s="1"/>
  <c r="G397" i="3"/>
  <c r="BL397" i="3"/>
  <c r="BL399" i="3"/>
  <c r="AZ399" i="3" s="1"/>
  <c r="BA400" i="3"/>
  <c r="AZ400" i="3" s="1"/>
  <c r="BA401" i="3"/>
  <c r="AZ401" i="3" s="1"/>
  <c r="BL403" i="3"/>
  <c r="AZ403" i="3" s="1"/>
  <c r="BA404" i="3"/>
  <c r="AZ404" i="3" s="1"/>
  <c r="G407" i="3"/>
  <c r="G408" i="3"/>
  <c r="BL408" i="3"/>
  <c r="AZ408" i="3" s="1"/>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BA277" i="3"/>
  <c r="AZ277" i="3" s="1"/>
  <c r="BA278" i="3"/>
  <c r="AZ278" i="3" s="1"/>
  <c r="BA280" i="3"/>
  <c r="AZ280" i="3" s="1"/>
  <c r="BA281" i="3"/>
  <c r="AZ281" i="3" s="1"/>
  <c r="BA282" i="3"/>
  <c r="AZ282" i="3" s="1"/>
  <c r="BL284" i="3"/>
  <c r="AZ284" i="3" s="1"/>
  <c r="BA285" i="3"/>
  <c r="AZ285" i="3" s="1"/>
  <c r="BA286" i="3"/>
  <c r="AZ286" i="3" s="1"/>
  <c r="G289" i="3"/>
  <c r="G290" i="3"/>
  <c r="G291" i="3"/>
  <c r="BL291" i="3"/>
  <c r="AZ291" i="3" s="1"/>
  <c r="G294" i="3"/>
  <c r="BL294" i="3"/>
  <c r="G113" i="3"/>
  <c r="BL113" i="3"/>
  <c r="G495" i="3"/>
  <c r="G486" i="3"/>
  <c r="AZ397" i="3"/>
  <c r="AZ413" i="3"/>
  <c r="AZ437" i="3"/>
  <c r="AZ451" i="3"/>
  <c r="AZ457" i="3"/>
  <c r="AZ470" i="3"/>
  <c r="AZ473" i="3"/>
  <c r="AZ334" i="3"/>
  <c r="AZ208" i="3"/>
  <c r="AZ211" i="3"/>
  <c r="AZ240" i="3"/>
  <c r="AZ243" i="3"/>
  <c r="AZ256"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AZ204" i="3"/>
  <c r="BL21" i="3"/>
  <c r="G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AZ132" i="3"/>
  <c r="G202" i="3"/>
  <c r="BL202" i="3"/>
  <c r="AZ202" i="3" s="1"/>
  <c r="BA55" i="3"/>
  <c r="AZ55" i="3" s="1"/>
  <c r="BA56" i="3"/>
  <c r="AZ56" i="3" s="1"/>
  <c r="G59" i="3"/>
  <c r="G60" i="3"/>
  <c r="BL60" i="3"/>
  <c r="BA61" i="3"/>
  <c r="AZ61" i="3" s="1"/>
  <c r="BL63" i="3"/>
  <c r="AZ63" i="3" s="1"/>
  <c r="BA64" i="3"/>
  <c r="AZ64" i="3" s="1"/>
  <c r="BL66" i="3"/>
  <c r="AZ66" i="3" s="1"/>
  <c r="G68" i="3"/>
  <c r="BL68" i="3"/>
  <c r="BA69" i="3"/>
  <c r="AZ69" i="3" s="1"/>
  <c r="BA70" i="3"/>
  <c r="AZ70" i="3" s="1"/>
  <c r="BA71" i="3"/>
  <c r="AZ71" i="3" s="1"/>
  <c r="G74" i="3"/>
  <c r="G75" i="3"/>
  <c r="BL75" i="3"/>
  <c r="AZ75" i="3" s="1"/>
  <c r="BA76" i="3"/>
  <c r="AZ76" i="3" s="1"/>
  <c r="BL78" i="3"/>
  <c r="AZ78" i="3" s="1"/>
  <c r="G81" i="3"/>
  <c r="BL81" i="3"/>
  <c r="G84" i="3"/>
  <c r="G85" i="3"/>
  <c r="BL85" i="3"/>
  <c r="BL88" i="3"/>
  <c r="BA89" i="3"/>
  <c r="AZ89" i="3" s="1"/>
  <c r="BA90" i="3"/>
  <c r="AZ90" i="3" s="1"/>
  <c r="BA91" i="3"/>
  <c r="AZ91" i="3" s="1"/>
  <c r="G94" i="3"/>
  <c r="G95" i="3"/>
  <c r="BL95" i="3"/>
  <c r="AZ95" i="3" s="1"/>
  <c r="BA96" i="3"/>
  <c r="AZ96" i="3" s="1"/>
  <c r="BL98" i="3"/>
  <c r="AZ98" i="3" s="1"/>
  <c r="G101" i="3"/>
  <c r="BL101" i="3"/>
  <c r="G104" i="3"/>
  <c r="BL104" i="3"/>
  <c r="AZ104" i="3" s="1"/>
  <c r="BA105" i="3"/>
  <c r="AZ105" i="3" s="1"/>
  <c r="BA106" i="3"/>
  <c r="AZ106" i="3" s="1"/>
  <c r="BA107" i="3"/>
  <c r="AZ107" i="3" s="1"/>
  <c r="G110" i="3"/>
  <c r="G111" i="3"/>
  <c r="AZ60" i="3"/>
  <c r="AZ81" i="3"/>
  <c r="AZ85" i="3"/>
  <c r="AZ87" i="3"/>
  <c r="AZ101" i="3"/>
  <c r="AZ111" i="3"/>
  <c r="A14" i="55"/>
  <c r="B65" i="63" s="1"/>
  <c r="A11" i="55"/>
  <c r="B62" i="63" s="1"/>
  <c r="U39" i="21"/>
  <c r="S43" i="39"/>
  <c r="AZ502" i="3"/>
  <c r="BI5" i="3"/>
  <c r="AZ395"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AZ279" i="3"/>
  <c r="AZ283" i="3"/>
  <c r="AZ287" i="3"/>
  <c r="AZ294" i="3"/>
  <c r="AZ113" i="3"/>
  <c r="AZ116" i="3"/>
  <c r="AZ129" i="3"/>
  <c r="AZ145" i="3"/>
  <c r="AZ148" i="3"/>
  <c r="AZ25" i="3"/>
  <c r="AZ30" i="3"/>
  <c r="AZ41" i="3"/>
  <c r="AZ46" i="3"/>
  <c r="AZ57" i="3"/>
  <c r="AZ62" i="3"/>
  <c r="BA21" i="3"/>
  <c r="AZ68" i="3"/>
  <c r="AZ88" i="3"/>
  <c r="AZ72" i="3"/>
  <c r="AZ77" i="3"/>
  <c r="AZ92" i="3"/>
  <c r="AZ97" i="3"/>
  <c r="AZ108" i="3"/>
  <c r="K12" i="1"/>
  <c r="M12" i="1" s="1"/>
  <c r="K13" i="1"/>
  <c r="M13" i="1" s="1"/>
  <c r="O13" i="1" s="1"/>
  <c r="P13" i="1" s="1"/>
  <c r="G15" i="3"/>
  <c r="G14" i="3"/>
  <c r="F8" i="1"/>
  <c r="G8" i="1" s="1"/>
  <c r="C18" i="9"/>
  <c r="D18" i="9" s="1"/>
  <c r="M44" i="9" s="1"/>
  <c r="A30" i="64"/>
  <c r="A30" i="51"/>
  <c r="F71" i="9"/>
  <c r="BL13" i="3"/>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1" i="44"/>
  <c r="F8" i="44"/>
  <c r="M29" i="44"/>
  <c r="L48" i="44"/>
  <c r="M10" i="44"/>
  <c r="M8" i="15"/>
  <c r="M25" i="44"/>
  <c r="M26" i="44"/>
  <c r="F38" i="44"/>
  <c r="F8" i="15"/>
  <c r="M28" i="15"/>
  <c r="F39" i="44"/>
  <c r="J15" i="15"/>
  <c r="M24" i="44"/>
  <c r="F13" i="15"/>
  <c r="F45" i="44"/>
  <c r="M27" i="15"/>
  <c r="M8" i="44"/>
  <c r="M30" i="44"/>
  <c r="F11" i="44"/>
  <c r="F9" i="15"/>
  <c r="F42" i="15"/>
  <c r="F18" i="44"/>
  <c r="F43" i="15"/>
  <c r="M24" i="15"/>
  <c r="M26" i="15"/>
  <c r="F16" i="15"/>
  <c r="F40" i="44"/>
  <c r="F28" i="44"/>
  <c r="F26" i="15"/>
  <c r="F15" i="44"/>
  <c r="L49" i="44"/>
  <c r="J17" i="44"/>
  <c r="M29" i="15"/>
  <c r="M31" i="44"/>
  <c r="M28" i="44"/>
  <c r="F9" i="44"/>
  <c r="M22" i="15"/>
  <c r="M23" i="15"/>
  <c r="F43" i="44"/>
  <c r="F10" i="44"/>
  <c r="L48" i="15"/>
  <c r="AA15" i="21" l="1"/>
  <c r="W25" i="37"/>
  <c r="AC25" i="37"/>
  <c r="AB9" i="34"/>
  <c r="U9" i="34"/>
  <c r="AA19" i="21"/>
  <c r="S19" i="21"/>
  <c r="AA46" i="21"/>
  <c r="S46" i="21"/>
  <c r="W30" i="21"/>
  <c r="AC30" i="21"/>
  <c r="U14" i="21"/>
  <c r="AB14" i="21"/>
  <c r="U12" i="21"/>
  <c r="AB12" i="21"/>
  <c r="AB39" i="37"/>
  <c r="U39" i="37"/>
  <c r="W14" i="37"/>
  <c r="AC14" i="37"/>
  <c r="U14" i="37"/>
  <c r="AB14" i="37"/>
  <c r="W24" i="36"/>
  <c r="AC24" i="36"/>
  <c r="AC9" i="34"/>
  <c r="W9" i="34"/>
  <c r="AB28" i="33"/>
  <c r="U28" i="33"/>
  <c r="C28" i="70"/>
  <c r="AZ102" i="3"/>
  <c r="AZ79" i="3"/>
  <c r="AZ65" i="3"/>
  <c r="AZ34" i="3"/>
  <c r="AZ156" i="3"/>
  <c r="AZ276" i="3"/>
  <c r="AZ244" i="3"/>
  <c r="F61" i="70"/>
  <c r="U34" i="36"/>
  <c r="AB34" i="36"/>
  <c r="AC12" i="36"/>
  <c r="W12" i="36"/>
  <c r="AC31" i="34"/>
  <c r="W31" i="34"/>
  <c r="AA31" i="33"/>
  <c r="S31" i="33"/>
  <c r="U34" i="21"/>
  <c r="AB34" i="21"/>
  <c r="AB46" i="21"/>
  <c r="U46" i="21"/>
  <c r="U30" i="21"/>
  <c r="AB30" i="21"/>
  <c r="AC14" i="21"/>
  <c r="W14" i="21"/>
  <c r="AA12" i="21"/>
  <c r="S12" i="21"/>
  <c r="AC39" i="37"/>
  <c r="W39" i="37"/>
  <c r="AC32" i="36"/>
  <c r="W32" i="36"/>
  <c r="AB24" i="36"/>
  <c r="U24" i="36"/>
  <c r="AA34" i="35"/>
  <c r="S34" i="35"/>
  <c r="W28" i="33"/>
  <c r="AC28" i="33"/>
  <c r="C24" i="70"/>
  <c r="AZ21" i="3"/>
  <c r="AP8" i="1"/>
  <c r="AC23" i="21"/>
  <c r="B73" i="39"/>
  <c r="AA42" i="39"/>
  <c r="S42"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50" i="15"/>
  <c r="F70" i="15"/>
  <c r="L56" i="15"/>
  <c r="J57" i="15"/>
  <c r="J55" i="15" s="1"/>
  <c r="J58" i="15" s="1"/>
  <c r="Q51" i="15" s="1"/>
  <c r="G66" i="36"/>
  <c r="J18" i="36"/>
  <c r="AE6" i="1"/>
  <c r="F7" i="15"/>
  <c r="J15" i="70"/>
  <c r="M19" i="44"/>
  <c r="F36" i="70"/>
  <c r="M27" i="70"/>
  <c r="F33" i="44"/>
  <c r="F6" i="70"/>
  <c r="M23" i="70"/>
  <c r="L47" i="15"/>
  <c r="M26" i="70"/>
  <c r="F13" i="70"/>
  <c r="AE7" i="1"/>
  <c r="M9" i="70"/>
  <c r="F8" i="70"/>
  <c r="M8" i="70"/>
  <c r="F38" i="15"/>
  <c r="F43" i="70"/>
  <c r="F6" i="15"/>
  <c r="F40" i="15"/>
  <c r="M29" i="70"/>
  <c r="F26" i="70"/>
  <c r="F7" i="70"/>
  <c r="L48" i="70"/>
  <c r="F38" i="70"/>
  <c r="F42" i="70"/>
  <c r="M9" i="15"/>
  <c r="M24" i="70"/>
  <c r="L47" i="70"/>
  <c r="F9" i="70"/>
  <c r="F36" i="15"/>
  <c r="J36" i="15"/>
  <c r="C16" i="15"/>
  <c r="F37" i="15"/>
  <c r="F37" i="70"/>
  <c r="F40" i="70"/>
  <c r="M22" i="70"/>
  <c r="M6" i="70"/>
  <c r="M28" i="70"/>
  <c r="J36" i="70"/>
  <c r="F16" i="70"/>
  <c r="M6" i="15"/>
  <c r="C18" i="44"/>
  <c r="F67" i="15" l="1"/>
  <c r="Q72" i="15"/>
  <c r="C6" i="15"/>
  <c r="C10" i="15"/>
  <c r="F65" i="15"/>
  <c r="F63" i="15"/>
  <c r="C6" i="70"/>
  <c r="C10" i="70"/>
  <c r="Q72" i="70"/>
  <c r="F63" i="70"/>
  <c r="F70" i="70"/>
  <c r="L56" i="70"/>
  <c r="L60" i="70"/>
  <c r="L57" i="70"/>
  <c r="J53" i="70"/>
  <c r="I54" i="70"/>
  <c r="J59" i="70"/>
  <c r="J60" i="70"/>
  <c r="Q49" i="70" s="1"/>
  <c r="J57" i="70"/>
  <c r="J55" i="70" s="1"/>
  <c r="J58" i="70" s="1"/>
  <c r="Q51" i="70" s="1"/>
  <c r="F64" i="70"/>
  <c r="F50" i="70"/>
  <c r="F49" i="70"/>
  <c r="M7" i="70"/>
  <c r="J6" i="70" s="1"/>
  <c r="J5" i="70" s="1"/>
  <c r="L58" i="15"/>
  <c r="Q74" i="15" s="1"/>
  <c r="L59" i="15"/>
  <c r="Q75" i="15" s="1"/>
  <c r="F49" i="15"/>
  <c r="M7" i="15"/>
  <c r="J6" i="15" s="1"/>
  <c r="J5" i="15" s="1"/>
  <c r="J18" i="15" s="1"/>
  <c r="F64" i="15"/>
  <c r="F65" i="70"/>
  <c r="L58" i="70"/>
  <c r="L59" i="70"/>
  <c r="C27" i="70"/>
  <c r="F67" i="70"/>
  <c r="F107" i="46"/>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53" i="15"/>
  <c r="C48" i="15"/>
  <c r="C20" i="11"/>
  <c r="C21" i="11" s="1"/>
  <c r="C22" i="11" s="1"/>
  <c r="C23" i="11" s="1"/>
  <c r="B2" i="11" s="1"/>
  <c r="AC12" i="40"/>
  <c r="W12" i="40"/>
  <c r="E46" i="37"/>
  <c r="F46" i="37" s="1"/>
  <c r="C48" i="33"/>
  <c r="C49" i="33"/>
  <c r="B3" i="33" s="1"/>
  <c r="B2" i="33" s="1"/>
  <c r="F31" i="70"/>
  <c r="F58" i="70"/>
  <c r="F46" i="44"/>
  <c r="F31" i="15"/>
  <c r="M17" i="70"/>
  <c r="C16" i="70"/>
  <c r="F41" i="15"/>
  <c r="M17" i="15"/>
  <c r="L52" i="44"/>
  <c r="F58" i="15"/>
  <c r="F7" i="67"/>
  <c r="C48" i="70" l="1"/>
  <c r="C47" i="70" s="1"/>
  <c r="C65" i="70" s="1"/>
  <c r="C5" i="15"/>
  <c r="C32" i="15" s="1"/>
  <c r="Q62" i="15"/>
  <c r="C5" i="70"/>
  <c r="C38" i="70" s="1"/>
  <c r="J24" i="70"/>
  <c r="J26" i="70"/>
  <c r="J18" i="70"/>
  <c r="Q61" i="70"/>
  <c r="Q74" i="70"/>
  <c r="Q53" i="70"/>
  <c r="F1" i="70"/>
  <c r="Q67" i="70"/>
  <c r="Q58" i="70"/>
  <c r="C32" i="70"/>
  <c r="L19" i="6"/>
  <c r="Q75" i="70"/>
  <c r="Q62" i="70"/>
  <c r="L46" i="70"/>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8" i="15"/>
  <c r="J20" i="44"/>
  <c r="J26" i="44"/>
  <c r="B3" i="11"/>
  <c r="E7" i="67"/>
  <c r="AE8" i="1"/>
  <c r="C17" i="70"/>
  <c r="C17" i="15"/>
  <c r="C19" i="44"/>
  <c r="C59" i="70" l="1"/>
  <c r="G46" i="37"/>
  <c r="H46" i="37" s="1"/>
  <c r="E47" i="37"/>
  <c r="F47" i="37" s="1"/>
  <c r="L47" i="44"/>
  <c r="Q59" i="44"/>
  <c r="Q68" i="44"/>
  <c r="E3" i="67"/>
  <c r="B2" i="46"/>
  <c r="D4" i="46" s="1"/>
  <c r="E43" i="35"/>
  <c r="F43" i="35" s="1"/>
  <c r="E42" i="35"/>
  <c r="F42" i="35" s="1"/>
  <c r="C37" i="36"/>
  <c r="B3" i="36" s="1"/>
  <c r="B2" i="36" s="1"/>
  <c r="C36" i="36"/>
  <c r="S16" i="1"/>
  <c r="T13" i="1" s="1"/>
  <c r="D3" i="6"/>
  <c r="I7" i="6" s="1"/>
  <c r="C11" i="21"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1" i="70"/>
  <c r="F68" i="70" l="1"/>
  <c r="J29" i="70"/>
  <c r="F11" i="21"/>
  <c r="J11" i="21"/>
  <c r="H11"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0"/>
  <c r="C16" i="44"/>
  <c r="C14" i="15"/>
  <c r="C15" i="70" l="1"/>
  <c r="C18" i="70"/>
  <c r="W11" i="21"/>
  <c r="AC11" i="21"/>
  <c r="V48" i="21" s="1"/>
  <c r="I48" i="21" s="1"/>
  <c r="U11" i="21"/>
  <c r="AB11" i="21"/>
  <c r="T48" i="21" s="1"/>
  <c r="G48" i="21" s="1"/>
  <c r="S11" i="21"/>
  <c r="AA11" i="21"/>
  <c r="R48" i="21" s="1"/>
  <c r="C18" i="15"/>
  <c r="C15" i="15"/>
  <c r="C20" i="44"/>
  <c r="C17" i="44"/>
  <c r="B3" i="67"/>
  <c r="B4" i="67"/>
  <c r="T16" i="1"/>
  <c r="C17" i="12"/>
  <c r="C14" i="12"/>
  <c r="H27" i="6"/>
  <c r="R20" i="6"/>
  <c r="R7" i="1" s="1"/>
  <c r="R24" i="6"/>
  <c r="D16" i="6"/>
  <c r="D30" i="6"/>
  <c r="R23" i="6"/>
  <c r="R25" i="6"/>
  <c r="R21" i="6"/>
  <c r="R9" i="1" s="1"/>
  <c r="R19" i="6"/>
  <c r="R6" i="1" s="1"/>
  <c r="D27" i="6"/>
  <c r="A6" i="51"/>
  <c r="B7" i="63" s="1"/>
  <c r="A20" i="64"/>
  <c r="A6" i="64"/>
  <c r="A20" i="51"/>
  <c r="B15" i="63" s="1"/>
  <c r="N5" i="54"/>
  <c r="B43" i="63" s="1"/>
  <c r="R26" i="6"/>
  <c r="C17" i="43"/>
  <c r="C14" i="43"/>
  <c r="J65" i="40"/>
  <c r="I67" i="40"/>
  <c r="J70" i="39"/>
  <c r="I72" i="39"/>
  <c r="C47" i="15"/>
  <c r="C19" i="70" l="1"/>
  <c r="C20" i="70" s="1"/>
  <c r="C26" i="70" s="1"/>
  <c r="E48" i="21"/>
  <c r="I53" i="21" s="1"/>
  <c r="J53" i="21" s="1"/>
  <c r="R49" i="21"/>
  <c r="G52" i="21"/>
  <c r="H52" i="21" s="1"/>
  <c r="G53" i="21"/>
  <c r="H53" i="21" s="1"/>
  <c r="I52" i="21"/>
  <c r="J52" i="21" s="1"/>
  <c r="R8" i="1"/>
  <c r="R10" i="1"/>
  <c r="R11" i="1"/>
  <c r="R13" i="1"/>
  <c r="R12" i="1"/>
  <c r="C21" i="44"/>
  <c r="C22" i="44" s="1"/>
  <c r="C25" i="44" s="1"/>
  <c r="C19" i="15"/>
  <c r="C20" i="15" s="1"/>
  <c r="C23" i="15" s="1"/>
  <c r="C18" i="12"/>
  <c r="D31" i="6"/>
  <c r="I6" i="6" s="1"/>
  <c r="C13" i="39" s="1"/>
  <c r="R27" i="6"/>
  <c r="C18" i="43"/>
  <c r="K70" i="39"/>
  <c r="J72" i="39"/>
  <c r="K65" i="40"/>
  <c r="J67" i="40"/>
  <c r="C65" i="15"/>
  <c r="C59" i="15"/>
  <c r="F35" i="15"/>
  <c r="M23" i="44"/>
  <c r="M21" i="70"/>
  <c r="M21" i="15"/>
  <c r="F37" i="44"/>
  <c r="F35" i="70"/>
  <c r="F62" i="70" l="1"/>
  <c r="C61" i="70" s="1"/>
  <c r="C34" i="70"/>
  <c r="J20" i="70"/>
  <c r="C23" i="70"/>
  <c r="C29" i="70" s="1"/>
  <c r="C49" i="21"/>
  <c r="B3" i="21" s="1"/>
  <c r="C8" i="12" s="1"/>
  <c r="C48" i="21"/>
  <c r="E52" i="21"/>
  <c r="F52" i="21" s="1"/>
  <c r="E53" i="21"/>
  <c r="F53" i="21" s="1"/>
  <c r="F13" i="39"/>
  <c r="H13" i="39"/>
  <c r="J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C56" i="70" l="1"/>
  <c r="C36" i="70"/>
  <c r="J19" i="70"/>
  <c r="J17" i="70" s="1"/>
  <c r="C13" i="70"/>
  <c r="Q50" i="70"/>
  <c r="C33" i="70"/>
  <c r="C31" i="70" s="1"/>
  <c r="J14" i="70"/>
  <c r="B2" i="21"/>
  <c r="C10" i="12" s="1"/>
  <c r="AC13" i="39"/>
  <c r="W13" i="39"/>
  <c r="AB13" i="39"/>
  <c r="U13" i="39"/>
  <c r="AA13" i="39"/>
  <c r="S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J35" i="70"/>
  <c r="C37" i="70"/>
  <c r="C30" i="70" s="1"/>
  <c r="C39" i="70" s="1"/>
  <c r="C55" i="70"/>
  <c r="C64" i="70" s="1"/>
  <c r="J13" i="70"/>
  <c r="J23" i="70" s="1"/>
  <c r="J22" i="70"/>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J16" i="70" l="1"/>
  <c r="J25" i="70" s="1"/>
  <c r="Q68" i="70"/>
  <c r="C57" i="70"/>
  <c r="C66" i="70" s="1"/>
  <c r="C67" i="70" s="1"/>
  <c r="J39" i="70"/>
  <c r="J40" i="70" s="1"/>
  <c r="C40" i="70"/>
  <c r="Q70" i="70"/>
  <c r="Q69"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C43" i="70"/>
  <c r="Q66" i="70"/>
  <c r="Q76" i="70" s="1"/>
  <c r="Q48" i="70"/>
  <c r="Q54" i="70" s="1"/>
  <c r="B2" i="70"/>
  <c r="J42" i="70"/>
  <c r="J43" i="70" s="1"/>
  <c r="C70" i="70"/>
  <c r="C46" i="70"/>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3" i="12" s="1"/>
  <c r="C45" i="9"/>
  <c r="H14" i="66" s="1"/>
  <c r="B7" i="66" s="1"/>
  <c r="D20" i="9"/>
  <c r="D19" i="9"/>
  <c r="B4" i="12" l="1"/>
  <c r="L44" i="9"/>
  <c r="D22" i="9"/>
  <c r="G19" i="9"/>
  <c r="K21" i="9" s="1"/>
  <c r="B5" i="12"/>
  <c r="G20" i="9"/>
  <c r="D7" i="66"/>
  <c r="C7" i="66"/>
  <c r="D21" i="9"/>
  <c r="K20" i="9" l="1"/>
  <c r="G21" i="9"/>
  <c r="C32" i="9"/>
  <c r="N43" i="9"/>
  <c r="G22" i="9"/>
  <c r="D45" i="9"/>
  <c r="E45" i="9"/>
  <c r="O40" i="9"/>
  <c r="F45" i="9"/>
  <c r="O38" i="9" l="1"/>
  <c r="C33" i="9"/>
  <c r="C35" i="9"/>
  <c r="F42" i="9" s="1"/>
  <c r="C42" i="9"/>
  <c r="C34" i="9"/>
  <c r="O43" i="9"/>
  <c r="K31" i="9"/>
  <c r="K32" i="9" s="1"/>
  <c r="R7" i="54"/>
  <c r="B52" i="63" s="1"/>
  <c r="D14" i="66" l="1"/>
  <c r="C44" i="9"/>
  <c r="R5" i="54"/>
  <c r="B48" i="63" s="1"/>
  <c r="D63" i="9"/>
  <c r="N68" i="9"/>
  <c r="N38" i="9"/>
  <c r="K28" i="9" s="1"/>
  <c r="D42" i="9"/>
  <c r="Q5" i="54" s="1"/>
  <c r="B47" i="63" s="1"/>
  <c r="E42" i="9"/>
  <c r="P5" i="54" s="1"/>
  <c r="B46" i="63" s="1"/>
  <c r="M38" i="9"/>
  <c r="K27" i="9" s="1"/>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O39" i="9"/>
  <c r="E44" i="9"/>
  <c r="D44" i="9"/>
  <c r="F44" i="9"/>
  <c r="F14" i="66"/>
  <c r="B5" i="66"/>
  <c r="E14" i="66"/>
  <c r="C113" i="9" l="1"/>
  <c r="C114" i="9" s="1"/>
  <c r="E114" i="9" s="1"/>
  <c r="E115" i="9" s="1"/>
  <c r="C99" i="9"/>
  <c r="C5" i="66"/>
  <c r="D5" i="66"/>
  <c r="M84" i="9"/>
  <c r="N84" i="9" s="1"/>
  <c r="M87" i="9"/>
  <c r="N87" i="9" s="1"/>
  <c r="M83" i="9"/>
  <c r="N83" i="9" s="1"/>
  <c r="M86" i="9"/>
  <c r="N86" i="9" s="1"/>
  <c r="M88" i="9"/>
  <c r="N88" i="9" s="1"/>
  <c r="M85" i="9"/>
  <c r="N85" i="9" s="1"/>
  <c r="K29" i="9"/>
  <c r="K30" i="9" s="1"/>
  <c r="R6" i="54"/>
  <c r="B50" i="63" s="1"/>
  <c r="C6" i="66"/>
  <c r="D6" i="66"/>
  <c r="N76" i="9"/>
  <c r="C115" i="9" l="1"/>
  <c r="D76" i="9" s="1"/>
  <c r="D74" i="9" s="1"/>
  <c r="N74" i="9" s="1"/>
  <c r="O77" i="9" s="1"/>
  <c r="N89" i="9"/>
  <c r="O89" i="9" s="1"/>
  <c r="O78" i="9" l="1"/>
  <c r="Q77" i="9"/>
  <c r="O79" i="9"/>
  <c r="C46" i="9" s="1"/>
  <c r="K33" i="9" s="1"/>
  <c r="D46" i="9" l="1"/>
  <c r="I14" i="66"/>
  <c r="B8" i="66" s="1"/>
  <c r="C8" i="66" s="1"/>
  <c r="O41" i="9"/>
  <c r="R8" i="54" s="1"/>
  <c r="B54" i="63" s="1"/>
  <c r="O81" i="9"/>
  <c r="E46" i="9"/>
  <c r="O80" i="9"/>
  <c r="F46" i="9"/>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<sst xmlns="http://schemas.openxmlformats.org/spreadsheetml/2006/main" count="7444" uniqueCount="3112">
  <si>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</si>
  <si>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</si>
  <si>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</si>
  <si>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</si>
  <si>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</si>
  <si>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</si>
  <si>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</si>
  <si>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</si>
  <si>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</si>
  <si>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</si>
  <si>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</si>
  <si>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</si>
  <si>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</si>
  <si>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</si>
  <si>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</si>
  <si>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</si>
  <si>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</si>
  <si>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</si>
  <si>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</si>
  <si>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</si>
  <si>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</si>
  <si>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</si>
  <si>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</si>
  <si>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</si>
  <si>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</si>
  <si>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</si>
  <si>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</si>
  <si>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</si>
  <si>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</si>
  <si>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</si>
  <si>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</si>
  <si>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</si>
  <si>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</si>
  <si>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</si>
  <si>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</si>
  <si>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</si>
  <si>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</si>
  <si>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</si>
  <si>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</si>
  <si>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</si>
  <si>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</si>
  <si>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</si>
  <si>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</si>
  <si>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</si>
  <si>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</si>
  <si>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</si>
  <si>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</si>
  <si>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</si>
  <si>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</si>
  <si>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</si>
  <si>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</si>
  <si>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</si>
  <si>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</si>
  <si>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</si>
  <si>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</si>
  <si>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</si>
  <si>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</si>
  <si>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</si>
  <si>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</si>
  <si>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</si>
  <si>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</si>
  <si>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</si>
  <si>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</si>
  <si>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</si>
  <si>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</si>
  <si>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</si>
  <si>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</si>
  <si>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</si>
  <si>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</si>
  <si>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</si>
  <si>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</si>
  <si>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</si>
  <si>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</si>
  <si>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</si>
  <si>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</si>
  <si>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</si>
  <si>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</si>
  <si>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</si>
  <si>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</si>
  <si>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</si>
  <si>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</si>
  <si>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</si>
  <si>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</si>
  <si>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</si>
  <si>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</si>
  <si>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</si>
  <si>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</si>
  <si>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</si>
  <si>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</si>
  <si>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</si>
  <si>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</si>
  <si>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</si>
  <si>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</si>
  <si>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</si>
  <si>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</si>
  <si>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</si>
  <si>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</si>
  <si>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</si>
  <si>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</si>
  <si>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</si>
  <si>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</si>
  <si>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</si>
  <si>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</si>
  <si>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</si>
  <si>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</si>
  <si>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</si>
  <si>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</si>
  <si>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</si>
  <si>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</si>
  <si>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</si>
  <si>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</si>
  <si>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</si>
  <si>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</si>
  <si>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</si>
  <si>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</si>
  <si>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</si>
  <si>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</si>
  <si>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</si>
  <si>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</si>
  <si>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</si>
  <si>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</si>
  <si>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</si>
  <si>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</si>
  <si>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</si>
  <si>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</si>
  <si>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</si>
  <si>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</si>
  <si>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</si>
  <si>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</si>
  <si>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</si>
  <si>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</si>
  <si>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</si>
  <si>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</si>
  <si>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</si>
  <si>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</si>
  <si>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</si>
  <si>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</si>
  <si>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</si>
  <si>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</si>
  <si>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</si>
  <si>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</si>
  <si>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</si>
  <si>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</si>
  <si>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</si>
  <si>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</si>
  <si>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</si>
  <si>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</si>
  <si>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</si>
  <si>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</si>
  <si>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</si>
  <si>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</si>
  <si>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</si>
  <si>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</si>
  <si>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</si>
  <si>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</si>
  <si>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</si>
  <si>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</si>
  <si>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</si>
  <si>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</si>
  <si>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</si>
  <si>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</si>
  <si>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</si>
  <si>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</si>
  <si>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</si>
  <si>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</si>
  <si>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</si>
  <si>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</si>
  <si>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</si>
  <si>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</si>
  <si>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</si>
  <si>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</si>
  <si>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</si>
  <si>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</si>
  <si>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</si>
  <si>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</si>
  <si>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</si>
  <si>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</si>
  <si>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</si>
  <si>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</si>
  <si>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</si>
  <si>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</si>
  <si>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</si>
  <si>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</si>
  <si>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</si>
  <si>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</si>
  <si>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</si>
  <si>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</si>
  <si>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</si>
  <si>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</si>
  <si>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</si>
  <si>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</si>
  <si>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</si>
  <si>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</si>
  <si>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</si>
  <si>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</si>
  <si>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</si>
  <si>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</si>
  <si>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</si>
  <si>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</si>
  <si>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</si>
  <si>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</si>
  <si>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</si>
  <si>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</si>
  <si>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</si>
  <si>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</si>
  <si>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</si>
  <si>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</si>
  <si>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</si>
  <si>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</si>
  <si>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</si>
  <si>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</si>
  <si>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</si>
  <si>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</si>
  <si>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</si>
  <si>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</si>
  <si>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</si>
  <si>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</si>
  <si>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</si>
  <si>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</si>
  <si>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</si>
  <si>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</si>
  <si>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</si>
  <si>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</si>
  <si>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</si>
  <si>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</si>
  <si>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</si>
  <si>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</si>
  <si>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</si>
  <si>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</si>
  <si>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</si>
  <si>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</si>
  <si>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</si>
  <si>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</si>
  <si>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</si>
  <si>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</si>
  <si>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</si>
  <si>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</si>
  <si>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</si>
  <si>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</si>
  <si>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</si>
  <si>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</si>
  <si>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</si>
  <si>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</si>
  <si>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</si>
  <si>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</si>
  <si>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</si>
  <si>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</si>
  <si>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</si>
  <si>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</si>
  <si>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</si>
  <si>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</si>
  <si>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</si>
  <si>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</si>
  <si>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</si>
  <si>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</si>
  <si>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</si>
  <si>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</si>
  <si>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</si>
  <si>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</si>
  <si>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</si>
  <si>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</si>
  <si>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</si>
  <si>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</si>
  <si>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</si>
  <si>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</si>
  <si>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</si>
  <si>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</si>
  <si>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</si>
  <si>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</si>
  <si>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</si>
  <si>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</si>
  <si>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</si>
  <si>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</si>
  <si>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</si>
  <si>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</si>
  <si>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</si>
  <si>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</si>
  <si>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</si>
  <si>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</si>
  <si>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</si>
  <si>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</si>
  <si>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</si>
  <si>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</si>
  <si>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</si>
  <si>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</si>
  <si>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</si>
  <si>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</si>
  <si>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</si>
  <si>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</si>
  <si>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</si>
  <si>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</si>
  <si>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</si>
  <si>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</si>
  <si>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</si>
  <si>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</si>
  <si>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</si>
  <si>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</si>
  <si>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</si>
  <si>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</si>
  <si>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</si>
  <si>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</si>
  <si>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</si>
  <si>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</si>
  <si>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</si>
  <si>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</si>
  <si>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</si>
  <si>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</si>
  <si>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</si>
  <si>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</si>
  <si>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</si>
  <si>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</si>
  <si>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</si>
  <si>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</si>
  <si>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</si>
  <si>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</si>
  <si>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</si>
  <si>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</si>
  <si>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</si>
  <si>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</si>
  <si>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</si>
  <si>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</si>
  <si>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</si>
  <si>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</si>
  <si>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</si>
  <si>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</si>
  <si>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</si>
  <si>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</si>
  <si>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</si>
  <si>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</si>
  <si>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</si>
  <si>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</si>
  <si>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</si>
  <si>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</si>
  <si>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</si>
  <si>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</si>
  <si>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</si>
  <si>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</si>
  <si>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</si>
  <si>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</si>
  <si>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</si>
  <si>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</si>
  <si>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</si>
  <si>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</si>
  <si>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</si>
  <si>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</si>
  <si>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</si>
  <si>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</si>
  <si>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</si>
  <si>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</si>
  <si>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</si>
  <si>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</si>
  <si>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</si>
  <si>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</si>
  <si>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</si>
  <si>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</si>
  <si>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</si>
  <si>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</si>
  <si>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</si>
  <si>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</si>
  <si>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</si>
  <si>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</si>
  <si>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</si>
  <si>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</si>
  <si>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</si>
  <si>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</si>
  <si>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</si>
  <si>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</si>
  <si>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</si>
  <si>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</si>
  <si>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</si>
  <si>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</si>
  <si>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</si>
  <si>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</si>
  <si>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</si>
  <si>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</si>
  <si>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</si>
  <si>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</si>
  <si>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</si>
  <si>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</si>
  <si>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</si>
  <si>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</si>
  <si>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</si>
  <si>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</si>
  <si>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</si>
  <si>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</si>
  <si>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</si>
  <si>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</si>
  <si>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</si>
  <si>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</si>
  <si>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</si>
  <si>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</si>
  <si>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</si>
  <si>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</si>
  <si>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</si>
  <si>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</si>
  <si>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</si>
  <si>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</si>
  <si>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</si>
  <si>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</si>
  <si>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</si>
  <si>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</si>
  <si>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</si>
  <si>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</si>
  <si>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</si>
  <si>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</si>
  <si>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</si>
  <si>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</si>
  <si>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</si>
  <si>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</si>
  <si>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</si>
  <si>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</si>
  <si>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</si>
  <si>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</si>
  <si>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</si>
  <si>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</si>
  <si>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</si>
  <si>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</si>
  <si>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</si>
  <si>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</si>
  <si>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</si>
  <si>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</si>
  <si>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</si>
  <si>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</si>
  <si>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</si>
  <si>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</si>
  <si>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</si>
  <si>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</si>
  <si>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</si>
  <si>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</si>
  <si>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</si>
  <si>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</si>
  <si>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</si>
  <si>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</si>
  <si>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</si>
  <si>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</si>
  <si>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</si>
  <si>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</si>
  <si>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</si>
  <si>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</si>
  <si>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</si>
  <si>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</si>
  <si>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</si>
  <si>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</si>
  <si>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</si>
  <si>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</si>
  <si>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</si>
  <si>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</si>
  <si>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</si>
  <si>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</si>
  <si>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</si>
  <si>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</si>
  <si>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</si>
  <si>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</si>
  <si>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</si>
  <si>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</si>
  <si>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</si>
  <si>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</si>
  <si>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</si>
  <si>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</si>
  <si>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</si>
  <si>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</si>
  <si>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</si>
  <si>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</si>
  <si>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</si>
  <si>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</si>
  <si>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</si>
  <si>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</si>
  <si>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</si>
  <si>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</si>
  <si>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</si>
  <si>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</si>
  <si>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</si>
  <si>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</si>
  <si>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</si>
  <si>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</si>
  <si>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</si>
  <si>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</si>
  <si>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</si>
  <si>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</si>
  <si>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</si>
  <si>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</si>
  <si>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</si>
  <si>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</si>
  <si>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</si>
  <si>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</si>
  <si>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</si>
  <si>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</si>
  <si>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</si>
  <si>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</si>
  <si>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</si>
  <si>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</si>
  <si>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</si>
  <si>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</si>
  <si>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</si>
  <si>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</si>
  <si>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</si>
  <si>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</si>
  <si>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</si>
  <si>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</si>
  <si>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</si>
  <si>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</si>
  <si>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</si>
  <si>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</si>
  <si>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</si>
  <si>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</si>
  <si>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</si>
  <si>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</si>
  <si>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</si>
  <si>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</si>
  <si>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</si>
  <si>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</si>
  <si>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</si>
  <si>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</si>
  <si>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</si>
  <si>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</si>
  <si>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</si>
  <si>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</si>
  <si>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</si>
  <si>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</si>
  <si>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</si>
  <si>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</si>
  <si>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</si>
  <si>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</si>
  <si>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</si>
  <si>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</si>
  <si>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</si>
  <si>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</si>
  <si>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</si>
  <si>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</si>
  <si>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</si>
  <si>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</si>
  <si>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</si>
  <si>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</si>
  <si>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</si>
  <si>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</si>
  <si>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</si>
  <si>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</si>
  <si>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</si>
  <si>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</si>
  <si>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</si>
  <si>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</si>
  <si>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</si>
  <si>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</si>
  <si>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</si>
  <si>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</si>
  <si>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</si>
  <si>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</si>
  <si>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</si>
  <si>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</si>
  <si>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</si>
  <si>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</si>
  <si>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</si>
  <si>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</si>
  <si>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</si>
  <si>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</si>
  <si>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</si>
  <si>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</si>
  <si>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</si>
  <si>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</si>
  <si>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</si>
  <si>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</si>
  <si>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</si>
  <si>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</si>
  <si>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</si>
  <si>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</si>
  <si>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</si>
  <si>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</si>
  <si>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</si>
  <si>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</si>
  <si>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</si>
  <si>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</si>
  <si>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</si>
  <si>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</si>
  <si>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</si>
  <si>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</si>
  <si>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</si>
  <si>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</si>
  <si>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</si>
  <si>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</si>
  <si>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</si>
  <si>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</si>
  <si>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</si>
  <si>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</si>
  <si>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</si>
  <si>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</si>
  <si>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</si>
  <si>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</si>
  <si>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</si>
  <si>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</si>
  <si>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</si>
  <si>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</si>
  <si>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</si>
  <si>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</si>
  <si>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</si>
  <si>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</si>
  <si>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</si>
  <si>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</si>
  <si>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</si>
  <si>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</si>
  <si>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</si>
  <si>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</si>
  <si>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</si>
  <si>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</si>
  <si>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</si>
  <si>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</si>
  <si>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</si>
  <si>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</si>
  <si>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</si>
  <si>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</si>
  <si>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</si>
  <si>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</si>
  <si>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</si>
  <si>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</si>
  <si>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</si>
  <si>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</si>
  <si>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</si>
  <si>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</si>
  <si>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</si>
  <si>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</si>
  <si>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</si>
  <si>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</si>
  <si>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</si>
  <si>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</si>
  <si>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</si>
  <si>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</si>
  <si>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</si>
  <si>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</si>
  <si>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</si>
  <si>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</si>
  <si>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</si>
  <si>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</si>
  <si>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</si>
  <si>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</si>
  <si>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</si>
  <si>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</si>
  <si>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</si>
  <si>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</si>
  <si>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</si>
  <si>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</si>
  <si>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</si>
  <si>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</si>
  <si>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</si>
  <si>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</si>
  <si>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</si>
  <si>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</si>
  <si>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</si>
  <si>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</si>
  <si>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</si>
  <si>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</si>
  <si>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</si>
  <si>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</si>
  <si>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</si>
  <si>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</si>
  <si>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</si>
  <si>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</si>
  <si>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</si>
  <si>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</si>
  <si>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</si>
  <si>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</si>
  <si>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</si>
  <si>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</si>
  <si>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</si>
  <si>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</si>
  <si>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</si>
  <si>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</si>
  <si>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</si>
  <si>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</si>
  <si>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</si>
  <si>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</si>
  <si>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</si>
  <si>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</si>
  <si>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</si>
  <si>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</si>
  <si>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</si>
  <si>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</si>
  <si>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</si>
  <si>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</si>
  <si>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</si>
  <si>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</si>
  <si>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</si>
  <si>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</si>
  <si>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</si>
  <si>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</si>
  <si>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</si>
  <si>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</si>
  <si>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</si>
  <si>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</si>
  <si>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</si>
  <si>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</si>
  <si>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</si>
  <si>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</si>
  <si>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</si>
  <si>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</si>
  <si>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</si>
  <si>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</si>
  <si>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</si>
  <si>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</si>
  <si>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</si>
  <si>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</si>
  <si>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</si>
  <si>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</si>
  <si>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</si>
  <si>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</si>
  <si>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</si>
  <si>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</si>
  <si>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</si>
  <si>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</si>
  <si>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</si>
  <si>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</si>
  <si>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</si>
  <si>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</si>
  <si>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</si>
  <si>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</si>
  <si>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</si>
  <si>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</si>
  <si>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</si>
  <si>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</si>
  <si>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</si>
  <si>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</si>
  <si>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</si>
  <si>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</si>
  <si>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</si>
  <si>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</si>
  <si>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</si>
  <si>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</si>
  <si>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</si>
  <si>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</si>
  <si>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</si>
  <si>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</si>
  <si>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</si>
  <si>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</si>
  <si>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</si>
  <si>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</si>
  <si>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</si>
  <si>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</si>
  <si>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</si>
  <si>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</si>
  <si>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</si>
  <si>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</si>
  <si>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</si>
  <si>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</si>
  <si>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</si>
  <si>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</si>
  <si>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</si>
  <si>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</si>
  <si>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</si>
  <si>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</si>
  <si>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</si>
  <si>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</si>
  <si>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</si>
  <si>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</si>
  <si>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</si>
  <si>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</si>
  <si>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</si>
  <si>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</si>
  <si>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</si>
  <si>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</si>
  <si>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</si>
  <si>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</si>
  <si>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</si>
  <si>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</si>
  <si>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</si>
  <si>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</si>
  <si>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</si>
  <si>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</si>
  <si>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</si>
  <si>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</si>
  <si>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</si>
  <si>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</si>
  <si>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</si>
  <si>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</si>
  <si>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</si>
  <si>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</si>
  <si>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</si>
  <si>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</si>
  <si>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</si>
  <si>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</si>
  <si>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</si>
  <si>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</si>
  <si>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</si>
  <si>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</si>
  <si>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</si>
  <si>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</si>
  <si>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</si>
  <si>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</si>
  <si>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</si>
  <si>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</si>
  <si>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</si>
  <si>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</si>
  <si>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</si>
  <si>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</si>
  <si>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</si>
  <si>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</si>
  <si>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</si>
  <si>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</si>
  <si>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</si>
  <si>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</si>
  <si>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</si>
  <si>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</si>
  <si>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</si>
  <si>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</si>
  <si>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</si>
  <si>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</si>
  <si>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</si>
  <si>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</si>
  <si>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</si>
  <si>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</si>
  <si>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</si>
  <si>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</si>
  <si>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</si>
  <si>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</si>
  <si>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</si>
  <si>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</si>
  <si>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</si>
  <si>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</si>
  <si>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</si>
  <si>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</si>
  <si>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</si>
  <si>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</si>
  <si>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</si>
  <si>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</si>
  <si>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</si>
  <si>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</si>
  <si>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</si>
  <si>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</si>
  <si>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</si>
  <si>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</si>
  <si>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</si>
  <si>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</si>
  <si>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</si>
  <si>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</si>
  <si>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</si>
  <si>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</si>
  <si>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</si>
  <si>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</si>
  <si>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</si>
  <si>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</si>
  <si>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</si>
  <si>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</si>
  <si>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</si>
  <si>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</si>
  <si>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</si>
  <si>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</si>
  <si>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</si>
  <si>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</si>
  <si>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</si>
  <si>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</si>
  <si>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</si>
  <si>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</si>
  <si>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</si>
  <si>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</si>
  <si>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</si>
  <si>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</si>
  <si>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</si>
  <si>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</si>
  <si>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</si>
  <si>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</si>
  <si>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</si>
  <si>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</si>
  <si>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</si>
  <si>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</si>
  <si>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</si>
  <si>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</si>
  <si>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</si>
  <si>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</si>
  <si>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</si>
  <si>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</si>
  <si>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</si>
  <si>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</si>
  <si>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</si>
  <si>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</si>
  <si>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</si>
  <si>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</si>
  <si>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</si>
  <si>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</si>
  <si>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</si>
  <si>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</si>
  <si>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</si>
  <si>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</si>
  <si>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</si>
  <si>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</si>
  <si>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</si>
  <si>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</si>
  <si>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</si>
  <si>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</si>
  <si>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</si>
  <si>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</si>
  <si>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</si>
  <si>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</si>
  <si>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</si>
  <si>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</si>
  <si>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</si>
  <si>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</si>
  <si>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</si>
  <si>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</si>
  <si>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</si>
  <si>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</si>
  <si>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</si>
  <si>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</si>
  <si>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</si>
  <si>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</si>
  <si>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</si>
  <si>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</si>
  <si>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</si>
  <si>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</si>
  <si>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</si>
  <si>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</si>
  <si>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</si>
  <si>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</si>
  <si>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</si>
  <si>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</si>
  <si>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</si>
  <si>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</si>
  <si>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</si>
  <si>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</si>
  <si>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</si>
  <si>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</si>
  <si>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</si>
  <si>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</si>
  <si>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</si>
  <si>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</si>
  <si>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</si>
  <si>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</si>
  <si>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</si>
  <si>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</si>
  <si>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</si>
  <si>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</si>
  <si>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</si>
  <si>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</si>
  <si>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</si>
  <si>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</si>
  <si>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</si>
  <si>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</si>
  <si>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</si>
  <si>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</si>
  <si>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</si>
  <si>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</si>
  <si>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</si>
  <si>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</si>
  <si>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</si>
  <si>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</si>
  <si>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</si>
  <si>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</si>
  <si>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</si>
  <si>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</si>
  <si>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</si>
  <si>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</si>
  <si>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</si>
  <si>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</si>
  <si>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</si>
  <si>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</si>
  <si>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</si>
  <si>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</si>
  <si>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</si>
  <si>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</si>
  <si>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</si>
  <si>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</si>
  <si>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</si>
  <si>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</si>
  <si>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</si>
  <si>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</si>
  <si>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</si>
  <si>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</si>
  <si>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</si>
  <si>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</si>
  <si>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</si>
  <si>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</si>
  <si>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</si>
  <si>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</si>
  <si>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</si>
  <si>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</si>
  <si>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</si>
  <si>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</si>
  <si>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</si>
  <si>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</si>
  <si>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</si>
  <si>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</si>
  <si>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</si>
  <si>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</si>
  <si>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</si>
  <si>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</si>
  <si>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</si>
  <si>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</si>
  <si>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</si>
  <si>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</si>
  <si>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</si>
  <si>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</si>
  <si>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</si>
  <si>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</si>
  <si>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</si>
  <si>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</si>
  <si>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</si>
  <si>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</si>
  <si>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</si>
  <si>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</si>
  <si>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</si>
  <si>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</si>
  <si>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</si>
  <si>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</si>
  <si>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</si>
  <si>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</si>
  <si>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</si>
  <si>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</si>
  <si>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</si>
  <si>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</si>
  <si>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</si>
  <si>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</si>
  <si>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</si>
  <si>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</si>
  <si>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</si>
  <si>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</si>
  <si>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</si>
  <si>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</si>
  <si>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</si>
  <si>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</si>
  <si>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</si>
  <si>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</si>
  <si>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</si>
  <si>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</si>
  <si>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</si>
  <si>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</si>
  <si>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</si>
  <si>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</si>
  <si>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</si>
  <si>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</si>
  <si>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</si>
  <si>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</si>
  <si>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</si>
  <si>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</si>
  <si>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</si>
  <si>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</si>
  <si>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</si>
  <si>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</si>
  <si>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</si>
  <si>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</si>
  <si>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</si>
  <si>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</si>
  <si>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</si>
  <si>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</si>
  <si>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</si>
  <si>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</si>
  <si>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</si>
  <si>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</si>
  <si>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</si>
  <si>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</si>
  <si>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</si>
  <si>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</si>
  <si>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</si>
  <si>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</si>
  <si>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</si>
  <si>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</si>
  <si>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</si>
  <si>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</si>
  <si>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</si>
  <si>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</si>
  <si>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</si>
  <si>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</si>
  <si>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</si>
  <si>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</si>
  <si>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</si>
  <si>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</si>
  <si>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</si>
  <si>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</si>
  <si>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</si>
  <si>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</si>
  <si>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</si>
  <si>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</si>
  <si>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</si>
  <si>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</si>
  <si>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</si>
  <si>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</si>
  <si>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</si>
  <si>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</si>
  <si>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</si>
  <si>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</si>
  <si>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</si>
  <si>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</si>
  <si>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</si>
  <si>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</si>
  <si>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</si>
  <si>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</si>
  <si>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</si>
  <si>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</si>
  <si>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</si>
  <si>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</si>
  <si>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</si>
  <si>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</si>
  <si>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</si>
  <si>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</si>
  <si>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</si>
  <si>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</si>
  <si>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</si>
  <si>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</si>
  <si>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</si>
  <si>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</si>
  <si>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</si>
  <si>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</si>
  <si>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</si>
  <si>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</si>
  <si>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</si>
  <si>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</si>
  <si>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</si>
  <si>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</si>
  <si>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</si>
  <si>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</si>
  <si>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</si>
  <si>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</si>
  <si>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</si>
  <si>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</si>
  <si>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</si>
  <si>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</si>
  <si>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</si>
  <si>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</si>
  <si>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</si>
  <si>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</si>
  <si>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</si>
  <si>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</si>
  <si>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</si>
  <si>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</si>
  <si>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</si>
  <si>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</si>
  <si>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</si>
  <si>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</si>
  <si>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</si>
  <si>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</si>
  <si>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</si>
  <si>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</si>
  <si>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</si>
  <si>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</si>
  <si>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</si>
  <si>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</si>
  <si>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</si>
  <si>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</si>
  <si>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</si>
  <si>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</si>
  <si>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</si>
  <si>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</si>
  <si>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</si>
  <si>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</si>
  <si>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</si>
  <si>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</si>
  <si>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</si>
  <si>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</si>
  <si>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</si>
  <si>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</si>
  <si>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</si>
  <si>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</si>
  <si>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</si>
  <si>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</si>
  <si>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</si>
  <si>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</si>
  <si>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</si>
  <si>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</si>
  <si>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</si>
  <si>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</si>
  <si>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</si>
  <si>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</si>
  <si>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</si>
  <si>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</si>
  <si>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</si>
  <si>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</si>
  <si>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</si>
  <si>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</si>
  <si>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</si>
  <si>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</si>
  <si>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</si>
  <si>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</si>
  <si>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</si>
  <si>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</si>
  <si>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</si>
  <si>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</si>
  <si>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</si>
  <si>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</si>
  <si>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</si>
  <si>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</si>
  <si>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</si>
  <si>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</si>
  <si>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</si>
  <si>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</si>
  <si>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</si>
  <si>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</si>
  <si>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</si>
  <si>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</si>
  <si>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</si>
  <si>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</si>
  <si>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</si>
  <si>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</si>
  <si>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</si>
  <si>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</si>
  <si>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</si>
  <si>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</si>
  <si>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</si>
  <si>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</si>
  <si>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</si>
  <si>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</si>
  <si>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</si>
  <si>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</si>
  <si>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</si>
  <si>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</si>
  <si>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</si>
  <si>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</si>
  <si>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</si>
  <si>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</si>
  <si>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</si>
  <si>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</si>
  <si>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</si>
  <si>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</si>
  <si>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</si>
  <si>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</si>
  <si>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</si>
  <si>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</si>
  <si>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</si>
  <si>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</si>
  <si>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</si>
  <si>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</si>
  <si>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</si>
  <si>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</si>
  <si>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</si>
  <si>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</si>
  <si>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</si>
  <si>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</si>
  <si>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</si>
  <si>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</si>
  <si>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</si>
  <si>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</si>
  <si>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</si>
  <si>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</si>
  <si>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</si>
  <si>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</si>
  <si>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</si>
  <si>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</si>
  <si>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</si>
  <si>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</si>
  <si>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</si>
  <si>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</si>
  <si>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</si>
  <si>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</si>
  <si>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</si>
  <si>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</si>
  <si>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</si>
  <si>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</si>
  <si>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</si>
  <si>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</si>
  <si>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</si>
  <si>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</si>
  <si>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</si>
  <si>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</si>
  <si>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</si>
  <si>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</si>
  <si>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</si>
  <si>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</si>
  <si>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</si>
  <si>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</si>
  <si>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</si>
  <si>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</si>
  <si>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</si>
  <si>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</si>
  <si>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</si>
  <si>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</si>
  <si>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</si>
  <si>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</si>
  <si>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</si>
  <si>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</si>
  <si>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</si>
  <si>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</si>
  <si>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</si>
  <si>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</si>
  <si>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</si>
  <si>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</si>
  <si>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</si>
  <si>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</si>
  <si>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</si>
  <si>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</si>
  <si>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</si>
  <si>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</si>
  <si>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</si>
  <si>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</si>
  <si>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</si>
  <si>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</si>
  <si>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</si>
  <si>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</si>
  <si>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</si>
  <si>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</si>
  <si>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</si>
  <si>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</si>
  <si>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</si>
  <si>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</si>
  <si>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</si>
  <si>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</si>
  <si>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</si>
  <si>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</si>
  <si>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</si>
  <si>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</si>
  <si>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</si>
  <si>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</si>
  <si>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</si>
  <si>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</si>
  <si>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</si>
  <si>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</si>
  <si>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</si>
  <si>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</si>
  <si>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</si>
  <si>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</si>
  <si>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</si>
  <si>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</si>
  <si>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</si>
  <si>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</si>
  <si>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</si>
  <si>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</si>
  <si>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</si>
  <si>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</si>
  <si>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</si>
  <si>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</si>
  <si>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</si>
  <si>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</si>
  <si>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</si>
  <si>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</si>
  <si>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</si>
  <si>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</si>
  <si>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</si>
  <si>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</si>
  <si>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</si>
  <si>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</si>
  <si>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</si>
  <si>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</si>
  <si>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</si>
  <si>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</si>
  <si>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</si>
  <si>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</si>
  <si>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</si>
  <si>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</si>
  <si>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</si>
  <si>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</si>
  <si>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</si>
  <si>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</si>
  <si>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</si>
  <si>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</si>
  <si>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</si>
  <si>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</si>
  <si>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</si>
  <si>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</si>
  <si>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</si>
  <si>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</si>
  <si>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</si>
  <si>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</si>
  <si>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</si>
  <si>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</si>
  <si>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</si>
  <si>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</si>
  <si>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</si>
  <si>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</si>
  <si>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</si>
  <si>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</si>
  <si>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</si>
  <si>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</si>
  <si>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</si>
  <si>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</si>
  <si>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</si>
  <si>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</si>
  <si>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</si>
  <si>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</si>
  <si>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</si>
  <si>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</si>
  <si>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</si>
  <si>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</si>
  <si>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</si>
  <si>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</si>
  <si>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</si>
  <si>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</si>
  <si>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</si>
  <si>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</si>
  <si>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</si>
  <si>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</si>
  <si>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</si>
  <si>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</si>
  <si>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</si>
  <si>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</si>
  <si>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</si>
  <si>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</si>
  <si>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</si>
  <si>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</si>
  <si>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</si>
  <si>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</si>
  <si>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</si>
  <si>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</si>
  <si>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</si>
  <si>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</si>
  <si>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</si>
  <si>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</si>
  <si>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</si>
  <si>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</si>
  <si>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</si>
  <si>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</si>
  <si>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</si>
  <si>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</si>
  <si>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</si>
  <si>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</si>
  <si>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</si>
  <si>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</si>
  <si>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</si>
  <si>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</si>
  <si>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</si>
  <si>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</si>
  <si>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</si>
  <si>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</si>
  <si>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</si>
  <si>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</si>
  <si>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</si>
  <si>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</si>
  <si>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</si>
  <si>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</si>
  <si>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</si>
  <si>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</si>
  <si>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</si>
  <si>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</si>
  <si>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</si>
  <si>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</si>
  <si>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</si>
  <si>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</si>
  <si>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</si>
  <si>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</si>
  <si>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</si>
  <si>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</si>
  <si>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</si>
  <si>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</si>
  <si>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</si>
  <si>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</si>
  <si>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</si>
  <si>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</si>
  <si>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</si>
  <si>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</si>
  <si>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</si>
  <si>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</si>
  <si>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</si>
  <si>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</si>
  <si>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</si>
  <si>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</si>
  <si>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</si>
  <si>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</si>
  <si>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</si>
  <si>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</si>
  <si>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</si>
  <si>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</si>
  <si>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</si>
  <si>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</si>
  <si>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</si>
  <si>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</si>
  <si>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</si>
  <si>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</si>
  <si>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</si>
  <si>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</si>
  <si>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</si>
  <si>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</si>
  <si>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</si>
  <si>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</si>
  <si>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</si>
  <si>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</si>
  <si>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</si>
  <si>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</si>
  <si>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</si>
  <si>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</si>
  <si>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</si>
  <si>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</si>
  <si>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</si>
  <si>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</si>
  <si>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</si>
  <si>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</si>
  <si>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</si>
  <si>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</si>
  <si>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</si>
  <si>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</si>
  <si>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</si>
  <si>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</si>
  <si>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</si>
  <si>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</si>
  <si>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</si>
  <si>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</si>
  <si>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</si>
  <si>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</si>
  <si>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</si>
  <si>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</si>
  <si>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</si>
  <si>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</si>
  <si>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</si>
  <si>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</si>
  <si>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</si>
  <si>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</si>
  <si>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</si>
  <si>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</si>
  <si>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</si>
  <si>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</si>
  <si>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</si>
  <si>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</si>
  <si>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</si>
  <si>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</si>
  <si>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</si>
  <si>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</si>
  <si>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</si>
  <si>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</si>
  <si>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</si>
  <si>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</si>
  <si>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</si>
  <si>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</si>
  <si>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</si>
  <si>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</si>
  <si>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</si>
  <si>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</si>
  <si>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</si>
  <si>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</si>
  <si>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</si>
  <si>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</si>
  <si>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</si>
  <si>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</si>
  <si>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</si>
  <si>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</si>
  <si>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</si>
  <si>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</si>
  <si>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</si>
  <si>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</si>
  <si>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</si>
  <si>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</si>
  <si>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</si>
  <si>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</si>
  <si>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</si>
  <si>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</si>
  <si>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</si>
  <si>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</si>
  <si>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</si>
  <si>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</si>
  <si>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</si>
  <si>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</si>
  <si>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</si>
  <si>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</si>
  <si>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</si>
  <si>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</si>
  <si>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</si>
  <si>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</si>
  <si>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</si>
  <si>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</si>
  <si>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</si>
  <si>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</si>
  <si>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</si>
  <si>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</si>
  <si>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</si>
  <si>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</si>
  <si>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</si>
  <si>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</si>
  <si>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</si>
  <si>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</si>
  <si>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</si>
  <si>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</si>
  <si>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</si>
  <si>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</si>
  <si>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</si>
  <si>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</si>
  <si>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</si>
  <si>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</si>
  <si>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</si>
  <si>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</si>
  <si>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</si>
  <si>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</si>
  <si>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</si>
  <si>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</si>
  <si>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</si>
  <si>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</si>
  <si>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</si>
  <si>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</si>
  <si>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</si>
  <si>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</si>
  <si>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</si>
  <si>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</si>
  <si>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</si>
  <si>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</si>
  <si>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</si>
  <si>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</si>
  <si>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</si>
  <si>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</si>
  <si>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</si>
  <si>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</si>
  <si>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</si>
  <si>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</si>
  <si>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</si>
  <si>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</si>
  <si>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</si>
  <si>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</si>
  <si>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</si>
  <si>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</si>
  <si>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</si>
  <si>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</si>
  <si>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</si>
  <si>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</si>
  <si>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</si>
  <si>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</si>
  <si>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</si>
  <si>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</si>
  <si>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</si>
  <si>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</si>
  <si>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</si>
  <si>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</si>
  <si>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</si>
  <si>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</si>
  <si>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</si>
  <si>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</si>
  <si>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</si>
  <si>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</si>
  <si>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</si>
  <si>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</si>
  <si>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</si>
  <si>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</si>
  <si>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</si>
  <si>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</si>
  <si>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</si>
  <si>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</si>
  <si>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</si>
  <si>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</si>
  <si>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</si>
  <si>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</si>
  <si>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</si>
  <si>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</si>
  <si>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</si>
  <si>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</si>
  <si>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</si>
  <si>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</si>
  <si>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</si>
  <si>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</si>
  <si>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</si>
  <si>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</si>
  <si>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</si>
  <si>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</si>
  <si>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</si>
  <si>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</si>
  <si>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</si>
  <si>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</si>
  <si>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</si>
  <si>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</si>
  <si>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</si>
  <si>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</si>
  <si>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</si>
  <si>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</si>
  <si>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</si>
  <si>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</si>
  <si>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</si>
  <si>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</si>
  <si>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</si>
  <si>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</si>
  <si>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</si>
  <si>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</si>
  <si>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</si>
  <si>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</si>
  <si>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</si>
  <si>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</si>
  <si>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</si>
  <si>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</si>
  <si>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</si>
  <si>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</si>
  <si>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</si>
  <si>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</si>
  <si>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</si>
  <si>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</si>
  <si>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</si>
  <si>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</si>
  <si>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</si>
  <si>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</si>
  <si>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</si>
  <si>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</si>
  <si>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</si>
  <si>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</si>
  <si>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</si>
  <si>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</si>
  <si>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</si>
  <si>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</si>
  <si>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</si>
  <si>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</si>
  <si>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</si>
  <si>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</si>
  <si>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</si>
  <si>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</si>
  <si>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</si>
  <si>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</si>
  <si>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</si>
  <si>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</si>
  <si>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</si>
  <si>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</si>
  <si>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</si>
  <si>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</si>
  <si>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</si>
  <si>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</si>
  <si>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</si>
  <si>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</si>
  <si>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</si>
  <si>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</si>
  <si>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</si>
  <si>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</si>
  <si>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</si>
  <si>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</si>
  <si>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</si>
  <si>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</si>
  <si>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</si>
  <si>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</si>
  <si>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</si>
  <si>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</si>
  <si>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</si>
  <si>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</si>
  <si>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</si>
  <si>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</si>
  <si>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</si>
  <si>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</si>
  <si>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</si>
  <si>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</si>
  <si>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</si>
  <si>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</si>
  <si>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</si>
  <si>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</si>
  <si>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</si>
  <si>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</si>
  <si>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</si>
  <si>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</si>
  <si>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</si>
  <si>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</si>
  <si>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</si>
  <si>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</si>
  <si>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</si>
  <si>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</si>
  <si>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</si>
  <si>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</si>
  <si>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</si>
  <si>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</si>
  <si>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</si>
  <si>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</si>
  <si>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</si>
  <si>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</si>
  <si>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</si>
  <si>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</si>
  <si>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</si>
  <si>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</si>
  <si>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</si>
  <si>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</si>
  <si>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</si>
  <si>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</si>
  <si>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</si>
  <si>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</si>
  <si>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</si>
  <si>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</si>
  <si>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</si>
  <si>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</si>
  <si>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</si>
  <si>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</si>
  <si>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</si>
  <si>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</si>
  <si>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</si>
  <si>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</si>
  <si>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</si>
  <si>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</si>
  <si>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</si>
  <si>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</si>
  <si>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</si>
  <si>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</si>
  <si>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</si>
  <si>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</si>
  <si>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</si>
  <si>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</si>
  <si>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</si>
  <si>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</si>
  <si>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</si>
  <si>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</si>
  <si>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</si>
  <si>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</si>
  <si>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</si>
  <si>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</si>
  <si>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</si>
  <si>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</si>
  <si>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</si>
  <si>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</si>
  <si>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</si>
  <si>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</si>
  <si>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</si>
  <si>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</si>
  <si>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</si>
  <si>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</si>
  <si>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</si>
  <si>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</si>
  <si>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</si>
  <si>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</si>
  <si>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</si>
  <si>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</si>
  <si>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</si>
  <si>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</si>
  <si>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</si>
  <si>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</si>
  <si>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</si>
  <si>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</si>
  <si>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</si>
  <si>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</si>
  <si>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</si>
  <si>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</si>
  <si>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</si>
  <si>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</si>
  <si>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</si>
  <si>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</si>
  <si>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</si>
  <si>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</si>
  <si>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</si>
  <si>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</si>
  <si>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</si>
  <si>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</si>
  <si>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</si>
  <si>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</si>
  <si>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</si>
  <si>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</si>
  <si>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</si>
  <si>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</si>
  <si>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</si>
  <si>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</si>
  <si>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</si>
  <si>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</si>
  <si>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</si>
  <si>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</si>
  <si>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</si>
  <si>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</si>
  <si>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</si>
  <si>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</si>
  <si>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</si>
  <si>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</si>
  <si>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</si>
  <si>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</si>
  <si>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</si>
  <si>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</si>
  <si>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</si>
  <si>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</si>
  <si>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</si>
  <si>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</si>
  <si>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</si>
  <si>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</si>
  <si>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</si>
  <si>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</si>
  <si>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</si>
  <si>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</si>
  <si>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</si>
  <si>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</si>
  <si>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</si>
  <si>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</si>
  <si>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</si>
  <si>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</si>
  <si>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</si>
  <si>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</si>
  <si>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</si>
  <si>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</si>
  <si>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</si>
  <si>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</si>
  <si>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</si>
  <si>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</si>
  <si>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</si>
  <si>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</si>
  <si>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</si>
  <si>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</si>
  <si>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</si>
  <si>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</si>
  <si>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</si>
  <si>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</si>
  <si>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</si>
  <si>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</si>
  <si>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</si>
  <si>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</si>
  <si>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</si>
  <si>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</si>
  <si>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</si>
  <si>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</si>
  <si>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</si>
  <si>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</si>
  <si>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</si>
  <si>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</si>
  <si>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</si>
  <si>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</si>
  <si>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</si>
  <si>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</si>
  <si>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</si>
  <si>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</si>
  <si>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</si>
  <si>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</si>
  <si>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</si>
  <si>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</si>
  <si>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</si>
  <si>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</si>
  <si>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</si>
  <si>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</si>
  <si>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</si>
  <si>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</si>
  <si>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</si>
  <si>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</si>
  <si>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</si>
  <si>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</si>
  <si>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</si>
  <si>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</si>
  <si>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</si>
  <si>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</si>
  <si>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</si>
  <si>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</si>
  <si>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</si>
  <si>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</si>
  <si>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</si>
  <si>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</si>
  <si>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</si>
  <si>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</si>
  <si>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</si>
  <si>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</si>
  <si>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</si>
  <si>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</si>
  <si>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</si>
  <si>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</si>
  <si>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</si>
  <si>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</si>
  <si>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</si>
  <si>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</si>
  <si>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</si>
  <si>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</si>
  <si>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</si>
  <si>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</si>
  <si>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</si>
  <si>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</si>
  <si>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</si>
  <si>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</si>
  <si>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</si>
  <si>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</si>
  <si>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</si>
  <si>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</si>
  <si>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</si>
  <si>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</si>
  <si>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</si>
  <si>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</si>
  <si>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</si>
  <si>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</si>
  <si>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</si>
  <si>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</si>
  <si>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</si>
  <si>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</si>
  <si>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</si>
  <si>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</si>
  <si>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</si>
  <si>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</si>
  <si>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</si>
  <si>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</si>
  <si>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</si>
  <si>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</si>
  <si>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</si>
  <si>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</si>
  <si>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</si>
  <si>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</si>
  <si>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</si>
  <si>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</si>
  <si>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</si>
  <si>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</si>
  <si>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</si>
  <si>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</si>
  <si>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</si>
  <si>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</si>
  <si>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</si>
  <si>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</si>
  <si>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</si>
  <si>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</si>
  <si>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</si>
  <si>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</si>
  <si>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</si>
  <si>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</si>
  <si>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</si>
  <si>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</si>
  <si>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</si>
  <si>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</si>
  <si>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</si>
  <si>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</si>
  <si>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</si>
  <si>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</si>
  <si>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</si>
  <si>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</si>
  <si>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</si>
  <si>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</si>
  <si>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</si>
  <si>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</si>
  <si>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</si>
  <si>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</si>
  <si>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</si>
  <si>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</si>
  <si>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</si>
  <si>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</si>
  <si>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</si>
  <si>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</si>
  <si>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</si>
  <si>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</si>
  <si>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</si>
  <si>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</si>
  <si>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</si>
  <si>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</si>
  <si>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</si>
  <si>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</si>
  <si>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</si>
  <si>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</si>
  <si>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</si>
  <si>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</si>
  <si>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</si>
  <si>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</si>
  <si>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</si>
  <si>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</si>
  <si>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</si>
  <si>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</si>
  <si>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</si>
  <si>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</si>
  <si>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</si>
  <si>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</si>
  <si>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</si>
  <si>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</si>
  <si>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</si>
  <si>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</si>
  <si>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</si>
  <si>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</si>
  <si>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</si>
  <si>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</si>
  <si>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</si>
  <si>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</si>
  <si>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</si>
  <si>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</si>
  <si>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</si>
  <si>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</si>
  <si>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</si>
  <si>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</si>
  <si>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</si>
  <si>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</si>
  <si>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</si>
  <si>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</si>
  <si>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</si>
  <si>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</si>
  <si>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</si>
  <si>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</si>
  <si>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</si>
  <si>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</si>
  <si>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</si>
  <si>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</si>
  <si>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</si>
  <si>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</si>
  <si>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</si>
  <si>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</si>
  <si>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</si>
  <si>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</si>
  <si>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</si>
  <si>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</si>
  <si>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</si>
  <si>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</si>
  <si>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</si>
  <si>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</si>
  <si>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</si>
  <si>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</si>
  <si>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</si>
  <si>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</si>
  <si>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</si>
  <si>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</si>
  <si>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</si>
  <si>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</si>
  <si>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</si>
  <si>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</si>
  <si>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</si>
  <si>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</si>
  <si>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</si>
  <si>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</si>
  <si>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</si>
  <si>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</si>
  <si>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</si>
  <si>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</si>
  <si>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</si>
  <si>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</si>
  <si>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</si>
  <si>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</si>
  <si>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</si>
  <si>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</si>
  <si>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</si>
  <si>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</si>
  <si>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</si>
  <si>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</si>
  <si>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</si>
  <si>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</si>
  <si>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</si>
  <si>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</si>
  <si>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</si>
  <si>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</si>
  <si>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</si>
  <si>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</si>
  <si>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</si>
  <si>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</si>
  <si>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</si>
  <si>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</si>
  <si>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</si>
  <si>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</si>
  <si>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</si>
  <si>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</si>
  <si>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</si>
  <si>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</si>
  <si>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</si>
  <si>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</si>
  <si>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</si>
  <si>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</si>
  <si>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</si>
  <si>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</si>
  <si>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</si>
  <si>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</si>
  <si>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</si>
  <si>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</si>
  <si>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</si>
  <si>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</si>
  <si>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</si>
  <si>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</si>
  <si>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</si>
  <si>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</si>
  <si>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</si>
  <si>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</si>
  <si>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</si>
  <si>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</si>
  <si>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</si>
  <si>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</si>
  <si>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</si>
  <si>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</si>
  <si>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</si>
  <si>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</si>
  <si>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</si>
  <si>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</si>
  <si>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</si>
  <si>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</si>
  <si>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</si>
  <si>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</si>
  <si>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</si>
  <si>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</si>
  <si>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</si>
  <si>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</si>
  <si>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</si>
  <si>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</si>
  <si>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</si>
  <si>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</si>
  <si>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</si>
  <si>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</si>
  <si>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</si>
  <si>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</si>
  <si>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</si>
  <si>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</si>
  <si>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</si>
  <si>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</si>
  <si>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</si>
  <si>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</si>
  <si>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</si>
  <si>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</si>
  <si>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</si>
  <si>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</si>
  <si>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</si>
  <si>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</si>
  <si>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</si>
  <si>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</si>
  <si>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</si>
  <si>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</si>
  <si>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</si>
  <si>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</si>
  <si>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</si>
  <si>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</si>
  <si>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</si>
  <si>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</si>
  <si>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</si>
  <si>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</si>
  <si>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</si>
  <si>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</si>
  <si>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</si>
  <si>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</si>
  <si>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</si>
  <si>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</si>
  <si>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</si>
  <si>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</si>
  <si>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</si>
  <si>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</si>
  <si>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</si>
  <si>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</si>
  <si>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</si>
  <si>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</si>
  <si>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</si>
  <si>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</si>
  <si>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</si>
  <si>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</si>
  <si>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</si>
  <si>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</si>
  <si>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</si>
  <si>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</si>
  <si>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</si>
  <si>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</si>
  <si>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</si>
  <si>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</si>
  <si>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</si>
  <si>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</si>
  <si>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</si>
  <si>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</si>
  <si>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</si>
  <si>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</si>
  <si>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</si>
  <si>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</si>
  <si>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</si>
  <si>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</si>
  <si>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</si>
  <si>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</si>
  <si>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</si>
  <si>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</si>
  <si>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</si>
  <si>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</si>
  <si>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</si>
  <si>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</si>
  <si>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</si>
  <si>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</si>
  <si>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</si>
  <si>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</si>
  <si>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</si>
  <si>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</si>
  <si>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</si>
  <si>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</si>
  <si>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</si>
  <si>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</si>
  <si>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</si>
  <si>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</si>
  <si>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</si>
  <si>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</si>
  <si>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</si>
  <si>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</si>
  <si>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</si>
  <si>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</si>
  <si>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</si>
  <si>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</si>
  <si>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</si>
  <si>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</si>
  <si>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</si>
  <si>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</si>
  <si>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</si>
  <si>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</si>
  <si>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</si>
  <si>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</si>
  <si>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</si>
  <si>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</si>
  <si>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</si>
  <si>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</si>
  <si>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</si>
  <si>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</si>
  <si>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</si>
  <si>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</si>
  <si>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</si>
  <si>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</si>
  <si>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</si>
  <si>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</si>
  <si>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</si>
  <si>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</si>
  <si>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</si>
  <si>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</si>
  <si>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</si>
  <si>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</si>
  <si>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</si>
  <si>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</si>
  <si>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</si>
  <si>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</si>
  <si>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</si>
  <si>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</si>
  <si>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</si>
  <si>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</si>
  <si>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</si>
  <si>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</si>
  <si>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</si>
  <si>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</si>
  <si>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</si>
  <si>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</si>
  <si>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</si>
  <si>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</si>
  <si>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</si>
  <si>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</si>
  <si>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</si>
  <si>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</si>
  <si>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</si>
  <si>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</si>
  <si>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</si>
  <si>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</si>
  <si>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</si>
  <si>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</si>
  <si>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</si>
  <si>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</si>
  <si>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</si>
  <si>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</si>
  <si>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</si>
  <si>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</si>
  <si>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</si>
  <si>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</si>
  <si>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</si>
  <si>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</si>
  <si>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</si>
  <si>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</si>
  <si>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</si>
  <si>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</si>
  <si>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</si>
  <si>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</si>
  <si>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</si>
  <si>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</si>
  <si>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</si>
  <si>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</si>
  <si>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</si>
  <si>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</si>
  <si>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</si>
  <si>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</si>
  <si>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</si>
  <si>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</si>
  <si>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</si>
  <si>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</si>
  <si>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</si>
  <si>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</si>
  <si>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</si>
  <si>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</si>
  <si>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</si>
  <si>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</si>
  <si>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</si>
  <si>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</si>
  <si>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</si>
  <si>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</si>
  <si>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</si>
  <si>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</si>
  <si>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</si>
  <si>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</si>
  <si>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</si>
  <si>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</si>
  <si>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</si>
  <si>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</si>
  <si>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</si>
  <si>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</si>
  <si>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</si>
  <si>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</si>
  <si>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</si>
  <si>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</si>
  <si>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</si>
  <si>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</si>
  <si>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</si>
  <si>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</si>
  <si>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</si>
  <si>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</si>
  <si>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</si>
  <si>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</si>
  <si>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</si>
  <si>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</si>
  <si>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</si>
  <si>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</si>
  <si>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</si>
  <si>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</si>
  <si>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</si>
  <si>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</si>
  <si>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</si>
  <si>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</si>
  <si>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</si>
  <si>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</si>
  <si>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</si>
  <si>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</si>
  <si>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</si>
  <si>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</si>
  <si>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</si>
  <si>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</si>
  <si>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</si>
  <si>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</si>
  <si>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</si>
  <si>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</si>
  <si>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</si>
  <si>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</si>
  <si>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</si>
  <si>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</si>
  <si>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</si>
  <si>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</si>
  <si>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</si>
  <si>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</si>
  <si>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</si>
  <si>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</si>
  <si>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</si>
  <si>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</si>
  <si>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</si>
  <si>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</si>
  <si>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</si>
  <si>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</si>
  <si>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</si>
  <si>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</si>
  <si>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</si>
  <si>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</si>
  <si>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</si>
  <si>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</si>
  <si>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</si>
  <si>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</si>
  <si>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</si>
  <si>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</si>
  <si>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</si>
  <si>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</si>
  <si>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</si>
  <si>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</si>
  <si>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</si>
  <si>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</si>
  <si>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</si>
  <si>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</si>
  <si>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</si>
  <si>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</si>
  <si>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</si>
  <si>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</si>
  <si>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</si>
  <si>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</si>
  <si>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</si>
  <si>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</si>
  <si>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</si>
  <si>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</si>
  <si>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</si>
  <si>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</si>
  <si>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</si>
  <si>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</si>
  <si>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</si>
  <si>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</si>
  <si>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</si>
  <si>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</si>
  <si>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</si>
  <si>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</si>
  <si>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</si>
  <si>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</si>
  <si>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</si>
  <si>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</si>
  <si>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</si>
  <si>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</si>
  <si>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</si>
  <si>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</si>
  <si>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</si>
  <si>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</si>
  <si>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</si>
  <si>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</si>
  <si>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</si>
  <si>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</si>
  <si>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</si>
  <si>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</si>
  <si>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</si>
  <si>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</si>
  <si>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</si>
  <si>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</si>
  <si>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</si>
  <si>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</si>
  <si>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</si>
  <si>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</si>
  <si>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</si>
  <si>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</si>
  <si>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</si>
  <si>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</si>
  <si>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</si>
  <si>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</si>
  <si>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</si>
  <si>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</si>
  <si>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</si>
  <si>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</si>
  <si>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</si>
  <si>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</si>
  <si>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</si>
  <si>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</si>
  <si>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</si>
  <si>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</si>
  <si>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</si>
  <si>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</si>
  <si>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</si>
  <si>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</si>
  <si>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</si>
  <si>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</si>
  <si>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</si>
  <si>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</si>
  <si>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</si>
  <si>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</si>
  <si>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</si>
  <si>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</si>
  <si>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</si>
  <si>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</si>
  <si>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</si>
  <si>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</si>
  <si>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</si>
  <si>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</si>
  <si>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</si>
  <si>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</si>
  <si>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</si>
  <si>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</si>
  <si>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</si>
  <si>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</si>
  <si>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</si>
  <si>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</si>
  <si>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</si>
  <si>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</si>
  <si>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</si>
  <si>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</si>
  <si>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</si>
  <si>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</si>
  <si>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</si>
  <si>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</si>
  <si>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</si>
  <si>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</si>
  <si>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</si>
  <si>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</si>
  <si>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</si>
  <si>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</si>
  <si>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</si>
  <si>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</si>
  <si>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</si>
  <si>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</si>
  <si>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</si>
  <si>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</si>
  <si>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</si>
  <si>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</si>
  <si>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</si>
  <si>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</si>
  <si>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</si>
  <si>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</si>
  <si>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</si>
  <si>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</si>
  <si>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</si>
  <si>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</si>
  <si>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</si>
  <si>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</si>
  <si>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</si>
  <si>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</si>
  <si>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</si>
  <si>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</si>
  <si>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</si>
  <si>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</si>
  <si>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</si>
  <si>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</si>
  <si>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</si>
  <si>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</si>
  <si>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</si>
  <si>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</si>
  <si>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</si>
  <si>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</si>
  <si>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</si>
  <si>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</si>
  <si>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</si>
  <si>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</si>
  <si>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</si>
  <si>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</si>
  <si>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</si>
  <si>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</si>
  <si>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</si>
  <si>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</si>
  <si>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</si>
  <si>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</si>
  <si>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</si>
  <si>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</si>
  <si>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</si>
  <si>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</si>
  <si>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</si>
  <si>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</si>
  <si>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</si>
  <si>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</si>
  <si>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</si>
  <si>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</si>
  <si>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</si>
  <si>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</si>
  <si>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</si>
  <si>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</si>
  <si>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</si>
  <si>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</si>
  <si>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</si>
  <si>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</si>
  <si>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</si>
  <si>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</si>
  <si>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</si>
  <si>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</si>
  <si>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</si>
  <si>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</si>
  <si>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</si>
  <si>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</si>
  <si>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</si>
  <si>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</si>
  <si>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</si>
  <si>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</si>
  <si>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</si>
  <si>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</si>
  <si>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</si>
  <si>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</si>
  <si>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</si>
  <si>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</si>
  <si>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</si>
  <si>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</si>
  <si>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</si>
  <si>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</si>
  <si>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</si>
  <si>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</si>
  <si>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</si>
  <si>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</si>
  <si>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</si>
  <si>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</si>
  <si>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</si>
  <si>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</si>
  <si>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</si>
  <si>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</si>
  <si>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</si>
  <si>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</si>
  <si>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</si>
  <si>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</si>
  <si>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</si>
  <si>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</si>
  <si>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</si>
  <si>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</si>
  <si>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</si>
  <si>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</si>
  <si>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</si>
  <si>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</si>
  <si>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</si>
  <si>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</si>
  <si>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</si>
  <si>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</si>
  <si>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</si>
  <si>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</si>
  <si>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</si>
  <si>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</si>
  <si>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</si>
  <si>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</si>
  <si>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</si>
  <si>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</si>
  <si>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</si>
  <si>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</si>
  <si>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</si>
  <si>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</si>
  <si>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</si>
  <si>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</si>
  <si>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</si>
  <si>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</si>
  <si>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</si>
  <si>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</si>
  <si>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</si>
  <si>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</si>
  <si>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</si>
  <si>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</si>
  <si>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</si>
  <si>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</si>
  <si>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</si>
  <si>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</si>
  <si>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</si>
  <si>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</si>
  <si>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</si>
  <si>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</si>
  <si>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</si>
  <si>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</si>
  <si>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</si>
  <si>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</si>
  <si>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</si>
  <si>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</si>
  <si>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</si>
  <si>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</si>
  <si>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</si>
  <si>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</si>
  <si>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</si>
  <si>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</si>
  <si>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</si>
  <si>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</si>
  <si>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</si>
  <si>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</si>
  <si>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</si>
  <si>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</si>
  <si>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</si>
  <si>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</si>
  <si>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</si>
  <si>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</si>
  <si>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</si>
  <si>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</si>
  <si>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</si>
  <si>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</si>
  <si>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</si>
  <si>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</si>
  <si>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</si>
  <si>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</si>
  <si>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</si>
  <si>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</si>
  <si>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</si>
  <si>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</si>
  <si>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</si>
  <si>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</si>
  <si>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</si>
  <si>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</si>
  <si>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</si>
  <si>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</si>
  <si>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</si>
  <si>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</si>
  <si>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</si>
  <si>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</si>
  <si>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</si>
  <si>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</si>
  <si>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</si>
  <si>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</si>
  <si>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</si>
  <si>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</si>
  <si>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</si>
  <si>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</si>
  <si>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</si>
  <si>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</si>
  <si>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</si>
  <si>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</si>
  <si>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</si>
  <si>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</si>
  <si>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</si>
  <si>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</si>
  <si>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</si>
  <si>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</si>
  <si>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</si>
  <si>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</si>
  <si>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</si>
  <si>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</si>
  <si>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</si>
  <si>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</si>
  <si>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</si>
  <si>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</si>
  <si>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</si>
  <si>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</si>
  <si>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</si>
  <si>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</si>
  <si>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</si>
  <si>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</si>
  <si>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</si>
  <si>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</si>
  <si>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</si>
  <si>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</si>
  <si>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</si>
  <si>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</si>
  <si>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</si>
  <si>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</si>
  <si>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</si>
  <si>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</si>
  <si>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</si>
  <si>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</si>
  <si>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</si>
  <si>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</si>
  <si>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</si>
  <si>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</si>
  <si>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</si>
  <si>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</si>
  <si>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</si>
  <si>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</si>
  <si>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</si>
  <si>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</si>
  <si>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</si>
  <si>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</si>
  <si>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</si>
  <si>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</si>
  <si>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</si>
  <si>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</si>
  <si>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</si>
  <si>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</si>
  <si>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</si>
  <si>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</si>
  <si>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</si>
  <si>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</si>
  <si>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</si>
  <si>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</si>
  <si>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</si>
  <si>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</si>
  <si>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</si>
  <si>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</si>
  <si>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</si>
  <si>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</si>
  <si>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</si>
  <si>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</si>
  <si>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</si>
  <si>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</si>
  <si>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</si>
  <si>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</si>
  <si>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</si>
  <si>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</si>
  <si>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</si>
  <si>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</si>
  <si>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</si>
  <si>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</si>
  <si>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</si>
  <si>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</si>
  <si>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</si>
  <si>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</si>
  <si>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</si>
  <si>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</si>
  <si>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</si>
  <si>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</si>
  <si>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</si>
  <si>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</si>
  <si>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</si>
  <si>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</si>
  <si>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</si>
  <si>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</si>
  <si>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</si>
  <si>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</si>
  <si>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</si>
  <si>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</si>
  <si>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</si>
  <si>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</si>
  <si>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</si>
  <si>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</si>
  <si>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</si>
  <si>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</si>
  <si>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</si>
  <si>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</si>
  <si>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</si>
  <si>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</si>
  <si>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</si>
  <si>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</si>
  <si>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</si>
  <si>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</si>
  <si>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</si>
  <si>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</si>
  <si>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</si>
  <si>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</si>
  <si>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</si>
  <si>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</si>
  <si>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</si>
  <si>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</si>
  <si>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</si>
  <si>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</si>
  <si>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</si>
  <si>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</si>
  <si>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</si>
  <si>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</si>
  <si>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</si>
  <si>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</si>
  <si>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</si>
  <si>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</si>
  <si>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</si>
  <si>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</si>
  <si>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</si>
  <si>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</si>
  <si>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</si>
  <si>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</si>
  <si>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</si>
  <si>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</si>
  <si>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</si>
  <si>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</si>
  <si>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</si>
  <si>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</si>
  <si>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</si>
  <si>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</si>
  <si>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</si>
  <si>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</si>
  <si>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</si>
  <si>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</si>
  <si>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</si>
  <si>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</si>
  <si>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</si>
  <si>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</si>
  <si>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</si>
  <si>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</si>
  <si>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</si>
  <si>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</si>
  <si>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</si>
  <si>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</si>
  <si>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</si>
  <si>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</si>
  <si>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</si>
  <si>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</si>
  <si>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</si>
  <si>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</si>
  <si>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</si>
  <si>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</si>
  <si>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</si>
  <si>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</si>
  <si>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</si>
  <si>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</si>
  <si>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</si>
  <si>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</si>
  <si>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</si>
  <si>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</si>
  <si>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</si>
  <si>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</si>
  <si>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</si>
  <si>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</si>
  <si>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</si>
  <si>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</si>
  <si>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</si>
  <si>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</si>
  <si>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</si>
  <si>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</si>
  <si>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</si>
  <si>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</si>
  <si>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</si>
  <si>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</si>
  <si>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</si>
  <si>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</si>
  <si>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</si>
  <si>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</si>
  <si>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</si>
  <si>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</si>
  <si>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</si>
  <si>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</si>
  <si>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</si>
  <si>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</si>
  <si>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</si>
  <si>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</si>
  <si>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</si>
  <si>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</si>
  <si>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</si>
  <si>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</si>
  <si>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</si>
  <si>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</si>
  <si>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</si>
  <si>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</si>
  <si>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</si>
  <si>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</si>
  <si>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</si>
  <si>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</si>
  <si>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</si>
  <si>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</si>
  <si>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</si>
  <si>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</si>
  <si>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</si>
  <si>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</si>
  <si>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</si>
  <si>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</si>
  <si>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</si>
  <si>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</si>
  <si>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</si>
  <si>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</si>
  <si>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</si>
  <si>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</si>
  <si>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</si>
  <si>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</si>
  <si>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</si>
  <si>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</si>
  <si>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</si>
  <si>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</si>
  <si>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</si>
  <si>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</si>
  <si>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</si>
  <si>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</si>
  <si>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</si>
  <si>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</si>
  <si>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</si>
  <si>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</si>
  <si>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</si>
  <si>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</si>
  <si>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</si>
  <si>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</si>
  <si>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</si>
  <si>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</si>
  <si>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</si>
  <si>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</si>
  <si>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</si>
  <si>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</si>
  <si>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</si>
  <si>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</si>
  <si>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</si>
  <si>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</si>
  <si>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</si>
  <si>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</si>
  <si>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</si>
  <si>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</si>
  <si>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</si>
  <si>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</si>
  <si>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</si>
  <si>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</si>
  <si>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</si>
  <si>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</si>
  <si>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</si>
  <si>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</si>
  <si>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</si>
  <si>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</si>
  <si>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</si>
  <si>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</si>
  <si>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</si>
  <si>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</si>
  <si>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</si>
  <si>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</si>
  <si>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</si>
  <si>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</si>
  <si>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</si>
  <si>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</si>
  <si>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</si>
  <si>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</si>
  <si>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</si>
  <si>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</si>
  <si>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</si>
  <si>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</si>
  <si>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</si>
  <si>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</si>
  <si>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</si>
  <si>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</si>
  <si>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</si>
  <si>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</si>
  <si>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</si>
  <si>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</si>
  <si>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</si>
  <si>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</si>
  <si>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</si>
  <si>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</si>
  <si>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</si>
  <si>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</si>
  <si>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</si>
  <si>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</si>
  <si>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</si>
  <si>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</si>
  <si>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</si>
  <si>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</si>
  <si>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</si>
  <si>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</si>
  <si>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</si>
  <si>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</si>
  <si>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</si>
  <si>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</si>
  <si>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</si>
  <si>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</si>
  <si>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</si>
  <si>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</si>
  <si>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</si>
  <si>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</si>
  <si>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</si>
  <si>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</si>
  <si>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</si>
  <si>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</si>
  <si>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</si>
  <si>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</si>
  <si>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</si>
  <si>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</si>
  <si>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</si>
  <si>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</si>
  <si>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</si>
  <si>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</si>
  <si>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</si>
  <si>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</si>
  <si>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</si>
  <si>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</si>
  <si>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</si>
  <si>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</si>
  <si>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</si>
  <si>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</si>
  <si>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</si>
  <si>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</si>
  <si>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</si>
  <si>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</si>
  <si>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</si>
  <si>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</si>
  <si>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</si>
  <si>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</si>
  <si>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</si>
  <si>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</si>
  <si>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</si>
  <si>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</si>
  <si>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</si>
  <si>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</si>
  <si>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</si>
  <si>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</si>
  <si>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</si>
  <si>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</si>
  <si>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</si>
  <si>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</si>
  <si>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</si>
  <si>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</si>
  <si>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</si>
  <si>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</si>
  <si>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</si>
  <si>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</si>
  <si>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</si>
  <si>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</si>
  <si>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</si>
  <si>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</si>
  <si>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</si>
  <si>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</si>
  <si>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</si>
  <si>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</si>
  <si>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</si>
  <si>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商业</t>
  </si>
  <si>
    <t>地上</t>
  </si>
  <si>
    <t>车库</t>
  </si>
  <si>
    <t>比较法-住宅、综合</t>
  </si>
  <si>
    <t>剩余法-待开发</t>
  </si>
  <si>
    <t>时间</t>
  </si>
  <si>
    <t>水平值</t>
  </si>
  <si>
    <t>环比增长率</t>
  </si>
  <si>
    <t>指数</t>
  </si>
  <si>
    <t>平层住宅</t>
  </si>
  <si>
    <t>不动产收益法</t>
  </si>
  <si>
    <t>售价</t>
  </si>
  <si>
    <t>土地（套用方法）</t>
  </si>
  <si>
    <t>押一</t>
  </si>
  <si>
    <t>http://www.hzjg.gov.cn/11760.html</t>
    <phoneticPr fontId="3" type="noConversion"/>
  </si>
  <si>
    <r>
      <rPr>
        <sz val="11"/>
        <color indexed="8"/>
        <rFont val="宋体"/>
        <family val="3"/>
        <charset val="134"/>
      </rPr>
      <t>住宅</t>
    </r>
    <r>
      <rPr>
        <sz val="11"/>
        <color indexed="8"/>
        <rFont val="Arial"/>
        <family val="2"/>
      </rPr>
      <t>68.35</t>
    </r>
    <r>
      <rPr>
        <sz val="11"/>
        <color indexed="8"/>
        <rFont val="宋体"/>
        <family val="3"/>
        <charset val="134"/>
      </rPr>
      <t>年、商业</t>
    </r>
    <r>
      <rPr>
        <sz val="11"/>
        <color indexed="8"/>
        <rFont val="Arial"/>
        <family val="2"/>
      </rPr>
      <t>38.</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</si>
  <si>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</si>
  <si>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</si>
  <si>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六通</t>
  </si>
  <si>
    <t>六通一平</t>
  </si>
  <si>
    <t>60-70（含）</t>
  </si>
  <si>
    <t>绿城玉兰花园二期</t>
    <phoneticPr fontId="3" type="noConversion"/>
  </si>
  <si>
    <t>苕溪壹号</t>
    <phoneticPr fontId="3" type="noConversion"/>
  </si>
  <si>
    <t>融创十锦台</t>
    <phoneticPr fontId="3" type="noConversion"/>
  </si>
  <si>
    <t>主干道</t>
    <phoneticPr fontId="21" type="noConversion"/>
  </si>
  <si>
    <t>80-130</t>
    <phoneticPr fontId="21" type="noConversion"/>
  </si>
  <si>
    <t>100-120</t>
    <phoneticPr fontId="21" type="noConversion"/>
  </si>
  <si>
    <t>100-140</t>
    <phoneticPr fontId="21" type="noConversion"/>
  </si>
  <si>
    <t>100-130</t>
    <phoneticPr fontId="21" type="noConversion"/>
  </si>
  <si>
    <t>毛坯</t>
  </si>
  <si>
    <t>一般</t>
  </si>
  <si>
    <t>项目全部</t>
  </si>
  <si>
    <t>土地</t>
  </si>
  <si>
    <t>杭州监测指标情况一览表</t>
  </si>
  <si>
    <t>规划用地面积</t>
    <phoneticPr fontId="233" type="noConversion"/>
  </si>
  <si>
    <t>地上建筑面积</t>
    <phoneticPr fontId="233" type="noConversion"/>
  </si>
  <si>
    <t>住宅</t>
    <phoneticPr fontId="233" type="noConversion"/>
  </si>
  <si>
    <t>配套商业</t>
    <phoneticPr fontId="233" type="noConversion"/>
  </si>
  <si>
    <t>物管等配套用房</t>
    <phoneticPr fontId="233" type="noConversion"/>
  </si>
  <si>
    <t>物业管理用房</t>
    <phoneticPr fontId="233" type="noConversion"/>
  </si>
  <si>
    <t>物业经营用房</t>
    <phoneticPr fontId="233" type="noConversion"/>
  </si>
  <si>
    <t>其余配套用房</t>
    <phoneticPr fontId="233" type="noConversion"/>
  </si>
  <si>
    <t>其中</t>
    <phoneticPr fontId="233" type="noConversion"/>
  </si>
  <si>
    <t>容积率</t>
    <phoneticPr fontId="233" type="noConversion"/>
  </si>
  <si>
    <t>正常操作</t>
  </si>
  <si>
    <t>五通一平</t>
  </si>
  <si>
    <t>住宅</t>
    <phoneticPr fontId="7" type="noConversion"/>
  </si>
  <si>
    <t>地下建筑面积</t>
    <phoneticPr fontId="233" type="noConversion"/>
  </si>
  <si>
    <t>其中</t>
    <phoneticPr fontId="233" type="noConversion"/>
  </si>
  <si>
    <t>地下车库</t>
    <phoneticPr fontId="233" type="noConversion"/>
  </si>
  <si>
    <t>其他地下室</t>
    <phoneticPr fontId="233" type="noConversion"/>
  </si>
  <si>
    <t>总建筑面积</t>
    <phoneticPr fontId="233" type="noConversion"/>
  </si>
  <si>
    <t>架空层面积</t>
    <phoneticPr fontId="233" type="noConversion"/>
  </si>
  <si>
    <t>车位收益法</t>
  </si>
  <si>
    <t>车位收益法</t>
    <phoneticPr fontId="14" type="noConversion"/>
  </si>
  <si>
    <t>临安市城东湖滨新区QLC-05地块</t>
    <phoneticPr fontId="3" type="noConversion"/>
  </si>
  <si>
    <t>锦北街道马溪路原帝龙D-R/B-0地块</t>
    <phoneticPr fontId="3" type="noConversion"/>
  </si>
  <si>
    <t>锦城街道长路畈地块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</si>
</sst>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313131"/>
      <name val="宋体"/>
      <family val="3"/>
      <charset val="134"/>
      <scheme val="minor"/>
    </font>
    <font>
      <sz val="9"/>
      <color rgb="FF2E2E2E"/>
      <name val="微软雅黑"/>
      <family val="2"/>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0" fillId="0" borderId="2" xfId="0" applyBorder="1">
      <alignment vertical="center"/>
    </xf>
    <xf numFmtId="0" fontId="145" fillId="0" borderId="2" xfId="0" applyFont="1" applyBorder="1" applyAlignment="1">
      <alignment vertical="center" wrapText="1"/>
    </xf>
    <xf numFmtId="0" fontId="0" fillId="0" borderId="2" xfId="0" applyBorder="1" applyAlignment="1">
      <alignment vertical="center" wrapText="1"/>
    </xf>
    <xf numFmtId="0" fontId="278" fillId="16" borderId="2" xfId="0" applyFont="1" applyFill="1" applyBorder="1" applyAlignment="1">
      <alignment horizontal="center"/>
    </xf>
    <xf numFmtId="0" fontId="145" fillId="0" borderId="2" xfId="0" applyFont="1" applyBorder="1" applyAlignment="1">
      <alignment horizontal="left" vertical="center" wrapText="1"/>
    </xf>
    <xf numFmtId="0" fontId="145" fillId="0" borderId="2" xfId="0" applyFont="1" applyBorder="1" applyAlignment="1">
      <alignment horizontal="right" vertical="center" wrapText="1"/>
    </xf>
    <xf numFmtId="0" fontId="0" fillId="0" borderId="2" xfId="0" applyBorder="1" applyAlignment="1">
      <alignment horizontal="right" vertical="center" wrapText="1"/>
    </xf>
    <xf numFmtId="0" fontId="145" fillId="17" borderId="2" xfId="0" applyFont="1" applyFill="1" applyBorder="1" applyAlignment="1">
      <alignment horizontal="left" vertical="center" wrapText="1"/>
    </xf>
    <xf numFmtId="0" fontId="145" fillId="17" borderId="2" xfId="0" applyFont="1" applyFill="1" applyBorder="1" applyAlignment="1">
      <alignment horizontal="right" vertical="center" wrapText="1"/>
    </xf>
    <xf numFmtId="0" fontId="0" fillId="17" borderId="2" xfId="0" applyFill="1" applyBorder="1" applyAlignment="1">
      <alignment horizontal="right" vertical="center" wrapText="1"/>
    </xf>
    <xf numFmtId="0" fontId="279" fillId="13" borderId="2" xfId="0" applyFont="1" applyFill="1" applyBorder="1" applyAlignment="1">
      <alignment horizontal="left" vertical="center" wrapText="1"/>
    </xf>
    <xf numFmtId="0" fontId="279" fillId="13" borderId="2" xfId="0" applyFont="1" applyFill="1" applyBorder="1" applyAlignment="1">
      <alignment horizontal="right" vertical="center" wrapText="1"/>
    </xf>
    <xf numFmtId="176" fontId="11" fillId="7" borderId="2"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vertical="center" wrapText="1"/>
      <protection locked="0"/>
    </xf>
    <xf numFmtId="0" fontId="71" fillId="7" borderId="16" xfId="0" applyFont="1" applyFill="1" applyBorder="1" applyProtection="1">
      <alignment vertical="center"/>
    </xf>
    <xf numFmtId="0" fontId="145" fillId="0" borderId="2" xfId="0" applyFont="1" applyBorder="1">
      <alignment vertical="center"/>
    </xf>
    <xf numFmtId="0" fontId="0" fillId="0" borderId="2" xfId="0" applyFill="1" applyBorder="1" applyAlignment="1">
      <alignment vertical="center" wrapText="1"/>
    </xf>
    <xf numFmtId="0" fontId="0" fillId="0" borderId="2" xfId="0" applyFill="1" applyBorder="1">
      <alignment vertical="center"/>
    </xf>
    <xf numFmtId="0" fontId="86" fillId="9" borderId="25"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76" fillId="7" borderId="2" xfId="2" applyNumberFormat="1" applyFont="1" applyFill="1" applyBorder="1" applyAlignment="1" applyProtection="1">
      <alignment horizontal="center" vertical="center"/>
      <protection locked="0"/>
    </xf>
    <xf numFmtId="177" fontId="71" fillId="7" borderId="2"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280" fillId="0" borderId="5" xfId="0" applyFont="1" applyBorder="1" applyAlignment="1">
      <alignment horizontal="center" vertical="center"/>
    </xf>
    <xf numFmtId="0" fontId="280" fillId="0" borderId="8" xfId="0" applyFont="1" applyBorder="1" applyAlignment="1">
      <alignment horizontal="center" vertical="center"/>
    </xf>
    <xf numFmtId="0" fontId="280" fillId="0" borderId="9" xfId="0" applyFont="1" applyBorder="1" applyAlignment="1">
      <alignment horizontal="center" vertical="center"/>
    </xf>
    <xf numFmtId="0" fontId="145"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8&#29256;&#26412;&#21830;&#19994;-&#19968;&#2345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划指标"/>
      <sheetName val="规划指标 (2)"/>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公寓-比较法"/>
      <sheetName val="办公-收益法"/>
      <sheetName val="购物中心+步行街-收益法"/>
      <sheetName val="地下一层-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车位-收益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71231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2664</v>
      </c>
      <c r="B1" s="2918" t="s">
        <v>2761</v>
      </c>
    </row>
    <row r="2" spans="1:55" s="2922" customFormat="1" ht="15" thickTop="1">
      <c r="A2" s="2920" t="s">
        <v>2668</v>
      </c>
      <c r="B2" s="2921" t="str">
        <f>'预评函-封皮'!B37</f>
        <v>出让国有建设用地使用权抵押价格预评估</v>
      </c>
      <c r="AX2" s="2923"/>
      <c r="AZ2" s="2923"/>
      <c r="BA2" s="2924"/>
      <c r="BC2" s="2924"/>
    </row>
    <row r="3" spans="1:55" s="2925" customFormat="1">
      <c r="A3" s="2904" t="s">
        <v>2669</v>
      </c>
      <c r="B3" s="2907">
        <f>'预评函-封皮'!B40</f>
        <v>0</v>
      </c>
    </row>
    <row r="4" spans="1:55" s="2906" customFormat="1">
      <c r="A4" s="2904" t="s">
        <v>2670</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2671</v>
      </c>
      <c r="B5" s="2927" t="str">
        <f>'预评函-封皮'!B49</f>
        <v>康正预评字号</v>
      </c>
    </row>
    <row r="6" spans="1:55" s="2928" customFormat="1" ht="15" thickTop="1">
      <c r="A6" s="2920" t="s">
        <v>2713</v>
      </c>
      <c r="B6" s="2921" t="str">
        <f>'预评函-1'!A4</f>
        <v>受贵公司委托，我公司对出让国有建设用地使用权抵押价格进行了预评估。</v>
      </c>
      <c r="AM6" s="2929"/>
    </row>
    <row r="7" spans="1:55" s="2903" customFormat="1">
      <c r="A7" s="2904" t="s">
        <v>2665</v>
      </c>
      <c r="B7" s="2905" t="str">
        <f>'预评函-1'!A6</f>
        <v>估价对象为使用的、位于出让国有建设用地使用权。根据《国有土地使用证》[]，估价对象（分摊）出让国有建设用地使用权面积为36665.2平方米。根据《建设工程规划许可证》[]、《出让合同》[]，估价对象规划建筑面积为113662.12平方米。</v>
      </c>
    </row>
    <row r="8" spans="1:55" s="2903" customFormat="1">
      <c r="A8" s="2904" t="s">
        <v>2666</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2716</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2667</v>
      </c>
      <c r="B10" s="2905" t="str">
        <f>'预评函-1'!A11</f>
        <v>2018年2月7日（评估专业人员勘察现场之日）</v>
      </c>
    </row>
    <row r="11" spans="1:55" s="2903" customFormat="1">
      <c r="A11" s="2904" t="s">
        <v>2673</v>
      </c>
      <c r="B11" s="2905" t="str">
        <f>'预评函-1'!A14</f>
        <v>根据《国有土地使用证》[]，本次评估估价对象证载（地类）用途为。</v>
      </c>
    </row>
    <row r="12" spans="1:55" s="2903" customFormat="1">
      <c r="A12" s="2904" t="s">
        <v>2674</v>
      </c>
      <c r="B12" s="2905" t="str">
        <f>'预评函-1'!A15</f>
        <v>本次评估设定用途即为证载用途。</v>
      </c>
    </row>
    <row r="13" spans="1:55" s="2903" customFormat="1">
      <c r="A13" s="2904" t="s">
        <v>2675</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2676</v>
      </c>
      <c r="B14" s="2905" t="str">
        <f>'预评函-1'!A18</f>
        <v>。本次评估设定土地开发程度为红线外市政基础设施达“七通”、宗地红线内场地平整。</v>
      </c>
    </row>
    <row r="15" spans="1:55" s="2903" customFormat="1">
      <c r="A15" s="2904" t="s">
        <v>2672</v>
      </c>
      <c r="B15" s="2905" t="str">
        <f>'预评函-1'!A20</f>
        <v>根据《国有土地使用证》[]，估价对象（分摊）出让国有建设用地使用权面积为36665.2平方米。根据《建设工程规划许可证》[]、《出让合同》[]，估价对象规划建筑面积为113662.12平方米。</v>
      </c>
    </row>
    <row r="16" spans="1:55" s="2903" customFormat="1">
      <c r="A16" s="2904" t="s">
        <v>2677</v>
      </c>
      <c r="B16" s="2905" t="str">
        <f>'预评函-1'!A22</f>
        <v>本次估价对象为出让国有建设用地使用权，《国有土地使用证》[]证载土地终止日期为住宅2086年5月30日、商业2056年5月30日车库2066年5月30日。截至估价期日，出让国有建设用地使用权剩余土地使用年限为。</v>
      </c>
    </row>
    <row r="17" spans="1:48" s="2903" customFormat="1">
      <c r="A17" s="2904" t="s">
        <v>2678</v>
      </c>
      <c r="B17" s="2905" t="str">
        <f>'预评函-1'!A23</f>
        <v>本次评估设定估价对象剩余土地使用年限为。</v>
      </c>
    </row>
    <row r="18" spans="1:48" s="2903" customFormat="1">
      <c r="A18" s="2904" t="s">
        <v>2679</v>
      </c>
      <c r="B18" s="2905"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19" spans="1:48" s="2903" customFormat="1">
      <c r="A19" s="2904" t="s">
        <v>2680</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2681</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2682</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2683</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2684</v>
      </c>
      <c r="B23" s="2905" t="str">
        <f>'预评函-2'!K2</f>
        <v>估价期日：2018年2月7日</v>
      </c>
    </row>
    <row r="24" spans="1:48">
      <c r="A24" s="2904" t="s">
        <v>2685</v>
      </c>
      <c r="B24" s="2905" t="str">
        <f>'预评函-2'!R2</f>
        <v>估价期日的国有建设用地使用权性质：出让</v>
      </c>
    </row>
    <row r="25" spans="1:48">
      <c r="A25" s="2904" t="s">
        <v>2741</v>
      </c>
      <c r="B25" s="2905" t="str">
        <f>'预评函-2'!A3</f>
        <v>估价期日土地使用者</v>
      </c>
    </row>
    <row r="26" spans="1:48">
      <c r="A26" s="2904" t="s">
        <v>2717</v>
      </c>
      <c r="B26" s="2905" t="str">
        <f>'预评函-2'!A5</f>
        <v>中信开发</v>
      </c>
    </row>
    <row r="27" spans="1:48">
      <c r="A27" s="2904" t="s">
        <v>2742</v>
      </c>
      <c r="B27" s="2905" t="str">
        <f>'预评函-2'!B3</f>
        <v>宗地编号/不动产单元号</v>
      </c>
    </row>
    <row r="28" spans="1:48">
      <c r="A28" s="2904" t="s">
        <v>2718</v>
      </c>
      <c r="B28" s="2905" t="str">
        <f>'预评函-2'!B5</f>
        <v>11111111111</v>
      </c>
    </row>
    <row r="29" spans="1:48">
      <c r="A29" s="2904" t="s">
        <v>2744</v>
      </c>
      <c r="B29" s="2905">
        <f>'预评函-2'!C5</f>
        <v>22</v>
      </c>
    </row>
    <row r="30" spans="1:48">
      <c r="A30" s="2904" t="s">
        <v>2745</v>
      </c>
      <c r="B30" s="2905" t="str">
        <f>'预评函-2'!D3</f>
        <v>土地使用证编号/不动产权证书编号</v>
      </c>
    </row>
    <row r="31" spans="1:48">
      <c r="A31" s="2904" t="s">
        <v>2719</v>
      </c>
      <c r="B31" s="2905" t="str">
        <f>'预评函-2'!D5</f>
        <v>京国土字第111号</v>
      </c>
    </row>
    <row r="32" spans="1:48">
      <c r="A32" s="2904" t="s">
        <v>2720</v>
      </c>
      <c r="B32" s="2905">
        <f>'预评函-2'!E5</f>
        <v>0</v>
      </c>
      <c r="AV32" s="2909"/>
    </row>
    <row r="33" spans="1:2">
      <c r="A33" s="2904" t="s">
        <v>2721</v>
      </c>
      <c r="B33" s="2905">
        <f>'预评函-2'!F5</f>
        <v>258</v>
      </c>
    </row>
    <row r="34" spans="1:2">
      <c r="A34" s="2904" t="s">
        <v>2722</v>
      </c>
      <c r="B34" s="2905">
        <f>'预评函-2'!G5</f>
        <v>0</v>
      </c>
    </row>
    <row r="35" spans="1:2">
      <c r="A35" s="2904" t="s">
        <v>2723</v>
      </c>
      <c r="B35" s="2905">
        <f>'预评函-2'!H5</f>
        <v>1.5</v>
      </c>
    </row>
    <row r="36" spans="1:2">
      <c r="A36" s="2904" t="s">
        <v>2724</v>
      </c>
      <c r="B36" s="2905">
        <f>'预评函-2'!I5</f>
        <v>1.5</v>
      </c>
    </row>
    <row r="37" spans="1:2">
      <c r="A37" s="2904" t="s">
        <v>2725</v>
      </c>
      <c r="B37" s="2905">
        <f>'预评函-2'!J5</f>
        <v>1.5</v>
      </c>
    </row>
    <row r="38" spans="1:2">
      <c r="A38" s="2904" t="s">
        <v>2726</v>
      </c>
      <c r="B38" s="2905" t="str">
        <f>'预评函-2'!K5</f>
        <v>红线外七通、宗地红线内</v>
      </c>
    </row>
    <row r="39" spans="1:2">
      <c r="A39" s="2904" t="s">
        <v>2727</v>
      </c>
      <c r="B39" s="2905" t="str">
        <f>'预评函-2'!L5</f>
        <v>红线外七通、宗地红线内场地</v>
      </c>
    </row>
    <row r="40" spans="1:2">
      <c r="A40" s="2904" t="s">
        <v>2746</v>
      </c>
      <c r="B40" s="2905" t="str">
        <f>'预评函-2'!M3</f>
        <v>（剩余）土地使用年限/年</v>
      </c>
    </row>
    <row r="41" spans="1:2">
      <c r="A41" s="2904" t="s">
        <v>2728</v>
      </c>
      <c r="B41" s="2905">
        <f>'预评函-2'!M5</f>
        <v>0</v>
      </c>
    </row>
    <row r="42" spans="1:2">
      <c r="A42" s="2904" t="s">
        <v>2747</v>
      </c>
      <c r="B42" s="2905" t="str">
        <f>'预评函-2'!N3</f>
        <v>（分摊）出让国有建设用地使用权面积/㎡</v>
      </c>
    </row>
    <row r="43" spans="1:2">
      <c r="A43" s="2904" t="s">
        <v>2729</v>
      </c>
      <c r="B43" s="2905">
        <f>'预评函-2'!N5</f>
        <v>36665.199999999997</v>
      </c>
    </row>
    <row r="44" spans="1:2">
      <c r="A44" s="2904" t="s">
        <v>2748</v>
      </c>
      <c r="B44" s="2905" t="str">
        <f>'预评函-2'!O3</f>
        <v>规划建筑面积/㎡</v>
      </c>
    </row>
    <row r="45" spans="1:2">
      <c r="A45" s="2904" t="s">
        <v>2730</v>
      </c>
      <c r="B45" s="2905">
        <f>'预评函-2'!O5</f>
        <v>113662.12</v>
      </c>
    </row>
    <row r="46" spans="1:2">
      <c r="A46" s="2904" t="s">
        <v>2731</v>
      </c>
      <c r="B46" s="2905">
        <f ca="1">'预评函-2'!P5</f>
        <v>35485</v>
      </c>
    </row>
    <row r="47" spans="1:2">
      <c r="A47" s="2904" t="s">
        <v>2732</v>
      </c>
      <c r="B47" s="2905">
        <f ca="1">'预评函-2'!Q5</f>
        <v>11447</v>
      </c>
    </row>
    <row r="48" spans="1:2">
      <c r="A48" s="2904" t="s">
        <v>2733</v>
      </c>
      <c r="B48" s="2905">
        <f ca="1">'预评函-2'!R5</f>
        <v>130108</v>
      </c>
    </row>
    <row r="49" spans="1:2">
      <c r="A49" s="2904" t="s">
        <v>2749</v>
      </c>
      <c r="B49" s="2905" t="str">
        <f>'预评函-2'!A6</f>
        <v>抵押价格</v>
      </c>
    </row>
    <row r="50" spans="1:2">
      <c r="A50" s="2904" t="s">
        <v>2734</v>
      </c>
      <c r="B50" s="2905">
        <f ca="1">'预评函-2'!R6</f>
        <v>95108</v>
      </c>
    </row>
    <row r="51" spans="1:2">
      <c r="A51" s="2904" t="s">
        <v>2750</v>
      </c>
      <c r="B51" s="2905" t="str">
        <f>'预评函-2'!A7</f>
        <v>——</v>
      </c>
    </row>
    <row r="52" spans="1:2">
      <c r="A52" s="2904" t="s">
        <v>2735</v>
      </c>
      <c r="B52" s="2905" t="str">
        <f>'预评函-2'!R7</f>
        <v>——</v>
      </c>
    </row>
    <row r="53" spans="1:2">
      <c r="A53" s="2904" t="s">
        <v>2751</v>
      </c>
      <c r="B53" s="2905" t="str">
        <f>'预评函-2'!A8</f>
        <v>抵押净值</v>
      </c>
    </row>
    <row r="54" spans="1:2" s="2919" customFormat="1" ht="15" thickBot="1">
      <c r="A54" s="2926" t="s">
        <v>2736</v>
      </c>
      <c r="B54" s="2927">
        <f ca="1">'预评函-2'!R8</f>
        <v>46634</v>
      </c>
    </row>
    <row r="55" spans="1:2" ht="15" thickTop="1">
      <c r="A55" s="2915" t="s">
        <v>2686</v>
      </c>
      <c r="B55" s="2916" t="str">
        <f>'预评函-3'!A2</f>
        <v>1.权利限制：根据估价对象《不动产权证书》原件、《国有土地使用权》复印件，截至估价期日，估价对象抵押权未见登记。未设定租赁等其他他项权利。</v>
      </c>
    </row>
    <row r="56" spans="1:2">
      <c r="A56" s="2904" t="s">
        <v>2687</v>
      </c>
      <c r="B56" s="2905" t="str">
        <f>'预评函-3'!A3</f>
        <v>2.基础设施条件：估价对象实际开发程度为红线外七通、宗地红线内；本次评估设定开发程度为红线外七通、宗地红线内场地。</v>
      </c>
    </row>
    <row r="57" spans="1:2">
      <c r="A57" s="2904" t="s">
        <v>2688</v>
      </c>
      <c r="B57" s="2905" t="str">
        <f>'预评函-3'!A4</f>
        <v>3.估价规划限制条件：详见《建设工程规划许可证》[]、《出让合同》[]。</v>
      </c>
    </row>
    <row r="58" spans="1:2" s="2919" customFormat="1" ht="15" thickBot="1">
      <c r="A58" s="2926" t="s">
        <v>2737</v>
      </c>
      <c r="B58" s="2927" t="str">
        <f>'预评函-3'!A5</f>
        <v>4.影响价格的其他限定条件：无。</v>
      </c>
    </row>
    <row r="59" spans="1:2" ht="15" thickTop="1">
      <c r="A59" s="2915" t="s">
        <v>2689</v>
      </c>
      <c r="B59" s="2916" t="str">
        <f>'预评函-3'!A8</f>
        <v>2.本《评估意见函》仅供金融机构进行内部审核使用，不做其他目的之用。</v>
      </c>
    </row>
    <row r="60" spans="1:2">
      <c r="A60" s="2904" t="s">
        <v>2690</v>
      </c>
      <c r="B60" s="2905" t="str">
        <f>'预评函-3'!A9</f>
        <v>3.抵押双方在办理抵押登记手续时，应使用本公司出具的正式《土地估价报告》，特提请报告使用者注意。</v>
      </c>
    </row>
    <row r="61" spans="1:2">
      <c r="A61" s="2904" t="s">
        <v>2692</v>
      </c>
      <c r="B61" s="2905" t="str">
        <f>'预评函-3'!A10</f>
        <v>4.估价师所知悉的法定优先受偿款情况为：</v>
      </c>
    </row>
    <row r="62" spans="1:2">
      <c r="A62" s="2904" t="s">
        <v>2691</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2693</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2694</v>
      </c>
      <c r="B64" s="2910" t="str">
        <f>'预评函-3'!A13</f>
        <v>（3）。</v>
      </c>
    </row>
    <row r="65" spans="1:2">
      <c r="A65" s="2904" t="s">
        <v>2695</v>
      </c>
      <c r="B65" s="2911" t="str">
        <f>'预评函-3'!A14</f>
        <v>综上，本次评估估价师知悉的法定优先受偿款为人民币35000万元整。</v>
      </c>
    </row>
    <row r="66" spans="1:2">
      <c r="A66" s="2904" t="s">
        <v>2696</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2697</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2700</v>
      </c>
      <c r="B68" s="2930">
        <f>'预评函-3'!D30</f>
        <v>42558</v>
      </c>
    </row>
    <row r="69" spans="1:2" ht="15" thickTop="1">
      <c r="A69" s="2915" t="s">
        <v>2698</v>
      </c>
      <c r="B69" s="2916" t="str">
        <f>'预评函-3'!A20</f>
        <v>王鹏</v>
      </c>
    </row>
    <row r="70" spans="1:2">
      <c r="A70" s="2904" t="s">
        <v>2698</v>
      </c>
      <c r="B70" s="2911">
        <f ca="1">'预评函-3'!B20</f>
        <v>2002110030</v>
      </c>
    </row>
    <row r="71" spans="1:2">
      <c r="A71" s="2904" t="s">
        <v>2699</v>
      </c>
      <c r="B71" s="2905" t="str">
        <f>'预评函-3'!A21</f>
        <v>郑燚</v>
      </c>
    </row>
    <row r="72" spans="1:2" s="2919" customFormat="1" ht="15" thickBot="1">
      <c r="A72" s="2926" t="s">
        <v>2699</v>
      </c>
      <c r="B72" s="2932">
        <f>'预评函-3'!B21</f>
        <v>2014110011</v>
      </c>
    </row>
    <row r="73" spans="1:2" ht="15" thickTop="1">
      <c r="A73" s="2915" t="s">
        <v>2758</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2759</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2760</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2795</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45" t="str">
        <f>IF(B10="北京市","北京市",C10)&amp;F10&amp;B16&amp;"国有建设用地使用权"&amp;B9&amp;"预评估"</f>
        <v>出让国有建设用地使用权抵押价格预评估</v>
      </c>
      <c r="C1" s="3246"/>
      <c r="D1" s="3246"/>
      <c r="E1" s="3246"/>
      <c r="F1" s="3246"/>
      <c r="G1" s="3246"/>
      <c r="H1" s="3246"/>
      <c r="I1" s="3247"/>
      <c r="J1" s="1693"/>
      <c r="K1" s="2479"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43138</v>
      </c>
      <c r="C3" s="1662" t="s">
        <v>1999</v>
      </c>
      <c r="D3" s="1661">
        <v>43138</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2980</v>
      </c>
      <c r="C4" s="1845">
        <f ca="1">SUMIF(土地估价师,B4,估价师及机构信息!E3:E24)</f>
        <v>2002110030</v>
      </c>
      <c r="D4" s="1842" t="s">
        <v>2981</v>
      </c>
      <c r="E4" s="1845">
        <f>SUMIF(土地估价师,D4,估价师及机构信息!E3:E24)</f>
        <v>2014110011</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王鹏、郑燚</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2714</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2715</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2982</v>
      </c>
      <c r="C8" s="1670"/>
      <c r="D8" s="3251" t="s">
        <v>1948</v>
      </c>
      <c r="E8" s="1843" t="s">
        <v>2983</v>
      </c>
      <c r="F8" s="1671"/>
      <c r="G8" s="1659"/>
      <c r="H8" s="1659"/>
      <c r="I8" s="1706"/>
      <c r="J8" s="1693"/>
      <c r="K8" s="1773"/>
      <c r="L8" s="1722"/>
      <c r="M8" s="1722"/>
      <c r="N8" s="1693"/>
      <c r="O8" s="1694"/>
      <c r="P8" s="1693"/>
      <c r="Q8" s="1693"/>
      <c r="R8" s="1693"/>
      <c r="S8" s="1693"/>
      <c r="T8" s="1693"/>
      <c r="U8" s="1693"/>
    </row>
    <row r="9" spans="1:21" ht="15" thickBot="1">
      <c r="A9" s="1672" t="s">
        <v>1947</v>
      </c>
      <c r="B9" s="1673" t="s">
        <v>2983</v>
      </c>
      <c r="C9" s="1674"/>
      <c r="D9" s="3252"/>
      <c r="E9" s="1673" t="s">
        <v>2862</v>
      </c>
      <c r="F9" s="1746"/>
      <c r="G9" s="1741"/>
      <c r="H9" s="1741"/>
      <c r="I9" s="1742"/>
      <c r="J9" s="1693"/>
      <c r="K9" s="1773"/>
      <c r="L9" s="1722"/>
      <c r="M9" s="1722"/>
      <c r="N9" s="1693"/>
      <c r="O9" s="1694"/>
      <c r="P9" s="1693"/>
      <c r="Q9" s="1693"/>
      <c r="R9" s="1693"/>
      <c r="S9" s="1693"/>
      <c r="T9" s="1693"/>
      <c r="U9" s="1693"/>
    </row>
    <row r="10" spans="1:21" ht="15" thickTop="1">
      <c r="A10" s="1743" t="s">
        <v>2003</v>
      </c>
      <c r="B10" s="1718"/>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248"/>
      <c r="C12" s="3249"/>
      <c r="D12" s="3250"/>
      <c r="E12" s="1698" t="s">
        <v>2065</v>
      </c>
      <c r="F12" s="3266" t="s">
        <v>2897</v>
      </c>
      <c r="G12" s="3267"/>
      <c r="H12" s="3267"/>
      <c r="I12" s="3268"/>
      <c r="J12" s="1693"/>
      <c r="K12" s="1773"/>
      <c r="L12" s="1722"/>
      <c r="M12" s="1722"/>
      <c r="N12" s="1693"/>
      <c r="O12" s="1694"/>
      <c r="P12" s="1693"/>
      <c r="Q12" s="1693"/>
      <c r="R12" s="1693"/>
      <c r="S12" s="1693"/>
      <c r="T12" s="1693"/>
      <c r="U12" s="1693"/>
    </row>
    <row r="13" spans="1:21">
      <c r="A13" s="1686" t="s">
        <v>2063</v>
      </c>
      <c r="B13" s="3248"/>
      <c r="C13" s="3249"/>
      <c r="D13" s="3250"/>
      <c r="E13" s="1698" t="s">
        <v>2065</v>
      </c>
      <c r="F13" s="3266" t="s">
        <v>2898</v>
      </c>
      <c r="G13" s="3267"/>
      <c r="H13" s="3267"/>
      <c r="I13" s="3268"/>
      <c r="J13" s="1693"/>
      <c r="K13" s="1773"/>
      <c r="L13" s="1722"/>
      <c r="M13" s="1722"/>
      <c r="N13" s="1693"/>
      <c r="O13" s="1694"/>
      <c r="P13" s="1693"/>
      <c r="Q13" s="1693"/>
      <c r="R13" s="1693"/>
      <c r="S13" s="1693"/>
      <c r="T13" s="1693"/>
      <c r="U13" s="1693"/>
    </row>
    <row r="14" spans="1:21">
      <c r="A14" s="1660" t="s">
        <v>2066</v>
      </c>
      <c r="B14" s="1698"/>
      <c r="C14" s="1844" t="s">
        <v>2985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t="s">
        <v>2984</v>
      </c>
      <c r="C16" s="1698" t="s">
        <v>1952</v>
      </c>
      <c r="D16" s="2671" t="s">
        <v>1953</v>
      </c>
      <c r="E16" s="1721" t="s">
        <v>3054</v>
      </c>
      <c r="F16" s="1721"/>
      <c r="G16" s="1721" t="s">
        <v>3056</v>
      </c>
      <c r="H16" s="1721"/>
      <c r="I16" s="1685" t="s">
        <v>1958</v>
      </c>
      <c r="J16" s="1693"/>
      <c r="K16" s="2480" t="str">
        <f>IF(D17="","",D16&amp;TEXT(D17,"yyyy年m月d日;;"))</f>
        <v>住宅2086年5月30日</v>
      </c>
      <c r="L16" s="1698" t="str">
        <f>IF(OR(K16="",M16=""),"","、")</f>
        <v>、</v>
      </c>
      <c r="M16" s="2480" t="str">
        <f>IF(E17="","",E16&amp;TEXT(E17,"yyyy年m月d日;;"))</f>
        <v>商业2056年5月30日</v>
      </c>
      <c r="N16" s="1698" t="str">
        <f>IF(OR(M16="",O16=""),"","、")</f>
        <v/>
      </c>
      <c r="O16" s="2480" t="str">
        <f>IF(F17="","",F16&amp;TEXT(F17,"yyyy年m月d日;;"))</f>
        <v/>
      </c>
      <c r="P16" s="1698" t="str">
        <f>IF(OR(O16="",Q16=""),"","、")</f>
        <v/>
      </c>
      <c r="Q16" s="2480" t="str">
        <f>IF(G17="","",G16&amp;TEXT(G17,"yyyy年m月d日;;"))</f>
        <v>车库2066年5月30日</v>
      </c>
      <c r="R16" s="1698" t="str">
        <f>IF(OR(Q16="",S16=""),"","、")</f>
        <v/>
      </c>
      <c r="S16" s="2480" t="str">
        <f>IF(H17="","",H16&amp;TEXT(H17,"yyyy年m月d日;;"))</f>
        <v/>
      </c>
      <c r="T16" s="1698" t="str">
        <f>IF(OR(S16="",U16=""),"","、")</f>
        <v/>
      </c>
      <c r="U16" s="2480" t="str">
        <f>IF(I17="","",I16&amp;TEXT(I17,"yyyy年m月d日;;"))</f>
        <v/>
      </c>
    </row>
    <row r="17" spans="1:21">
      <c r="A17" s="1762"/>
      <c r="B17" s="1681"/>
      <c r="C17" s="1682" t="s">
        <v>1959</v>
      </c>
      <c r="D17" s="1699">
        <v>68087</v>
      </c>
      <c r="E17" s="1699">
        <v>57130</v>
      </c>
      <c r="F17" s="1699"/>
      <c r="G17" s="1699">
        <v>60782</v>
      </c>
      <c r="H17" s="1699"/>
      <c r="I17" s="1699"/>
      <c r="J17" s="1693"/>
      <c r="K17" s="2479" t="str">
        <f>CONCATENATE(K16,L16,M16,N16,O16,P16,Q16,R16,S16,T16,,U16)</f>
        <v>住宅2086年5月30日、商业2056年5月30日车库2066年5月30日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68.349999999999994</v>
      </c>
      <c r="E19" s="1684">
        <f>IF(B16="出让",IF(E17="","",ROUNDDOWN(MIN((E17-$D$3)/365,E18),2)),E18)</f>
        <v>38.33</v>
      </c>
      <c r="F19" s="1684" t="str">
        <f>IF(B16="出让",IF(F17="","",ROUNDDOWN(MIN((F17-$D$3)/365,F18),2)),F18)</f>
        <v/>
      </c>
      <c r="G19" s="1684">
        <f>IF(B16="出让",IF(G17="","",ROUNDDOWN(MIN((G17-$D$3)/365,G18),2)),G18)</f>
        <v>48.33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3263"/>
      <c r="E20" s="3264"/>
      <c r="F20" s="3264"/>
      <c r="G20" s="3264"/>
      <c r="H20" s="3264"/>
      <c r="I20" s="3265"/>
      <c r="J20" s="1693"/>
      <c r="K20" s="1773"/>
      <c r="L20" s="1722"/>
      <c r="M20" s="1722"/>
      <c r="N20" s="1693"/>
      <c r="O20" s="1694"/>
      <c r="P20" s="1693"/>
      <c r="Q20" s="1693"/>
      <c r="R20" s="1693"/>
      <c r="S20" s="1693"/>
      <c r="T20" s="1693"/>
      <c r="U20" s="1693"/>
    </row>
    <row r="21" spans="1:21">
      <c r="A21" s="1762" t="s">
        <v>1962</v>
      </c>
      <c r="B21" s="1763" t="s">
        <v>1963</v>
      </c>
      <c r="C21" s="1758">
        <f>'数据-汇总表'!E3</f>
        <v>113662.12</v>
      </c>
      <c r="D21" s="1759" t="s">
        <v>1964</v>
      </c>
      <c r="E21" s="3253" t="s">
        <v>2002</v>
      </c>
      <c r="F21" s="3254"/>
      <c r="G21" s="3254"/>
      <c r="H21" s="3254"/>
      <c r="I21" s="3255"/>
      <c r="J21" s="1693"/>
      <c r="K21" s="1773"/>
      <c r="L21" s="1722"/>
      <c r="M21" s="1722"/>
      <c r="N21" s="1693"/>
      <c r="O21" s="1694"/>
      <c r="P21" s="1693"/>
      <c r="Q21" s="1693"/>
      <c r="R21" s="1693"/>
      <c r="S21" s="1693"/>
      <c r="T21" s="1693"/>
      <c r="U21" s="1693"/>
    </row>
    <row r="22" spans="1:21">
      <c r="A22" s="2662" t="s">
        <v>953</v>
      </c>
      <c r="B22" s="1660" t="s">
        <v>1965</v>
      </c>
      <c r="C22" s="1685">
        <f>'数据-汇总表'!D3</f>
        <v>36665.199999999997</v>
      </c>
      <c r="D22" s="1686" t="s">
        <v>1964</v>
      </c>
      <c r="E22" s="3253" t="s">
        <v>2899</v>
      </c>
      <c r="F22" s="3254"/>
      <c r="G22" s="3254"/>
      <c r="H22" s="3254"/>
      <c r="I22" s="3255"/>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56" t="s">
        <v>1970</v>
      </c>
      <c r="C24" s="3257"/>
      <c r="D24" s="3258" t="s">
        <v>1971</v>
      </c>
      <c r="E24" s="3259"/>
      <c r="F24" s="1707" t="s">
        <v>1972</v>
      </c>
      <c r="G24" s="1693"/>
      <c r="H24" s="1693"/>
      <c r="I24" s="1706"/>
      <c r="J24" s="1693"/>
      <c r="K24" s="3244"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24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24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230" t="s">
        <v>2005</v>
      </c>
      <c r="B31" s="1763" t="s">
        <v>2006</v>
      </c>
      <c r="C31" s="3269"/>
      <c r="D31" s="3270"/>
      <c r="E31" s="1693"/>
      <c r="F31" s="1693"/>
      <c r="G31" s="1693"/>
      <c r="H31" s="1693"/>
      <c r="I31" s="1706"/>
      <c r="J31" s="1693"/>
      <c r="K31" s="2482"/>
      <c r="L31" s="1693"/>
      <c r="M31" s="1693"/>
      <c r="N31" s="1693"/>
      <c r="O31" s="1693"/>
      <c r="P31" s="1693"/>
      <c r="Q31" s="1693"/>
      <c r="R31" s="1693"/>
      <c r="S31" s="1693"/>
      <c r="T31" s="1693"/>
      <c r="U31" s="1693"/>
    </row>
    <row r="32" spans="1:21">
      <c r="A32" s="3230"/>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30"/>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31"/>
      <c r="B34" s="1660" t="s">
        <v>2009</v>
      </c>
      <c r="C34" s="3232"/>
      <c r="D34" s="3233"/>
      <c r="E34" s="1693"/>
      <c r="F34" s="1693"/>
      <c r="G34" s="1693"/>
      <c r="H34" s="1693"/>
      <c r="I34" s="1706"/>
      <c r="J34" s="1693"/>
      <c r="K34" s="2482"/>
      <c r="L34" s="1693"/>
      <c r="M34" s="1693"/>
      <c r="N34" s="1693"/>
      <c r="O34" s="1693"/>
      <c r="P34" s="1693"/>
      <c r="Q34" s="1693"/>
      <c r="R34" s="1693"/>
      <c r="S34" s="1693"/>
      <c r="T34" s="1693"/>
      <c r="U34" s="1693"/>
    </row>
    <row r="35" spans="1:21">
      <c r="A35" s="3234" t="s">
        <v>848</v>
      </c>
      <c r="B35" s="1721"/>
      <c r="C35" s="1775" t="str">
        <f>IF(B35="场地平整","——","具体情况：")</f>
        <v>具体情况：</v>
      </c>
      <c r="D35" s="3236"/>
      <c r="E35" s="3237"/>
      <c r="F35" s="3237"/>
      <c r="G35" s="3237"/>
      <c r="H35" s="3237"/>
      <c r="I35" s="3238"/>
      <c r="J35" s="1693"/>
      <c r="K35" s="1774"/>
      <c r="L35" s="1722"/>
      <c r="M35" s="1722"/>
      <c r="N35" s="1693"/>
      <c r="O35" s="1694"/>
      <c r="P35" s="1693"/>
      <c r="Q35" s="1693"/>
      <c r="R35" s="1693"/>
      <c r="S35" s="1693"/>
      <c r="T35" s="1693"/>
      <c r="U35" s="1693"/>
    </row>
    <row r="36" spans="1:21">
      <c r="A36" s="3230"/>
      <c r="B36" s="3239" t="s">
        <v>2058</v>
      </c>
      <c r="C36" s="3240"/>
      <c r="D36" s="1791"/>
      <c r="E36" s="3241"/>
      <c r="F36" s="3241"/>
      <c r="G36" s="1686" t="str">
        <f>IF(B35="场地未平整","估价结果处理","")</f>
        <v/>
      </c>
      <c r="H36" s="3242"/>
      <c r="I36" s="3242"/>
      <c r="J36" s="1693"/>
      <c r="K36" s="1774"/>
      <c r="L36" s="1722"/>
      <c r="M36" s="1722"/>
      <c r="N36" s="1693"/>
      <c r="O36" s="1694"/>
      <c r="P36" s="1693"/>
      <c r="Q36" s="1693"/>
      <c r="R36" s="1693"/>
      <c r="S36" s="1693"/>
      <c r="T36" s="1693"/>
      <c r="U36" s="1693"/>
    </row>
    <row r="37" spans="1:21" ht="28.5">
      <c r="A37" s="3230"/>
      <c r="B37" s="3260"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30"/>
      <c r="B38" s="3261"/>
      <c r="C38" s="1668"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231"/>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243" t="s">
        <v>1989</v>
      </c>
      <c r="T40" s="1730" t="str">
        <f>NUMBERSTRING(7-K40,1)&amp;"通"</f>
        <v>七通</v>
      </c>
      <c r="U40" s="1693"/>
    </row>
    <row r="41" spans="1:21">
      <c r="A41" s="1662"/>
      <c r="B41" s="3235" t="s">
        <v>1723</v>
      </c>
      <c r="C41" s="3235"/>
      <c r="D41" s="3235"/>
      <c r="E41" s="3235"/>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3"/>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2900</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D12" sqref="D12"/>
    </sheetView>
  </sheetViews>
  <sheetFormatPr defaultRowHeight="13.5"/>
  <cols>
    <col min="2" max="2" width="10" customWidth="1"/>
  </cols>
  <sheetData>
    <row r="1" spans="1:4" ht="27">
      <c r="A1" s="3170" t="s">
        <v>3088</v>
      </c>
      <c r="B1" s="3171"/>
      <c r="C1" s="3171"/>
      <c r="D1" s="3171">
        <v>36665.199999999997</v>
      </c>
    </row>
    <row r="2" spans="1:4" ht="27">
      <c r="A2" s="3170" t="s">
        <v>3105</v>
      </c>
      <c r="B2" s="3171"/>
      <c r="C2" s="3171"/>
      <c r="D2" s="3171">
        <f>D3+D11+D14</f>
        <v>132532</v>
      </c>
    </row>
    <row r="3" spans="1:4" ht="27">
      <c r="A3" s="3170" t="s">
        <v>3089</v>
      </c>
      <c r="B3" s="3171"/>
      <c r="C3" s="3171"/>
      <c r="D3" s="3171">
        <f>D4+D5+D6</f>
        <v>95368</v>
      </c>
    </row>
    <row r="4" spans="1:4">
      <c r="A4" s="3271" t="s">
        <v>3096</v>
      </c>
      <c r="B4" s="3170" t="s">
        <v>3090</v>
      </c>
      <c r="C4" s="3170"/>
      <c r="D4" s="3171">
        <v>88777</v>
      </c>
    </row>
    <row r="5" spans="1:4">
      <c r="A5" s="3272"/>
      <c r="B5" s="3170" t="s">
        <v>3091</v>
      </c>
      <c r="C5" s="3170"/>
      <c r="D5" s="3171">
        <v>5732</v>
      </c>
    </row>
    <row r="6" spans="1:4" ht="27">
      <c r="A6" s="3272"/>
      <c r="B6" s="3170" t="s">
        <v>3092</v>
      </c>
      <c r="C6" s="3170"/>
      <c r="D6" s="3171">
        <v>859</v>
      </c>
    </row>
    <row r="7" spans="1:4" ht="27">
      <c r="A7" s="3272"/>
      <c r="B7" s="3271" t="s">
        <v>3096</v>
      </c>
      <c r="C7" s="3170" t="s">
        <v>3093</v>
      </c>
      <c r="D7" s="3171">
        <v>292</v>
      </c>
    </row>
    <row r="8" spans="1:4" ht="27">
      <c r="A8" s="3272"/>
      <c r="B8" s="3272"/>
      <c r="C8" s="3170" t="s">
        <v>3094</v>
      </c>
      <c r="D8" s="3171">
        <v>385</v>
      </c>
    </row>
    <row r="9" spans="1:4" ht="27">
      <c r="A9" s="3272"/>
      <c r="B9" s="3272"/>
      <c r="C9" s="3170" t="s">
        <v>3095</v>
      </c>
      <c r="D9" s="3171">
        <v>182</v>
      </c>
    </row>
    <row r="10" spans="1:4">
      <c r="A10" s="3273" t="s">
        <v>3097</v>
      </c>
      <c r="B10" s="3274"/>
      <c r="C10" s="3275"/>
      <c r="D10" s="3169">
        <f>ROUND(D3/D1,2)</f>
        <v>2.6</v>
      </c>
    </row>
    <row r="11" spans="1:4">
      <c r="A11" s="3184" t="s">
        <v>3101</v>
      </c>
      <c r="B11" s="3169"/>
      <c r="C11" s="3169"/>
      <c r="D11" s="3185">
        <v>35644</v>
      </c>
    </row>
    <row r="12" spans="1:4">
      <c r="A12" s="3279" t="s">
        <v>3102</v>
      </c>
      <c r="B12" s="3184" t="s">
        <v>3103</v>
      </c>
      <c r="C12" s="3169"/>
      <c r="D12" s="3169">
        <v>32482</v>
      </c>
    </row>
    <row r="13" spans="1:4">
      <c r="A13" s="3279"/>
      <c r="B13" s="3184" t="s">
        <v>3104</v>
      </c>
      <c r="C13" s="3169"/>
      <c r="D13" s="3169">
        <v>3162</v>
      </c>
    </row>
    <row r="14" spans="1:4">
      <c r="A14" s="3184" t="s">
        <v>3106</v>
      </c>
      <c r="B14" s="3169"/>
      <c r="C14" s="3169"/>
      <c r="D14" s="3186">
        <v>1520</v>
      </c>
    </row>
    <row r="21" spans="1:5">
      <c r="A21" s="3276" t="s">
        <v>3087</v>
      </c>
      <c r="B21" s="3277"/>
      <c r="C21" s="3277"/>
      <c r="D21" s="3277"/>
      <c r="E21" s="3278"/>
    </row>
    <row r="22" spans="1:5">
      <c r="A22" s="3172" t="s">
        <v>3059</v>
      </c>
      <c r="B22" s="3172" t="s">
        <v>3060</v>
      </c>
      <c r="C22" s="3172"/>
      <c r="D22" s="3172" t="s">
        <v>3061</v>
      </c>
      <c r="E22" s="3172" t="s">
        <v>3062</v>
      </c>
    </row>
    <row r="23" spans="1:5">
      <c r="A23" s="3173">
        <v>2016.4</v>
      </c>
      <c r="B23" s="3174">
        <v>18828</v>
      </c>
      <c r="C23" s="3174"/>
      <c r="D23" s="3174">
        <v>4.17</v>
      </c>
      <c r="E23" s="3175"/>
    </row>
    <row r="24" spans="1:5">
      <c r="A24" s="3176">
        <v>2017.1</v>
      </c>
      <c r="B24" s="3177">
        <v>19200</v>
      </c>
      <c r="C24" s="3177"/>
      <c r="D24" s="3177">
        <v>1.97</v>
      </c>
      <c r="E24" s="3178"/>
    </row>
    <row r="25" spans="1:5">
      <c r="A25" s="3173">
        <v>2017.2</v>
      </c>
      <c r="B25" s="3174">
        <v>19689</v>
      </c>
      <c r="C25" s="3174"/>
      <c r="D25" s="3174">
        <v>2.5499999999999998</v>
      </c>
      <c r="E25" s="3175"/>
    </row>
    <row r="26" spans="1:5">
      <c r="A26" s="3176">
        <v>2017.3</v>
      </c>
      <c r="B26" s="3177">
        <v>20054</v>
      </c>
      <c r="C26" s="3177"/>
      <c r="D26" s="3177">
        <v>1.85</v>
      </c>
      <c r="E26" s="3178"/>
    </row>
    <row r="27" spans="1:5" ht="14.25">
      <c r="A27" s="3179">
        <v>2017.4</v>
      </c>
      <c r="B27" s="3180">
        <v>20248</v>
      </c>
      <c r="C27" s="3180"/>
      <c r="D27" s="3180">
        <v>0.97</v>
      </c>
      <c r="E27" s="3169"/>
    </row>
    <row r="28" spans="1:5">
      <c r="A28" s="3169"/>
      <c r="B28" s="3169"/>
      <c r="C28" s="3169"/>
      <c r="D28" s="3169">
        <f>AVERAGE(D23:D27)</f>
        <v>2.302</v>
      </c>
      <c r="E28" s="3169"/>
    </row>
  </sheetData>
  <mergeCells count="5">
    <mergeCell ref="B7:B9"/>
    <mergeCell ref="A4:A9"/>
    <mergeCell ref="A10:C10"/>
    <mergeCell ref="A21:E21"/>
    <mergeCell ref="A12:A13"/>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36665.199999999997</v>
      </c>
      <c r="B3" s="22">
        <f>IF(C3="否",G5-AT5,G5)</f>
        <v>113662.12</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113662.12</v>
      </c>
      <c r="H5" s="27">
        <f t="shared" ref="H5:AT5" si="0">SUM(H13:H641)</f>
        <v>113662.12</v>
      </c>
      <c r="I5" s="27">
        <f t="shared" si="0"/>
        <v>113662.12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113662.12</v>
      </c>
      <c r="BA5" s="29">
        <f t="shared" si="1"/>
        <v>113662.12</v>
      </c>
      <c r="BB5" s="29">
        <f t="shared" si="1"/>
        <v>113662.12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36665.199999999997</v>
      </c>
      <c r="F6" s="27" t="s">
        <v>1</v>
      </c>
      <c r="G6" s="27" t="s">
        <v>2</v>
      </c>
      <c r="H6" s="33">
        <f>SUMIF(I$12:AB$12,"总值",I6:AB6)</f>
        <v>36665.199999999997</v>
      </c>
      <c r="I6" s="27">
        <f t="shared" ref="I6:AB6" si="2">ROUND($A$3*I5/$B$3,2)</f>
        <v>36665.199999999997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36665.199999999997</v>
      </c>
      <c r="AZ6" s="27" t="s">
        <v>3</v>
      </c>
      <c r="BA6" s="27">
        <f>ROUND($AY$6*BA5/$AZ$5,2)</f>
        <v>36665.199999999997</v>
      </c>
      <c r="BB6" s="27">
        <f>ROUND($AY$6*BB5/$AZ$5,2)</f>
        <v>36665.199999999997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3055</v>
      </c>
      <c r="J9" s="51"/>
      <c r="K9" s="3045"/>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c r="L10" s="51"/>
      <c r="M10" s="3047"/>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3063</v>
      </c>
      <c r="J11" s="71"/>
      <c r="K11" s="3046"/>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36665.199999999997</v>
      </c>
      <c r="F13" s="81"/>
      <c r="G13" s="82">
        <f t="shared" ref="G13:G20" si="7">H13+AC13+AT13</f>
        <v>113662.12</v>
      </c>
      <c r="H13" s="33">
        <f t="shared" ref="H13:H20" si="8">SUMIF(I$12:AB$12,"总值",I13:AB13)</f>
        <v>113662.12</v>
      </c>
      <c r="I13" s="3044">
        <f>ROUND(A3*3.1,2)</f>
        <v>113662.12</v>
      </c>
      <c r="J13" s="3044"/>
      <c r="K13" s="3182"/>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181"/>
      <c r="AO13" s="3048"/>
      <c r="AP13" s="3181"/>
      <c r="AQ13" s="3048"/>
      <c r="AR13" s="3048"/>
      <c r="AS13" s="3048"/>
      <c r="AT13" s="3049"/>
      <c r="AU13" s="3050"/>
      <c r="AV13" s="17">
        <f t="shared" ref="AV13:AX20" si="10">A13</f>
        <v>0</v>
      </c>
      <c r="AW13" s="17">
        <f t="shared" si="10"/>
        <v>0</v>
      </c>
      <c r="AX13" s="17">
        <f t="shared" si="10"/>
        <v>0</v>
      </c>
      <c r="AY13" s="996">
        <f t="shared" ref="AY13:AY20" si="11">ROUND($AY$6*AZ13/$AZ$5,2)</f>
        <v>36665.199999999997</v>
      </c>
      <c r="AZ13" s="27">
        <f t="shared" ref="AZ13:AZ20" si="12">BA13+BL13</f>
        <v>113662.12</v>
      </c>
      <c r="BA13" s="27">
        <f t="shared" ref="BA13:BA20" si="13">SUM(BB13:BK13)</f>
        <v>113662.12</v>
      </c>
      <c r="BB13" s="27">
        <f t="shared" ref="BB13:BB20" si="14">IF($D13="是",I13-J13,0)</f>
        <v>113662.12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IF($D16="是",I16-J16,0)</f>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IF($D16="是",AJ16-AK16,0)</f>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SUMIF(AD$12:AS$12,"总值",AD18:AS18)</f>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IF($D18="是",K18-L18,0)</f>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IF($D18="是",AD18-AE18,0)</f>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1" t="s">
        <v>203</v>
      </c>
      <c r="B2" s="3291"/>
      <c r="C2" s="3291"/>
      <c r="D2" s="1975" t="s">
        <v>204</v>
      </c>
      <c r="E2" s="106" t="s">
        <v>205</v>
      </c>
      <c r="F2" s="1984"/>
      <c r="G2" s="1198"/>
      <c r="H2" s="1199"/>
      <c r="I2" s="1200" t="s">
        <v>858</v>
      </c>
      <c r="J2" s="1984"/>
      <c r="K2" s="1984"/>
      <c r="L2" s="1984"/>
    </row>
    <row r="3" spans="1:16" ht="15.75" thickBot="1">
      <c r="A3" s="3292" t="s">
        <v>206</v>
      </c>
      <c r="B3" s="3292"/>
      <c r="C3" s="3292"/>
      <c r="D3" s="107">
        <f>'数据-基础表'!AY6</f>
        <v>36665.199999999997</v>
      </c>
      <c r="E3" s="107">
        <f>'数据-基础表'!AZ5</f>
        <v>113662.12</v>
      </c>
      <c r="F3" s="1984"/>
      <c r="G3" s="278" t="s">
        <v>859</v>
      </c>
      <c r="H3" s="273" t="s">
        <v>860</v>
      </c>
      <c r="I3" s="1976">
        <f>ROUND('数据-基础表'!B3/'数据-基础表'!A3,2)</f>
        <v>3.1</v>
      </c>
      <c r="J3" s="1984"/>
      <c r="K3" s="1984"/>
      <c r="L3" s="1984"/>
    </row>
    <row r="4" spans="1:16" ht="15">
      <c r="A4" s="3293"/>
      <c r="B4" s="3294"/>
      <c r="C4" s="3295"/>
      <c r="D4" s="108" t="s">
        <v>204</v>
      </c>
      <c r="E4" s="109" t="s">
        <v>205</v>
      </c>
      <c r="F4" s="1984"/>
      <c r="G4" s="1201"/>
      <c r="H4" s="273" t="s">
        <v>861</v>
      </c>
      <c r="I4" s="1976">
        <f>ROUND(SUMIF('数据-基础表'!I9:AS9,"地上",'数据-基础表'!I5:AS5)/'数据-基础表'!A3,2)</f>
        <v>3.1</v>
      </c>
      <c r="J4" s="1984"/>
      <c r="K4" s="1984"/>
      <c r="L4" s="1984"/>
    </row>
    <row r="5" spans="1:16">
      <c r="A5" s="110" t="s">
        <v>207</v>
      </c>
      <c r="B5" s="3296" t="s">
        <v>230</v>
      </c>
      <c r="C5" s="3296"/>
      <c r="D5" s="111">
        <f>ROUND($D$3*E5/$E$3,2)</f>
        <v>36665.199999999997</v>
      </c>
      <c r="E5" s="112">
        <f>SUMIF('数据-基础表'!$11:$11,"住宅",'数据-基础表'!$5:$5)</f>
        <v>113662.12</v>
      </c>
      <c r="F5" s="1984"/>
      <c r="G5" s="278" t="s">
        <v>862</v>
      </c>
      <c r="H5" s="273" t="s">
        <v>860</v>
      </c>
      <c r="I5" s="1976">
        <f>ROUND(E31/D31,2)</f>
        <v>3.1</v>
      </c>
      <c r="J5" s="1984"/>
      <c r="K5" s="1984"/>
      <c r="L5" s="1984"/>
    </row>
    <row r="6" spans="1:16" ht="15" thickBot="1">
      <c r="A6" s="113"/>
      <c r="B6" s="3296" t="s">
        <v>208</v>
      </c>
      <c r="C6" s="3296"/>
      <c r="D6" s="111">
        <f>ROUND($D$3*E6/$E$3,2)</f>
        <v>0</v>
      </c>
      <c r="E6" s="112">
        <f>E3-E5</f>
        <v>0</v>
      </c>
      <c r="F6" s="1984"/>
      <c r="G6" s="1201"/>
      <c r="H6" s="273" t="s">
        <v>861</v>
      </c>
      <c r="I6" s="1976">
        <f>ROUND(F31/D31,2)</f>
        <v>3.1</v>
      </c>
      <c r="J6" s="1984"/>
      <c r="K6" s="1984"/>
      <c r="L6" s="1984"/>
    </row>
    <row r="7" spans="1:16" ht="15">
      <c r="A7" s="3288"/>
      <c r="B7" s="3289"/>
      <c r="C7" s="3290"/>
      <c r="D7" s="108" t="s">
        <v>204</v>
      </c>
      <c r="E7" s="114" t="s">
        <v>231</v>
      </c>
      <c r="F7" s="1984"/>
      <c r="G7" s="1156" t="s">
        <v>1647</v>
      </c>
      <c r="H7" s="1157"/>
      <c r="I7" s="1846">
        <f>ROUND((F27+E9)/D3,2)</f>
        <v>3.1</v>
      </c>
      <c r="J7" s="1984"/>
      <c r="K7" s="1984"/>
      <c r="L7" s="1984"/>
    </row>
    <row r="8" spans="1:16">
      <c r="A8" s="110" t="s">
        <v>209</v>
      </c>
      <c r="B8" s="115" t="s">
        <v>210</v>
      </c>
      <c r="C8" s="111" t="s">
        <v>211</v>
      </c>
      <c r="D8" s="111">
        <f t="shared" ref="D8:D15" si="0">ROUND($D$3*E8/$E$3,2)</f>
        <v>36665.199999999997</v>
      </c>
      <c r="E8" s="116">
        <f>SUMIF('数据-基础表'!BB10:BK10,"地上",'数据-基础表'!BB5:BK5)</f>
        <v>113662.12</v>
      </c>
      <c r="F8" s="1984"/>
      <c r="G8" s="1986"/>
      <c r="H8" s="1986"/>
      <c r="I8" s="1984"/>
      <c r="J8" s="1984"/>
      <c r="K8" s="1984"/>
      <c r="L8" s="1984"/>
    </row>
    <row r="9" spans="1:16">
      <c r="A9" s="117"/>
      <c r="B9" s="118"/>
      <c r="C9" s="111" t="s">
        <v>212</v>
      </c>
      <c r="D9" s="111">
        <f t="shared" si="0"/>
        <v>0</v>
      </c>
      <c r="E9" s="119">
        <f>'数据-基础表'!AH13</f>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36665.199999999997</v>
      </c>
      <c r="E16" s="120">
        <f>SUM(E8:E15)</f>
        <v>113662.12</v>
      </c>
      <c r="F16" s="1984"/>
      <c r="G16" s="1986"/>
      <c r="H16" s="968" t="s">
        <v>219</v>
      </c>
      <c r="I16" s="969"/>
      <c r="J16" s="1984"/>
      <c r="K16" s="3282" t="s">
        <v>2573</v>
      </c>
      <c r="L16" s="3283"/>
      <c r="M16" s="3283"/>
      <c r="N16" s="3283"/>
      <c r="O16" s="3283"/>
      <c r="P16" s="3284"/>
    </row>
    <row r="17" spans="1:19" ht="15">
      <c r="A17" s="121" t="s">
        <v>216</v>
      </c>
      <c r="B17" s="122" t="s">
        <v>217</v>
      </c>
      <c r="C17" s="2298" t="s">
        <v>2317</v>
      </c>
      <c r="D17" s="108" t="s">
        <v>204</v>
      </c>
      <c r="E17" s="124" t="s">
        <v>205</v>
      </c>
      <c r="F17" s="125"/>
      <c r="G17" s="1366"/>
      <c r="H17" s="970" t="s">
        <v>218</v>
      </c>
      <c r="I17" s="971" t="s">
        <v>2316</v>
      </c>
      <c r="J17" s="1984"/>
      <c r="K17" s="3285" t="s">
        <v>2574</v>
      </c>
      <c r="L17" s="3286"/>
      <c r="M17" s="3287"/>
      <c r="N17" s="3285" t="s">
        <v>2575</v>
      </c>
      <c r="O17" s="3286"/>
      <c r="P17" s="3287"/>
      <c r="R17" s="2299" t="s">
        <v>2315</v>
      </c>
      <c r="S17" s="144"/>
    </row>
    <row r="18" spans="1:19" ht="15">
      <c r="A18" s="117"/>
      <c r="B18" s="128"/>
      <c r="C18" s="129"/>
      <c r="D18" s="2667"/>
      <c r="E18" s="130" t="s">
        <v>220</v>
      </c>
      <c r="F18" s="131"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1" t="s">
        <v>3100</v>
      </c>
      <c r="D19" s="111">
        <f t="shared" ref="D19:D26" si="1">ROUND($D$3*E19/$E$3,2)</f>
        <v>36665.199999999997</v>
      </c>
      <c r="E19" s="134">
        <f t="shared" ref="E19:E26" si="2">SUM(F19:G19)</f>
        <v>113662.12</v>
      </c>
      <c r="F19" s="135">
        <f>'数据-基础表'!I13</f>
        <v>113662.12</v>
      </c>
      <c r="G19" s="1368"/>
      <c r="H19" s="974">
        <f>ROUND($D$3*I19/$E$3,2)</f>
        <v>0</v>
      </c>
      <c r="I19" s="116">
        <f>IF($I$17="自定义",P19,M19)</f>
        <v>0</v>
      </c>
      <c r="J19" s="1984"/>
      <c r="K19" s="2632">
        <f t="shared" ref="K19:K26" si="3">ROUND(E$28*E19/E$27,2)</f>
        <v>0</v>
      </c>
      <c r="L19" s="273">
        <f t="shared" ref="L19:L26" si="4">ROUND(IF(COUNTIF(C19,"*住宅*")&gt;0,E$29*E19/E$32,0),2)</f>
        <v>0</v>
      </c>
      <c r="M19" s="2633">
        <f>K19+L19</f>
        <v>0</v>
      </c>
      <c r="N19" s="2634"/>
      <c r="O19" s="2635"/>
      <c r="P19" s="2636">
        <f>N19+O19</f>
        <v>0</v>
      </c>
      <c r="R19" s="273">
        <f t="shared" ref="R19:S26" si="5">D19+H19</f>
        <v>36665.199999999997</v>
      </c>
      <c r="S19" s="2301">
        <f t="shared" si="5"/>
        <v>113662.12</v>
      </c>
    </row>
    <row r="20" spans="1:19">
      <c r="A20" s="138"/>
      <c r="B20" s="115" t="s">
        <v>226</v>
      </c>
      <c r="C20" s="3051"/>
      <c r="D20" s="111">
        <f t="shared" si="1"/>
        <v>0</v>
      </c>
      <c r="E20" s="134">
        <f t="shared" si="2"/>
        <v>0</v>
      </c>
      <c r="F20" s="135"/>
      <c r="G20" s="1368"/>
      <c r="H20" s="974">
        <f t="shared" ref="H20:H26" si="6">ROUND($D$3*I20/$E$3,2)</f>
        <v>0</v>
      </c>
      <c r="I20" s="116">
        <f t="shared" ref="I20:I26" si="7">IF($I$17="自定义",P20,M20)</f>
        <v>0</v>
      </c>
      <c r="J20" s="1984"/>
      <c r="K20" s="2632">
        <f t="shared" si="3"/>
        <v>0</v>
      </c>
      <c r="L20" s="273">
        <f t="shared" si="4"/>
        <v>0</v>
      </c>
      <c r="M20" s="2633">
        <f t="shared" ref="M20:M26" si="8">K20+L20</f>
        <v>0</v>
      </c>
      <c r="N20" s="2634"/>
      <c r="O20" s="2635"/>
      <c r="P20" s="2636">
        <f t="shared" ref="P20:P26" si="9">N20+O20</f>
        <v>0</v>
      </c>
      <c r="R20" s="273">
        <f t="shared" si="5"/>
        <v>0</v>
      </c>
      <c r="S20" s="2301">
        <f t="shared" si="5"/>
        <v>0</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3">
        <f t="shared" si="4"/>
        <v>0</v>
      </c>
      <c r="M21" s="2633">
        <f t="shared" si="8"/>
        <v>0</v>
      </c>
      <c r="N21" s="2634"/>
      <c r="O21" s="2635"/>
      <c r="P21" s="2636">
        <f t="shared" si="9"/>
        <v>0</v>
      </c>
      <c r="R21" s="273">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3">
        <f t="shared" si="4"/>
        <v>0</v>
      </c>
      <c r="M22" s="2633">
        <f t="shared" si="8"/>
        <v>0</v>
      </c>
      <c r="N22" s="2634"/>
      <c r="O22" s="2635"/>
      <c r="P22" s="2636">
        <f t="shared" si="9"/>
        <v>0</v>
      </c>
      <c r="R22" s="273">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3">
        <f t="shared" si="4"/>
        <v>0</v>
      </c>
      <c r="M23" s="2633">
        <f t="shared" si="8"/>
        <v>0</v>
      </c>
      <c r="N23" s="2634"/>
      <c r="O23" s="2635"/>
      <c r="P23" s="2636">
        <f t="shared" si="9"/>
        <v>0</v>
      </c>
      <c r="R23" s="273">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3">
        <f t="shared" si="4"/>
        <v>0</v>
      </c>
      <c r="M24" s="2633">
        <f t="shared" si="8"/>
        <v>0</v>
      </c>
      <c r="N24" s="2634"/>
      <c r="O24" s="2635"/>
      <c r="P24" s="2636">
        <f t="shared" si="9"/>
        <v>0</v>
      </c>
      <c r="R24" s="273">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3">
        <f t="shared" si="4"/>
        <v>0</v>
      </c>
      <c r="M25" s="2633">
        <f t="shared" si="8"/>
        <v>0</v>
      </c>
      <c r="N25" s="2634"/>
      <c r="O25" s="2635"/>
      <c r="P25" s="2636">
        <f t="shared" si="9"/>
        <v>0</v>
      </c>
      <c r="R25" s="273">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78">
        <f t="shared" si="4"/>
        <v>0</v>
      </c>
      <c r="M26" s="145">
        <f t="shared" si="8"/>
        <v>0</v>
      </c>
      <c r="N26" s="2638"/>
      <c r="O26" s="2639"/>
      <c r="P26" s="2640">
        <f t="shared" si="9"/>
        <v>0</v>
      </c>
      <c r="R26" s="273">
        <f t="shared" si="5"/>
        <v>0</v>
      </c>
      <c r="S26" s="2301">
        <f t="shared" si="5"/>
        <v>0</v>
      </c>
    </row>
    <row r="27" spans="1:19" ht="15.75" thickBot="1">
      <c r="A27" s="138"/>
      <c r="B27" s="111"/>
      <c r="C27" s="127" t="s">
        <v>215</v>
      </c>
      <c r="D27" s="134">
        <f>SUM(D19:D26)</f>
        <v>36665.199999999997</v>
      </c>
      <c r="E27" s="143">
        <f>IF(SUM(E19:E26)='数据-基础表'!BA5,SUM(E19:E26),IF(F27="地上面积有误","面积有误","地下面积有误"))</f>
        <v>113662.12</v>
      </c>
      <c r="F27" s="134">
        <f>IF(SUM(F19:F26)=E8,SUM(F19:F26),"地上面积有误")</f>
        <v>113662.12</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36665.199999999997</v>
      </c>
      <c r="S27" s="273">
        <f>IF(SUM(S19:S26)=$E$3,SUM(S19:S26),SUM(S19:S26)&amp;"误差"&amp;ROUND(SUM(S19:S26)-E3,2))</f>
        <v>113662.12</v>
      </c>
    </row>
    <row r="28" spans="1:19">
      <c r="A28" s="138"/>
      <c r="B28" s="115" t="s">
        <v>227</v>
      </c>
      <c r="C28" s="136" t="s">
        <v>228</v>
      </c>
      <c r="D28" s="111">
        <f>ROUND($D$3*E28/$E$3,2)</f>
        <v>0</v>
      </c>
      <c r="E28" s="134">
        <f>SUM(F28:G28)</f>
        <v>0</v>
      </c>
      <c r="F28" s="144">
        <f>'数据-基础表'!BQ5+'数据-基础表'!BS5</f>
        <v>0</v>
      </c>
      <c r="G28" s="3183">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5">
        <f>'数据-基础表'!BN5+'数据-基础表'!BP5</f>
        <v>0</v>
      </c>
      <c r="H29" s="1984"/>
      <c r="I29" s="1984"/>
      <c r="J29" s="1984"/>
      <c r="K29" s="1984"/>
      <c r="L29" s="1984"/>
    </row>
    <row r="30" spans="1:19">
      <c r="A30" s="138"/>
      <c r="B30" s="111"/>
      <c r="C30" s="146"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36665.199999999997</v>
      </c>
      <c r="E31" s="1372">
        <f>E27+E30</f>
        <v>113662.12</v>
      </c>
      <c r="F31" s="1373">
        <f>F27+F30</f>
        <v>113662.12</v>
      </c>
      <c r="G31" s="1374">
        <f>G27+G30</f>
        <v>0</v>
      </c>
      <c r="H31" s="1984"/>
      <c r="I31" s="1984"/>
      <c r="J31" s="1984"/>
      <c r="K31" s="1984"/>
      <c r="L31" s="1984"/>
    </row>
    <row r="32" spans="1:19">
      <c r="A32" s="1984"/>
      <c r="B32" s="2363" t="s">
        <v>2325</v>
      </c>
      <c r="C32" s="2672"/>
      <c r="D32" s="1201"/>
      <c r="E32" s="1201">
        <f>SUMIF(C19:C26,"*住宅*",E19:E26)</f>
        <v>113662.12</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7"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8" t="s">
        <v>235</v>
      </c>
      <c r="B2" s="2338">
        <f>项目基本情况!D3</f>
        <v>43138</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49" t="s">
        <v>865</v>
      </c>
      <c r="B4" s="151"/>
      <c r="C4" s="152"/>
      <c r="D4" s="1208"/>
      <c r="E4" s="1209" t="s">
        <v>866</v>
      </c>
      <c r="F4" s="152"/>
      <c r="G4" s="152"/>
      <c r="H4" s="152"/>
      <c r="I4" s="152"/>
      <c r="J4" s="153"/>
      <c r="K4" s="1210"/>
      <c r="L4" s="1211"/>
      <c r="M4" s="152"/>
      <c r="N4" s="1209" t="s">
        <v>867</v>
      </c>
      <c r="O4" s="152"/>
      <c r="P4" s="152"/>
      <c r="Q4" s="152"/>
      <c r="R4" s="152"/>
      <c r="S4" s="153"/>
      <c r="T4" s="977" t="str">
        <f>'数据-汇总表'!I17</f>
        <v>按面积比例</v>
      </c>
      <c r="U4" s="151" t="s">
        <v>868</v>
      </c>
      <c r="V4" s="152"/>
      <c r="W4" s="152"/>
      <c r="X4" s="152"/>
      <c r="Y4" s="153"/>
      <c r="Z4" s="123" t="s">
        <v>869</v>
      </c>
      <c r="AA4" s="123"/>
      <c r="AB4" s="123"/>
      <c r="AC4" s="123"/>
      <c r="AD4" s="123"/>
      <c r="AE4" s="121" t="s">
        <v>870</v>
      </c>
      <c r="AF4" s="123"/>
      <c r="AG4" s="154"/>
      <c r="AH4" s="151"/>
      <c r="AI4" s="152"/>
      <c r="AJ4" s="152"/>
      <c r="AK4" s="152"/>
      <c r="AL4" s="152"/>
      <c r="AM4" s="153"/>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5" t="s">
        <v>236</v>
      </c>
      <c r="C5" s="156" t="s">
        <v>237</v>
      </c>
      <c r="D5" s="157" t="s">
        <v>238</v>
      </c>
      <c r="E5" s="158" t="s">
        <v>239</v>
      </c>
      <c r="F5" s="159" t="s">
        <v>240</v>
      </c>
      <c r="G5" s="158" t="s">
        <v>241</v>
      </c>
      <c r="H5" s="158" t="s">
        <v>863</v>
      </c>
      <c r="I5" s="158" t="s">
        <v>864</v>
      </c>
      <c r="J5" s="160" t="s">
        <v>242</v>
      </c>
      <c r="K5" s="161" t="s">
        <v>243</v>
      </c>
      <c r="L5" s="162" t="s">
        <v>244</v>
      </c>
      <c r="M5" s="163" t="s">
        <v>245</v>
      </c>
      <c r="N5" s="1219" t="s">
        <v>2836</v>
      </c>
      <c r="O5" s="162" t="s">
        <v>246</v>
      </c>
      <c r="P5" s="164" t="s">
        <v>247</v>
      </c>
      <c r="Q5" s="165" t="s">
        <v>248</v>
      </c>
      <c r="R5" s="166" t="s">
        <v>249</v>
      </c>
      <c r="S5" s="2645" t="s">
        <v>2579</v>
      </c>
      <c r="T5" s="167" t="s">
        <v>250</v>
      </c>
      <c r="U5" s="168" t="s">
        <v>251</v>
      </c>
      <c r="V5" s="158" t="s">
        <v>252</v>
      </c>
      <c r="W5" s="158" t="s">
        <v>253</v>
      </c>
      <c r="X5" s="1818"/>
      <c r="Y5" s="169" t="s">
        <v>254</v>
      </c>
      <c r="Z5" s="170" t="s">
        <v>255</v>
      </c>
      <c r="AA5" s="158" t="s">
        <v>252</v>
      </c>
      <c r="AB5" s="158" t="s">
        <v>253</v>
      </c>
      <c r="AC5" s="1819"/>
      <c r="AD5" s="171" t="s">
        <v>254</v>
      </c>
      <c r="AE5" s="1" t="s">
        <v>871</v>
      </c>
      <c r="AF5" s="158" t="s">
        <v>256</v>
      </c>
      <c r="AG5" s="169" t="s">
        <v>257</v>
      </c>
      <c r="AH5" s="1819" t="s">
        <v>2327</v>
      </c>
      <c r="AI5" s="170" t="s">
        <v>2296</v>
      </c>
      <c r="AJ5" s="170" t="s">
        <v>258</v>
      </c>
      <c r="AK5" s="158" t="s">
        <v>259</v>
      </c>
      <c r="AL5" s="158" t="s">
        <v>260</v>
      </c>
      <c r="AM5" s="171"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2" t="s">
        <v>924</v>
      </c>
      <c r="D6" s="2308">
        <f>SUMIF(项目基本情况!D$15:I$15,C6,项目基本情况!D$18:I$18)</f>
        <v>70</v>
      </c>
      <c r="E6" s="2309">
        <f>IF(B6="","",SUMIF(项目基本情况!D$15:I$15,C6,项目基本情况!D$17:I$17))</f>
        <v>68087</v>
      </c>
      <c r="F6" s="173">
        <f>SUMIF(项目基本情况!D$15:I$15,C6,项目基本情况!D$19:I$19)</f>
        <v>68.349999999999994</v>
      </c>
      <c r="G6" s="174">
        <f>IF(ISERROR(ROUND(POWER(1+H6,D6-F6)*(POWER(1+H6,F6)-1)/(POWER(1+H6,D6)-1),3)),0,ROUND(POWER(1+H6,D6-F6)*(POWER(1+H6,F6)-1)/(POWER(1+H6,D6)-1),3))</f>
        <v>0.996</v>
      </c>
      <c r="H6" s="3052">
        <v>4.4999999999999998E-2</v>
      </c>
      <c r="I6" s="3052">
        <v>0.05</v>
      </c>
      <c r="J6" s="175">
        <v>8.5000000000000006E-2</v>
      </c>
      <c r="K6" s="178">
        <f>SUMIF('数据-汇总表'!C$19:C$33,'数据-取费表'!A6,'数据-汇总表'!E$19:E$33)</f>
        <v>113662.12</v>
      </c>
      <c r="L6" s="3195">
        <v>1600</v>
      </c>
      <c r="M6" s="176">
        <f t="shared" ref="M6:M14" si="0">ROUND(K6*L6/10000,0)</f>
        <v>18186</v>
      </c>
      <c r="N6" s="3053">
        <v>0</v>
      </c>
      <c r="O6" s="176">
        <f>IF($N$5="成新度","——",ROUND(M6*N6,0))</f>
        <v>0</v>
      </c>
      <c r="P6" s="177">
        <f>IF($N$5="成新度","——",M6-O6)</f>
        <v>18186</v>
      </c>
      <c r="Q6" s="3188">
        <v>0.05</v>
      </c>
      <c r="R6" s="178">
        <f>SUMIF('数据-汇总表'!C$19:C$33,A6,'数据-汇总表'!R$19:R$33)</f>
        <v>36665.199999999997</v>
      </c>
      <c r="S6" s="132">
        <f>IF('数据-汇总表'!$I$17="按面积比例",SUMIF('数据-汇总表'!C$19:C$33,A6,'数据-汇总表'!K$19:K$33),SUMIF('数据-汇总表'!C$19:C$33,A6,'数据-汇总表'!N$19:N$33))</f>
        <v>0</v>
      </c>
      <c r="T6" s="2234" t="str">
        <f>IF($T$4="按面积比例",IF(ISERROR(ROUND($M$14*S6/S$16,0)),"0",ROUND($M$14*S6/S$16,0)),"需自行计算录入")</f>
        <v>0</v>
      </c>
      <c r="U6" s="179"/>
      <c r="V6" s="180"/>
      <c r="W6" s="180"/>
      <c r="X6" s="2321"/>
      <c r="Y6" s="181">
        <v>1</v>
      </c>
      <c r="Z6" s="182"/>
      <c r="AA6" s="175"/>
      <c r="AB6" s="175"/>
      <c r="AC6" s="2324"/>
      <c r="AD6" s="183"/>
      <c r="AE6" s="972">
        <f ca="1">IF(AN6="",0,SUMIF(INDIRECT("'"&amp;AN6&amp;"'"&amp;"!E:E"),$AE$5,INDIRECT("'"&amp;AN6&amp;"'"&amp;"!F:F")))</f>
        <v>0</v>
      </c>
      <c r="AF6" s="141"/>
      <c r="AG6" s="1213">
        <f>IF(AF6="",0,AE6-AF6)</f>
        <v>0</v>
      </c>
      <c r="AH6" s="141"/>
      <c r="AI6" s="186"/>
      <c r="AJ6" s="187"/>
      <c r="AK6" s="188">
        <v>1.4999999999999999E-2</v>
      </c>
      <c r="AL6" s="189">
        <v>1.5E-3</v>
      </c>
      <c r="AM6" s="3065">
        <v>0.01</v>
      </c>
      <c r="AN6" s="2416"/>
      <c r="AO6" s="2000"/>
      <c r="AP6" s="1204">
        <f>ROUND(1-1/(1+H6)^F6,3)</f>
        <v>0.95099999999999996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hidden="1">
      <c r="A7" s="2302">
        <f>'数据-汇总表'!C20</f>
        <v>0</v>
      </c>
      <c r="B7" s="2337" t="str">
        <f t="shared" ref="B7:B13" si="1">IF(A7=0,"","经营性")</f>
        <v/>
      </c>
      <c r="C7" s="172"/>
      <c r="D7" s="2308">
        <f>SUMIF(项目基本情况!D$15:I$15,C7,项目基本情况!D$18:I$18)</f>
        <v>0</v>
      </c>
      <c r="E7" s="230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52"/>
      <c r="I7" s="3052"/>
      <c r="J7" s="175"/>
      <c r="K7" s="178">
        <f>SUMIF('数据-汇总表'!C$19:C$33,'数据-取费表'!A7,'数据-汇总表'!E$19:E$33)</f>
        <v>0</v>
      </c>
      <c r="L7" s="3195"/>
      <c r="M7" s="176">
        <f t="shared" si="0"/>
        <v>0</v>
      </c>
      <c r="N7" s="3053"/>
      <c r="O7" s="176">
        <f t="shared" ref="O7:O14" si="3">IF($N$5="成新度","——",ROUND(M7*N7,0))</f>
        <v>0</v>
      </c>
      <c r="P7" s="177">
        <f t="shared" ref="P7:P14" si="4">IF($N$5="成新度","——",M7-O7)</f>
        <v>0</v>
      </c>
      <c r="Q7" s="3188"/>
      <c r="R7" s="178">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79"/>
      <c r="V7" s="180"/>
      <c r="W7" s="180"/>
      <c r="X7" s="2321"/>
      <c r="Y7" s="181"/>
      <c r="Z7" s="182"/>
      <c r="AA7" s="175"/>
      <c r="AB7" s="175"/>
      <c r="AC7" s="2324"/>
      <c r="AD7" s="183"/>
      <c r="AE7" s="972" t="e">
        <f t="shared" ref="AE7:AE13" ca="1" si="6">IF(AN7="",0,SUMIF(INDIRECT("'"&amp;AN7&amp;"'"&amp;"!E:E"),$AE$5,INDIRECT("'"&amp;AN7&amp;"'"&amp;"!F:F")))</f>
        <v>#N/A</v>
      </c>
      <c r="AF7" s="141"/>
      <c r="AG7" s="1213">
        <f t="shared" ref="AG7:AG13" si="7">IF(AF7="",0,AE7-AF7)</f>
        <v>0</v>
      </c>
      <c r="AH7" s="141"/>
      <c r="AI7" s="186"/>
      <c r="AJ7" s="187"/>
      <c r="AK7" s="188"/>
      <c r="AL7" s="189"/>
      <c r="AM7" s="3065"/>
      <c r="AN7" s="2416" t="s">
        <v>3064</v>
      </c>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2"/>
      <c r="D8" s="2308">
        <f>SUMIF(项目基本情况!D$15:I$15,C8,项目基本情况!D$18:I$18)</f>
        <v>0</v>
      </c>
      <c r="E8" s="2309" t="str">
        <f>IF(B8="","",SUMIF(项目基本情况!D$15:I$15,C8,项目基本情况!D$17:I$17))</f>
        <v/>
      </c>
      <c r="F8" s="173">
        <f>SUMIF(项目基本情况!D$15:I$15,C8,项目基本情况!D$19:I$19)</f>
        <v>0</v>
      </c>
      <c r="G8" s="174">
        <f t="shared" si="2"/>
        <v>0</v>
      </c>
      <c r="H8" s="3052"/>
      <c r="I8" s="3052"/>
      <c r="J8" s="175"/>
      <c r="K8" s="178">
        <f>SUMIF('数据-汇总表'!C$19:C$33,'数据-取费表'!A8,'数据-汇总表'!E$19:E$33)</f>
        <v>0</v>
      </c>
      <c r="L8" s="3195"/>
      <c r="M8" s="176">
        <f>ROUND(K8*L8/10000,0)</f>
        <v>0</v>
      </c>
      <c r="N8" s="3053"/>
      <c r="O8" s="176">
        <f t="shared" si="3"/>
        <v>0</v>
      </c>
      <c r="P8" s="177">
        <f t="shared" si="4"/>
        <v>0</v>
      </c>
      <c r="Q8" s="3054"/>
      <c r="R8" s="178">
        <f>SUMIF('数据-汇总表'!C$19:C$33,A8,'数据-汇总表'!R$19:R$33)</f>
        <v>0</v>
      </c>
      <c r="S8" s="132">
        <f>IF('数据-汇总表'!$I$17="按面积比例",SUMIF('数据-汇总表'!C$19:C$33,A8,'数据-汇总表'!K$19:K$33),SUMIF('数据-汇总表'!C$19:C$33,A8,'数据-汇总表'!N$19:N$33))</f>
        <v>0</v>
      </c>
      <c r="T8" s="2234" t="str">
        <f t="shared" si="5"/>
        <v>0</v>
      </c>
      <c r="U8" s="179"/>
      <c r="V8" s="180"/>
      <c r="W8" s="180"/>
      <c r="X8" s="2321"/>
      <c r="Y8" s="181"/>
      <c r="Z8" s="182"/>
      <c r="AA8" s="175"/>
      <c r="AB8" s="175"/>
      <c r="AC8" s="2324"/>
      <c r="AD8" s="183"/>
      <c r="AE8" s="972" t="e">
        <f t="shared" ca="1" si="6"/>
        <v>#N/A</v>
      </c>
      <c r="AF8" s="141"/>
      <c r="AG8" s="1213">
        <f t="shared" si="7"/>
        <v>0</v>
      </c>
      <c r="AH8" s="141"/>
      <c r="AI8" s="186"/>
      <c r="AJ8" s="187"/>
      <c r="AK8" s="188"/>
      <c r="AL8" s="189"/>
      <c r="AM8" s="3065"/>
      <c r="AN8" s="2416" t="s">
        <v>3107</v>
      </c>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2"/>
      <c r="D9" s="2308">
        <f>SUMIF(项目基本情况!D$15:I$15,C9,项目基本情况!D$18:I$18)</f>
        <v>0</v>
      </c>
      <c r="E9" s="2309"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196"/>
      <c r="M9" s="176">
        <f t="shared" si="0"/>
        <v>0</v>
      </c>
      <c r="N9" s="192"/>
      <c r="O9" s="176">
        <f t="shared" si="3"/>
        <v>0</v>
      </c>
      <c r="P9" s="177">
        <f t="shared" si="4"/>
        <v>0</v>
      </c>
      <c r="Q9" s="191"/>
      <c r="R9" s="178">
        <f>SUMIF('数据-汇总表'!C$19:C$33,A9,'数据-汇总表'!R$19:R$33)</f>
        <v>0</v>
      </c>
      <c r="S9" s="132">
        <f>IF('数据-汇总表'!$I$17="按面积比例",SUMIF('数据-汇总表'!C$19:C$33,A9,'数据-汇总表'!K$19:K$33),SUMIF('数据-汇总表'!C$19:C$33,A9,'数据-汇总表'!N$19:N$33))</f>
        <v>0</v>
      </c>
      <c r="T9" s="2234" t="str">
        <f t="shared" si="5"/>
        <v>0</v>
      </c>
      <c r="U9" s="179"/>
      <c r="V9" s="180"/>
      <c r="W9" s="180"/>
      <c r="X9" s="2321"/>
      <c r="Y9" s="181"/>
      <c r="Z9" s="182"/>
      <c r="AA9" s="175"/>
      <c r="AB9" s="175"/>
      <c r="AC9" s="2324"/>
      <c r="AD9" s="183"/>
      <c r="AE9" s="972">
        <f t="shared" ca="1" si="6"/>
        <v>0</v>
      </c>
      <c r="AF9" s="141"/>
      <c r="AG9" s="1213">
        <f t="shared" si="7"/>
        <v>0</v>
      </c>
      <c r="AH9" s="141"/>
      <c r="AI9" s="186"/>
      <c r="AJ9" s="187"/>
      <c r="AK9" s="188"/>
      <c r="AL9" s="189"/>
      <c r="AM9" s="3065"/>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2"/>
      <c r="D10" s="2308">
        <f>SUMIF(项目基本情况!D$15:I$15,C10,项目基本情况!D$18:I$18)</f>
        <v>0</v>
      </c>
      <c r="E10" s="2309"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196"/>
      <c r="M10" s="176">
        <f t="shared" si="0"/>
        <v>0</v>
      </c>
      <c r="N10" s="192"/>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34" t="str">
        <f t="shared" si="5"/>
        <v>0</v>
      </c>
      <c r="U10" s="179"/>
      <c r="V10" s="180"/>
      <c r="W10" s="180"/>
      <c r="X10" s="2321"/>
      <c r="Y10" s="181"/>
      <c r="Z10" s="182"/>
      <c r="AA10" s="175"/>
      <c r="AB10" s="175"/>
      <c r="AC10" s="2324"/>
      <c r="AD10" s="183"/>
      <c r="AE10" s="972">
        <f t="shared" ca="1" si="6"/>
        <v>0</v>
      </c>
      <c r="AF10" s="141"/>
      <c r="AG10" s="1213">
        <f t="shared" si="7"/>
        <v>0</v>
      </c>
      <c r="AH10" s="141"/>
      <c r="AI10" s="186"/>
      <c r="AJ10" s="187"/>
      <c r="AK10" s="188"/>
      <c r="AL10" s="189"/>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2"/>
      <c r="D11" s="2308">
        <f>SUMIF(项目基本情况!D$15:I$15,C11,项目基本情况!D$18:I$18)</f>
        <v>0</v>
      </c>
      <c r="E11" s="2309"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196"/>
      <c r="M11" s="176">
        <f t="shared" si="0"/>
        <v>0</v>
      </c>
      <c r="N11" s="192"/>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34" t="str">
        <f t="shared" si="5"/>
        <v>0</v>
      </c>
      <c r="U11" s="184"/>
      <c r="V11" s="175"/>
      <c r="W11" s="175"/>
      <c r="X11" s="2324"/>
      <c r="Y11" s="181"/>
      <c r="Z11" s="193"/>
      <c r="AA11" s="175"/>
      <c r="AB11" s="175"/>
      <c r="AC11" s="2324"/>
      <c r="AD11" s="183"/>
      <c r="AE11" s="972">
        <f t="shared" ca="1" si="6"/>
        <v>0</v>
      </c>
      <c r="AF11" s="141"/>
      <c r="AG11" s="1213">
        <f t="shared" si="7"/>
        <v>0</v>
      </c>
      <c r="AH11" s="141"/>
      <c r="AI11" s="186"/>
      <c r="AJ11" s="187"/>
      <c r="AK11" s="194"/>
      <c r="AL11" s="195"/>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2"/>
      <c r="D12" s="2308">
        <f>SUMIF(项目基本情况!D$15:I$15,C12,项目基本情况!D$18:I$18)</f>
        <v>0</v>
      </c>
      <c r="E12" s="230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196"/>
      <c r="M12" s="176">
        <f>ROUND(K12*L12/10000,0)</f>
        <v>0</v>
      </c>
      <c r="N12" s="192"/>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34" t="str">
        <f t="shared" si="5"/>
        <v>0</v>
      </c>
      <c r="U12" s="184"/>
      <c r="V12" s="175"/>
      <c r="W12" s="175"/>
      <c r="X12" s="2324"/>
      <c r="Y12" s="181"/>
      <c r="Z12" s="193"/>
      <c r="AA12" s="175"/>
      <c r="AB12" s="175"/>
      <c r="AC12" s="2324"/>
      <c r="AD12" s="183"/>
      <c r="AE12" s="972">
        <f t="shared" ca="1" si="6"/>
        <v>0</v>
      </c>
      <c r="AF12" s="141"/>
      <c r="AG12" s="1213">
        <f t="shared" si="7"/>
        <v>0</v>
      </c>
      <c r="AH12" s="141"/>
      <c r="AI12" s="186"/>
      <c r="AJ12" s="187"/>
      <c r="AK12" s="194"/>
      <c r="AL12" s="195"/>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2"/>
      <c r="D13" s="2308">
        <f>SUMIF(项目基本情况!D$15:I$15,C13,项目基本情况!D$18:I$18)</f>
        <v>0</v>
      </c>
      <c r="E13" s="230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196"/>
      <c r="M13" s="176">
        <f>ROUND(K13*L13/10000,0)</f>
        <v>0</v>
      </c>
      <c r="N13" s="192"/>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4" t="str">
        <f t="shared" si="5"/>
        <v>0</v>
      </c>
      <c r="U13" s="179"/>
      <c r="V13" s="180"/>
      <c r="W13" s="180"/>
      <c r="X13" s="2321"/>
      <c r="Y13" s="181"/>
      <c r="Z13" s="182"/>
      <c r="AA13" s="175"/>
      <c r="AB13" s="175"/>
      <c r="AC13" s="2324"/>
      <c r="AD13" s="183"/>
      <c r="AE13" s="972">
        <f t="shared" ca="1" si="6"/>
        <v>0</v>
      </c>
      <c r="AF13" s="141"/>
      <c r="AG13" s="1213">
        <f t="shared" si="7"/>
        <v>0</v>
      </c>
      <c r="AH13" s="141"/>
      <c r="AI13" s="186"/>
      <c r="AJ13" s="187"/>
      <c r="AK13" s="188"/>
      <c r="AL13" s="189"/>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3"/>
      <c r="G14" s="174"/>
      <c r="H14" s="2310"/>
      <c r="I14" s="2310"/>
      <c r="J14" s="2310"/>
      <c r="K14" s="178">
        <f>SUMIF('数据-汇总表'!C$19:C$33,'数据-取费表'!A14,'数据-汇总表'!E$19:E$33)</f>
        <v>0</v>
      </c>
      <c r="L14" s="3196"/>
      <c r="M14" s="176">
        <f t="shared" si="0"/>
        <v>0</v>
      </c>
      <c r="N14" s="192"/>
      <c r="O14" s="176">
        <f t="shared" si="3"/>
        <v>0</v>
      </c>
      <c r="P14" s="177">
        <f t="shared" si="4"/>
        <v>0</v>
      </c>
      <c r="Q14" s="2318"/>
      <c r="R14" s="178"/>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3"/>
      <c r="G15" s="174"/>
      <c r="H15" s="2310"/>
      <c r="I15" s="2310"/>
      <c r="J15" s="2310"/>
      <c r="K15" s="178">
        <f>SUMIF('数据-汇总表'!C$19:C$33,'数据-取费表'!A15,'数据-汇总表'!E$19:E$33)</f>
        <v>0</v>
      </c>
      <c r="L15" s="2316"/>
      <c r="M15" s="176"/>
      <c r="N15" s="2319"/>
      <c r="O15" s="176"/>
      <c r="P15" s="177"/>
      <c r="Q15" s="2318"/>
      <c r="R15" s="178"/>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6" t="s">
        <v>262</v>
      </c>
      <c r="B16" s="197"/>
      <c r="C16" s="198"/>
      <c r="D16" s="199"/>
      <c r="E16" s="197"/>
      <c r="F16" s="197"/>
      <c r="G16" s="200">
        <f>ROUND(SUMPRODUCT(G6:G13,K6:K13)/SUMPRODUCT((G6:G13&gt;0)*(K6:K13)),3)</f>
        <v>0.996</v>
      </c>
      <c r="H16" s="201">
        <f>ROUND(SUMPRODUCT(H6:H13,K6:K13)/SUMPRODUCT((H6:H13&gt;0)*(K6:K13)),3)</f>
        <v>4.4999999999999998E-2</v>
      </c>
      <c r="I16" s="202"/>
      <c r="J16" s="202"/>
      <c r="K16" s="203">
        <f>SUM(K6:K15)</f>
        <v>113662.12</v>
      </c>
      <c r="L16" s="204">
        <f>ROUND(M16*10000/SUM(K6:K14),0)</f>
        <v>1600</v>
      </c>
      <c r="M16" s="204">
        <f>SUM(M6:M14)</f>
        <v>18186</v>
      </c>
      <c r="N16" s="205">
        <f>ROUND(SUMPRODUCT(M6:M14,N6:N14)/M16,3)</f>
        <v>0</v>
      </c>
      <c r="O16" s="204">
        <f>SUM(O6:O14)</f>
        <v>0</v>
      </c>
      <c r="P16" s="204">
        <f>SUM(P6:P14)</f>
        <v>18186</v>
      </c>
      <c r="Q16" s="206">
        <f>ROUND(SUMPRODUCT(Q6:Q13,K6:K13)/SUMPRODUCT((Q6:Q13&gt;0)*(K6:K13)),2)</f>
        <v>0.05</v>
      </c>
      <c r="R16" s="2311">
        <f>SUM(R6:R13)</f>
        <v>36665.199999999997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4">
        <f>ROUND(SUMPRODUCT(AP6:AP13,K6:K13)/SUMPRODUCT((AP6:AP13&gt;0)*(K6:K13)),3)</f>
        <v>0.95099999999999996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9"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264</v>
      </c>
      <c r="B19" s="216">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265</v>
      </c>
      <c r="B20" s="218">
        <v>1.5</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266</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267</v>
      </c>
      <c r="B22" s="220">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268</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269</v>
      </c>
      <c r="B24" s="222">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8" t="s">
        <v>270</v>
      </c>
      <c r="B26" s="223"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4" t="s">
        <v>2342</v>
      </c>
      <c r="B27" s="225">
        <v>150</v>
      </c>
      <c r="C27" s="2367" t="s">
        <v>2346</v>
      </c>
      <c r="D27" s="1996"/>
      <c r="E27" s="1994" t="s">
        <v>3068</v>
      </c>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6" t="s">
        <v>2343</v>
      </c>
      <c r="B28" s="227">
        <v>220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29" t="s">
        <v>2341</v>
      </c>
      <c r="B29" s="230"/>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3"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6" t="s">
        <v>274</v>
      </c>
      <c r="B31" s="228">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5" t="s">
        <v>275</v>
      </c>
      <c r="B32" s="3187">
        <v>50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4" t="s">
        <v>278</v>
      </c>
      <c r="B33" s="1378">
        <v>0.03</v>
      </c>
      <c r="C33" s="2365"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279</v>
      </c>
      <c r="B34" s="231">
        <v>0.05</v>
      </c>
      <c r="C34" s="2365" t="s">
        <v>2902</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276</v>
      </c>
      <c r="B35" s="227">
        <v>150</v>
      </c>
      <c r="C35" s="2365"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277</v>
      </c>
      <c r="B36" s="232">
        <v>1.4999999999999999E-2</v>
      </c>
      <c r="C36" s="2365" t="s">
        <v>2904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280</v>
      </c>
      <c r="B37" s="234">
        <v>0.01</v>
      </c>
      <c r="C37" s="2365"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281</v>
      </c>
      <c r="B38" s="231">
        <v>1.4999999999999999E-2</v>
      </c>
      <c r="C38" s="2365"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282</v>
      </c>
      <c r="B41" s="236">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38">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39">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7" t="s">
        <v>285</v>
      </c>
      <c r="B44" s="240">
        <v>7.0000000000000007E-2</v>
      </c>
      <c r="C44" s="2365"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7" t="s">
        <v>286</v>
      </c>
      <c r="B45" s="238">
        <v>0.03</v>
      </c>
      <c r="C45" s="2367"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7" t="s">
        <v>287</v>
      </c>
      <c r="B46" s="238">
        <v>0.02</v>
      </c>
      <c r="C46" s="2367"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1" t="s">
        <v>288</v>
      </c>
      <c r="B47" s="242"/>
      <c r="C47" s="3100"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3" t="s">
        <v>289</v>
      </c>
      <c r="B48" s="244">
        <v>0.03</v>
      </c>
      <c r="C48" s="3101"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290</v>
      </c>
      <c r="B49" s="238">
        <v>5.0000000000000001E-4</v>
      </c>
      <c r="C49" s="3101"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292</v>
      </c>
      <c r="B51" s="247">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294</v>
      </c>
      <c r="B53" s="249" t="s">
        <v>1328</v>
      </c>
      <c r="C53" s="3102"/>
      <c r="D53" s="3103" t="s">
        <v>2912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2913</v>
      </c>
      <c r="B54" s="185"/>
      <c r="C54" s="1994"/>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2914</v>
      </c>
      <c r="B55" s="185"/>
      <c r="C55" s="1994"/>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2915</v>
      </c>
      <c r="B56" s="185">
        <v>9</v>
      </c>
      <c r="C56" s="1994"/>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2916</v>
      </c>
      <c r="B57" s="185"/>
      <c r="C57" s="1994"/>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2917</v>
      </c>
      <c r="B58" s="185"/>
      <c r="C58" s="1994"/>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2918</v>
      </c>
      <c r="B59" s="185"/>
      <c r="C59" s="1994"/>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2919</v>
      </c>
      <c r="B60" s="185"/>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2920</v>
      </c>
      <c r="B61" s="185"/>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2921</v>
      </c>
      <c r="B62" s="185"/>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2922</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7"/>
      <c r="L64" s="57"/>
    </row>
    <row r="65" spans="1:12" s="1998" customFormat="1">
      <c r="A65" s="251"/>
      <c r="D65" s="1999"/>
      <c r="K65" s="57"/>
      <c r="L65" s="57"/>
    </row>
    <row r="66" spans="1:12" s="1998" customFormat="1">
      <c r="A66" s="251"/>
      <c r="D66" s="1999"/>
      <c r="K66" s="57"/>
      <c r="L66" s="57"/>
    </row>
    <row r="67" spans="1:12" s="1998" customFormat="1">
      <c r="A67" s="251"/>
      <c r="D67" s="1999"/>
      <c r="K67" s="57"/>
      <c r="L67" s="57"/>
    </row>
    <row r="68" spans="1:12" s="1998" customFormat="1">
      <c r="A68" s="251"/>
      <c r="D68" s="1999"/>
      <c r="K68" s="57"/>
      <c r="L68" s="57"/>
    </row>
    <row r="69" spans="1:12" s="1998" customFormat="1">
      <c r="A69" s="251"/>
      <c r="D69" s="1999"/>
      <c r="K69" s="57"/>
      <c r="L69" s="57"/>
    </row>
    <row r="70" spans="1:12" s="1998" customFormat="1">
      <c r="A70" s="251"/>
      <c r="D70" s="1999"/>
      <c r="K70" s="57"/>
      <c r="L70" s="57"/>
    </row>
    <row r="71" spans="1:12" s="1998" customFormat="1">
      <c r="A71" s="251"/>
      <c r="D71" s="1999"/>
      <c r="K71" s="57"/>
      <c r="L71" s="57"/>
    </row>
    <row r="72" spans="1:12" s="1998" customFormat="1">
      <c r="A72" s="251"/>
      <c r="D72" s="1999"/>
      <c r="K72" s="57"/>
      <c r="L72" s="57"/>
    </row>
    <row r="73" spans="1:12" s="1998" customFormat="1">
      <c r="A73" s="251"/>
      <c r="D73" s="1999"/>
      <c r="K73" s="57"/>
      <c r="L73" s="57"/>
    </row>
    <row r="74" spans="1:12" s="1998" customFormat="1">
      <c r="A74" s="251"/>
      <c r="D74" s="1999"/>
      <c r="K74" s="57"/>
      <c r="L74" s="57"/>
    </row>
    <row r="75" spans="1:12" s="1998" customFormat="1">
      <c r="A75" s="251"/>
      <c r="D75" s="1999"/>
      <c r="K75" s="57"/>
      <c r="L75" s="57"/>
    </row>
    <row r="76" spans="1:12" s="1998" customFormat="1">
      <c r="A76" s="251"/>
      <c r="D76" s="1999"/>
      <c r="K76" s="57"/>
      <c r="L76" s="57"/>
    </row>
    <row r="77" spans="1:12" s="1998" customFormat="1">
      <c r="A77" s="251"/>
      <c r="D77" s="1999"/>
      <c r="K77" s="57"/>
      <c r="L77" s="57"/>
    </row>
    <row r="78" spans="1:12" s="1998" customFormat="1">
      <c r="A78" s="251"/>
      <c r="D78" s="1999"/>
      <c r="K78" s="57"/>
      <c r="L78" s="57"/>
    </row>
    <row r="79" spans="1:12" s="1998" customFormat="1">
      <c r="A79" s="251"/>
      <c r="D79" s="1999"/>
      <c r="K79" s="57"/>
      <c r="L79" s="57"/>
    </row>
    <row r="80" spans="1:12" s="1998" customFormat="1">
      <c r="A80" s="251"/>
      <c r="D80" s="1999"/>
      <c r="K80" s="57"/>
      <c r="L80" s="57"/>
    </row>
    <row r="81" spans="1:12" s="1998" customFormat="1">
      <c r="A81" s="251"/>
      <c r="D81" s="1999"/>
      <c r="K81" s="57"/>
      <c r="L81" s="57"/>
    </row>
    <row r="82" spans="1:12" s="1998" customFormat="1">
      <c r="A82" s="251"/>
      <c r="D82" s="1999"/>
      <c r="K82" s="57"/>
      <c r="L82" s="57"/>
    </row>
    <row r="83" spans="1:12" s="1998" customFormat="1">
      <c r="A83" s="251"/>
      <c r="D83" s="1999"/>
      <c r="K83" s="57"/>
      <c r="L83" s="57"/>
    </row>
    <row r="84" spans="1:12" s="1998" customFormat="1">
      <c r="A84" s="251"/>
      <c r="D84" s="1999"/>
      <c r="K84" s="57"/>
      <c r="L84" s="57"/>
    </row>
    <row r="85" spans="1:12" s="1998" customFormat="1">
      <c r="A85" s="251"/>
      <c r="D85" s="1999"/>
      <c r="K85" s="57"/>
      <c r="L85" s="57"/>
    </row>
    <row r="86" spans="1:12" s="1998" customFormat="1">
      <c r="A86" s="251"/>
      <c r="D86" s="1999"/>
      <c r="K86" s="57"/>
      <c r="L86" s="57"/>
    </row>
    <row r="87" spans="1:12" s="1998" customFormat="1">
      <c r="A87" s="251"/>
      <c r="D87" s="1999"/>
      <c r="K87" s="57"/>
      <c r="L87" s="57"/>
    </row>
    <row r="88" spans="1:12" s="1998" customFormat="1">
      <c r="A88" s="251"/>
      <c r="D88" s="1999"/>
      <c r="K88" s="57"/>
      <c r="L88" s="57"/>
    </row>
    <row r="89" spans="1:12" s="1998" customFormat="1">
      <c r="A89" s="251"/>
      <c r="D89" s="1999"/>
      <c r="K89" s="57"/>
      <c r="L89" s="57"/>
    </row>
    <row r="90" spans="1:12" s="1998" customFormat="1">
      <c r="A90" s="251"/>
      <c r="D90" s="1999"/>
      <c r="K90" s="57"/>
      <c r="L90" s="57"/>
    </row>
    <row r="91" spans="1:12" s="1998" customFormat="1">
      <c r="A91" s="251"/>
      <c r="D91" s="1999"/>
      <c r="K91" s="57"/>
      <c r="L91" s="57"/>
    </row>
    <row r="92" spans="1:12" s="1998" customFormat="1">
      <c r="A92" s="251"/>
      <c r="D92" s="1999"/>
      <c r="K92" s="57"/>
      <c r="L92" s="57"/>
    </row>
    <row r="93" spans="1:12" s="1998" customFormat="1">
      <c r="A93" s="251"/>
      <c r="D93" s="1999"/>
      <c r="K93" s="57"/>
      <c r="L93" s="57"/>
    </row>
    <row r="94" spans="1:12" s="1998" customFormat="1">
      <c r="A94" s="251"/>
      <c r="D94" s="1999"/>
      <c r="K94" s="57"/>
      <c r="L94" s="57"/>
    </row>
    <row r="95" spans="1:12" s="1998" customFormat="1">
      <c r="A95" s="251"/>
      <c r="D95" s="1999"/>
      <c r="K95" s="57"/>
      <c r="L95" s="57"/>
    </row>
    <row r="96" spans="1:12" s="1998" customFormat="1">
      <c r="A96" s="251"/>
      <c r="D96" s="1999"/>
      <c r="K96" s="57"/>
      <c r="L96" s="57"/>
    </row>
    <row r="97" spans="1:12" s="1998" customFormat="1">
      <c r="A97" s="251"/>
      <c r="D97" s="1999"/>
      <c r="K97" s="57"/>
      <c r="L97" s="57"/>
    </row>
    <row r="98" spans="1:12" s="1998" customFormat="1">
      <c r="A98" s="251"/>
      <c r="D98" s="1999"/>
      <c r="K98" s="57"/>
      <c r="L98" s="57"/>
    </row>
    <row r="99" spans="1:12" s="1998" customFormat="1">
      <c r="A99" s="251"/>
      <c r="D99" s="1999"/>
      <c r="K99" s="57"/>
      <c r="L99" s="57"/>
    </row>
    <row r="100" spans="1:12" s="1998" customFormat="1">
      <c r="A100" s="251"/>
      <c r="D100" s="1999"/>
      <c r="K100" s="57"/>
      <c r="L100" s="57"/>
    </row>
    <row r="101" spans="1:12" s="1998" customFormat="1">
      <c r="A101" s="251"/>
      <c r="D101" s="1999"/>
      <c r="K101" s="57"/>
      <c r="L101" s="57"/>
    </row>
    <row r="102" spans="1:12" s="1998" customFormat="1">
      <c r="A102" s="251"/>
      <c r="D102" s="1999"/>
      <c r="K102" s="57"/>
      <c r="L102" s="57"/>
    </row>
    <row r="103" spans="1:12" s="1998" customFormat="1">
      <c r="A103" s="251"/>
      <c r="D103" s="1999"/>
      <c r="K103" s="57"/>
      <c r="L103" s="57"/>
    </row>
    <row r="104" spans="1:12" s="1998" customFormat="1">
      <c r="A104" s="251"/>
      <c r="D104" s="1999"/>
      <c r="K104" s="57"/>
      <c r="L104" s="57"/>
    </row>
    <row r="105" spans="1:12" s="1998" customFormat="1">
      <c r="A105" s="251"/>
      <c r="D105" s="1999"/>
      <c r="K105" s="57"/>
      <c r="L105" s="57"/>
    </row>
    <row r="106" spans="1:12" s="1998" customFormat="1">
      <c r="A106" s="251"/>
      <c r="D106" s="1999"/>
      <c r="K106" s="57"/>
      <c r="L106" s="57"/>
    </row>
    <row r="107" spans="1:12" s="1998" customFormat="1">
      <c r="A107" s="251"/>
      <c r="D107" s="1999"/>
      <c r="K107" s="57"/>
      <c r="L107" s="57"/>
    </row>
    <row r="108" spans="1:12" s="1998" customFormat="1">
      <c r="A108" s="251"/>
      <c r="D108" s="1999"/>
      <c r="K108" s="57"/>
      <c r="L108" s="57"/>
    </row>
    <row r="109" spans="1:12" s="1998" customFormat="1">
      <c r="A109" s="251"/>
      <c r="D109" s="1999"/>
      <c r="K109" s="57"/>
      <c r="L109" s="57"/>
    </row>
    <row r="110" spans="1:12" s="1998" customFormat="1">
      <c r="A110" s="251"/>
      <c r="D110" s="1999"/>
      <c r="K110" s="57"/>
      <c r="L110" s="57"/>
    </row>
    <row r="111" spans="1:12" s="1998" customFormat="1">
      <c r="A111" s="251"/>
      <c r="D111" s="1999"/>
      <c r="K111" s="57"/>
      <c r="L111" s="57"/>
    </row>
    <row r="112" spans="1:12" s="1998" customFormat="1">
      <c r="A112" s="251"/>
      <c r="D112" s="1999"/>
      <c r="K112" s="57"/>
      <c r="L112" s="57"/>
    </row>
    <row r="113" spans="1:12" s="1998" customFormat="1">
      <c r="A113" s="251"/>
      <c r="D113" s="1999"/>
      <c r="K113" s="57"/>
      <c r="L113" s="57"/>
    </row>
    <row r="114" spans="1:12" s="1998" customFormat="1">
      <c r="A114" s="251"/>
      <c r="D114" s="1999"/>
      <c r="K114" s="57"/>
      <c r="L114" s="57"/>
    </row>
    <row r="115" spans="1:12" s="1998" customFormat="1">
      <c r="A115" s="251"/>
      <c r="D115" s="1999"/>
      <c r="K115" s="57"/>
      <c r="L115" s="57"/>
    </row>
    <row r="116" spans="1:12" s="1998" customFormat="1">
      <c r="A116" s="251"/>
      <c r="D116" s="1999"/>
      <c r="K116" s="57"/>
      <c r="L116" s="57"/>
    </row>
    <row r="117" spans="1:12" s="1998" customFormat="1">
      <c r="A117" s="251"/>
      <c r="D117" s="1999"/>
      <c r="K117" s="57"/>
      <c r="L117" s="57"/>
    </row>
    <row r="118" spans="1:12" s="1998" customFormat="1">
      <c r="A118" s="251"/>
      <c r="D118" s="1999"/>
      <c r="K118" s="57"/>
      <c r="L118" s="57"/>
    </row>
    <row r="119" spans="1:12" s="1998" customFormat="1">
      <c r="A119" s="251"/>
      <c r="D119" s="1999"/>
      <c r="K119" s="57"/>
      <c r="L119" s="57"/>
    </row>
    <row r="120" spans="1:12" s="1998" customFormat="1">
      <c r="A120" s="251"/>
      <c r="D120" s="1999"/>
      <c r="K120" s="57"/>
      <c r="L120" s="57"/>
    </row>
    <row r="121" spans="1:12" s="1998" customFormat="1">
      <c r="A121" s="251"/>
      <c r="D121" s="1999"/>
      <c r="K121" s="57"/>
      <c r="L121" s="57"/>
    </row>
    <row r="122" spans="1:12" s="1998" customFormat="1">
      <c r="A122" s="251"/>
      <c r="D122" s="1999"/>
      <c r="K122" s="57"/>
      <c r="L122" s="57"/>
    </row>
    <row r="123" spans="1:12" s="1998" customFormat="1">
      <c r="A123" s="251"/>
      <c r="D123" s="1999"/>
      <c r="K123" s="57"/>
      <c r="L123" s="57"/>
    </row>
    <row r="124" spans="1:12" s="1998" customFormat="1">
      <c r="A124" s="251"/>
      <c r="D124" s="1999"/>
      <c r="K124" s="57"/>
      <c r="L124" s="57"/>
    </row>
    <row r="125" spans="1:12" s="1998" customFormat="1">
      <c r="A125" s="251"/>
      <c r="D125" s="1999"/>
      <c r="K125" s="57"/>
      <c r="L125" s="57"/>
    </row>
    <row r="126" spans="1:12" s="1998" customFormat="1">
      <c r="A126" s="251"/>
      <c r="D126" s="1999"/>
      <c r="K126" s="57"/>
      <c r="L126" s="57"/>
    </row>
    <row r="127" spans="1:12" s="1998" customFormat="1">
      <c r="A127" s="251"/>
      <c r="D127" s="1999"/>
      <c r="K127" s="57"/>
      <c r="L127" s="57"/>
    </row>
    <row r="128" spans="1:12" s="1998" customFormat="1">
      <c r="A128" s="251"/>
      <c r="D128" s="1999"/>
      <c r="K128" s="57"/>
      <c r="L128" s="57"/>
    </row>
    <row r="129" spans="1:12" s="1998" customFormat="1">
      <c r="A129" s="251"/>
      <c r="D129" s="1999"/>
      <c r="K129" s="57"/>
      <c r="L129" s="57"/>
    </row>
    <row r="130" spans="1:12" s="1998" customFormat="1">
      <c r="A130" s="251"/>
      <c r="D130" s="1999"/>
      <c r="K130" s="57"/>
      <c r="L130" s="57"/>
    </row>
    <row r="131" spans="1:12" s="1998" customFormat="1">
      <c r="A131" s="251"/>
      <c r="D131" s="1999"/>
      <c r="K131" s="57"/>
      <c r="L131" s="57"/>
    </row>
    <row r="132" spans="1:12" s="1998" customFormat="1">
      <c r="A132" s="251"/>
      <c r="D132" s="1999"/>
      <c r="K132" s="57"/>
      <c r="L132" s="57"/>
    </row>
    <row r="133" spans="1:12" s="1998" customFormat="1">
      <c r="A133" s="251"/>
      <c r="D133" s="1999"/>
      <c r="K133" s="57"/>
      <c r="L133" s="57"/>
    </row>
    <row r="134" spans="1:12" s="1998" customFormat="1">
      <c r="A134" s="251"/>
      <c r="D134" s="1999"/>
      <c r="K134" s="57"/>
      <c r="L134" s="57"/>
    </row>
    <row r="135" spans="1:12" s="1998" customFormat="1">
      <c r="A135" s="251"/>
      <c r="D135" s="1999"/>
      <c r="K135" s="57"/>
      <c r="L135" s="57"/>
    </row>
    <row r="136" spans="1:12" s="1998" customFormat="1">
      <c r="A136" s="251"/>
      <c r="D136" s="1999"/>
      <c r="K136" s="57"/>
      <c r="L136" s="57"/>
    </row>
    <row r="137" spans="1:12" s="1998" customFormat="1">
      <c r="A137" s="251"/>
      <c r="D137" s="1999"/>
      <c r="K137" s="57"/>
      <c r="L137" s="57"/>
    </row>
    <row r="138" spans="1:12" s="1998" customFormat="1">
      <c r="A138" s="251"/>
      <c r="D138" s="1999"/>
      <c r="K138" s="57"/>
      <c r="L138" s="57"/>
    </row>
    <row r="139" spans="1:12" s="1998" customFormat="1">
      <c r="A139" s="251"/>
      <c r="D139" s="1999"/>
      <c r="K139" s="57"/>
      <c r="L139" s="57"/>
    </row>
    <row r="140" spans="1:12" s="1998" customFormat="1">
      <c r="A140" s="251"/>
      <c r="D140" s="1999"/>
      <c r="K140" s="57"/>
      <c r="L140" s="57"/>
    </row>
    <row r="141" spans="1:12" s="1998" customFormat="1">
      <c r="A141" s="251"/>
      <c r="D141" s="1999"/>
      <c r="K141" s="57"/>
      <c r="L141" s="57"/>
    </row>
    <row r="142" spans="1:12" s="1998" customFormat="1">
      <c r="A142" s="251"/>
      <c r="D142" s="1999"/>
      <c r="K142" s="57"/>
      <c r="L142" s="57"/>
    </row>
    <row r="143" spans="1:12" s="1998" customFormat="1">
      <c r="A143" s="251"/>
      <c r="D143" s="1999"/>
      <c r="K143" s="57"/>
      <c r="L143" s="57"/>
    </row>
    <row r="144" spans="1:12" s="1998" customFormat="1">
      <c r="A144" s="251"/>
      <c r="D144" s="1999"/>
      <c r="K144" s="57"/>
      <c r="L144" s="57"/>
    </row>
    <row r="145" spans="1:12" s="1998" customFormat="1">
      <c r="A145" s="251"/>
      <c r="D145" s="1999"/>
      <c r="K145" s="57"/>
      <c r="L145" s="57"/>
    </row>
    <row r="146" spans="1:12" s="1998" customFormat="1">
      <c r="A146" s="251"/>
      <c r="D146" s="1999"/>
      <c r="K146" s="57"/>
      <c r="L146" s="57"/>
    </row>
    <row r="147" spans="1:12" s="1998" customFormat="1">
      <c r="A147" s="251"/>
      <c r="D147" s="1999"/>
      <c r="K147" s="57"/>
      <c r="L147" s="57"/>
    </row>
    <row r="148" spans="1:12" s="1998" customFormat="1">
      <c r="A148" s="251"/>
      <c r="D148" s="1999"/>
      <c r="K148" s="57"/>
      <c r="L148" s="57"/>
    </row>
    <row r="149" spans="1:12" s="1998" customFormat="1">
      <c r="A149" s="251"/>
      <c r="D149" s="1999"/>
      <c r="K149" s="57"/>
      <c r="L149" s="57"/>
    </row>
    <row r="150" spans="1:12" s="1998" customFormat="1">
      <c r="A150" s="251"/>
      <c r="D150" s="1999"/>
      <c r="K150" s="57"/>
      <c r="L150" s="57"/>
    </row>
    <row r="151" spans="1:12" s="1998" customFormat="1">
      <c r="A151" s="251"/>
      <c r="D151" s="1999"/>
      <c r="K151" s="57"/>
      <c r="L151" s="57"/>
    </row>
    <row r="152" spans="1:12" s="1998" customFormat="1">
      <c r="A152" s="251"/>
      <c r="D152" s="1999"/>
      <c r="K152" s="57"/>
      <c r="L152" s="57"/>
    </row>
    <row r="153" spans="1:12" s="1998" customFormat="1">
      <c r="A153" s="251"/>
      <c r="D153" s="1999"/>
      <c r="K153" s="57"/>
      <c r="L153" s="57"/>
    </row>
    <row r="154" spans="1:12" s="1998" customFormat="1">
      <c r="A154" s="251"/>
      <c r="D154" s="1999"/>
      <c r="K154" s="57"/>
      <c r="L154" s="57"/>
    </row>
    <row r="155" spans="1:12" s="1998" customFormat="1">
      <c r="A155" s="251"/>
      <c r="D155" s="1999"/>
      <c r="K155" s="57"/>
      <c r="L155" s="57"/>
    </row>
    <row r="156" spans="1:12" s="1998" customFormat="1">
      <c r="A156" s="251"/>
      <c r="D156" s="1999"/>
      <c r="K156" s="57"/>
      <c r="L156" s="57"/>
    </row>
    <row r="157" spans="1:12" s="1998" customFormat="1">
      <c r="A157" s="251"/>
      <c r="D157" s="1999"/>
      <c r="K157" s="57"/>
      <c r="L157" s="57"/>
    </row>
    <row r="158" spans="1:12" s="1998" customFormat="1">
      <c r="A158" s="251"/>
      <c r="D158" s="1999"/>
      <c r="K158" s="57"/>
      <c r="L158" s="57"/>
    </row>
    <row r="159" spans="1:12" s="1998" customFormat="1">
      <c r="A159" s="251"/>
      <c r="D159" s="1999"/>
      <c r="K159" s="57"/>
      <c r="L159" s="57"/>
    </row>
    <row r="160" spans="1:12" s="1998" customFormat="1">
      <c r="A160" s="251"/>
      <c r="D160" s="1999"/>
      <c r="K160" s="57"/>
      <c r="L160" s="57"/>
    </row>
    <row r="161" spans="1:12" s="1998" customFormat="1">
      <c r="A161" s="251"/>
      <c r="D161" s="1999"/>
      <c r="K161" s="57"/>
      <c r="L161" s="57"/>
    </row>
    <row r="162" spans="1:12" s="1998" customFormat="1">
      <c r="A162" s="251"/>
      <c r="D162" s="1999"/>
      <c r="K162" s="57"/>
      <c r="L162" s="57"/>
    </row>
    <row r="163" spans="1:12" s="1998" customFormat="1">
      <c r="A163" s="251"/>
      <c r="D163" s="1999"/>
      <c r="K163" s="57"/>
      <c r="L163" s="57"/>
    </row>
    <row r="164" spans="1:12" s="1998" customFormat="1">
      <c r="A164" s="251"/>
      <c r="D164" s="1999"/>
      <c r="K164" s="57"/>
      <c r="L164" s="57"/>
    </row>
    <row r="165" spans="1:12" s="1998" customFormat="1">
      <c r="A165" s="251"/>
      <c r="D165" s="1999"/>
      <c r="K165" s="57"/>
      <c r="L165" s="57"/>
    </row>
    <row r="166" spans="1:12" s="1998" customFormat="1">
      <c r="A166" s="251"/>
      <c r="D166" s="1999"/>
      <c r="K166" s="57"/>
      <c r="L166" s="57"/>
    </row>
    <row r="167" spans="1:12" s="1998" customFormat="1">
      <c r="A167" s="251"/>
      <c r="D167" s="1999"/>
      <c r="K167" s="57"/>
      <c r="L167" s="57"/>
    </row>
    <row r="168" spans="1:12" s="1998" customFormat="1">
      <c r="A168" s="251"/>
      <c r="D168" s="1999"/>
      <c r="K168" s="57"/>
      <c r="L168" s="57"/>
    </row>
    <row r="169" spans="1:12" s="1998" customFormat="1">
      <c r="A169" s="251"/>
      <c r="D169" s="1999"/>
      <c r="K169" s="57"/>
      <c r="L169" s="57"/>
    </row>
    <row r="170" spans="1:12" s="1998" customFormat="1">
      <c r="A170" s="251"/>
      <c r="D170" s="1999"/>
      <c r="K170" s="57"/>
      <c r="L170" s="57"/>
    </row>
    <row r="171" spans="1:12" s="1998" customFormat="1">
      <c r="A171" s="251"/>
      <c r="D171" s="1999"/>
      <c r="K171" s="57"/>
      <c r="L171" s="57"/>
    </row>
    <row r="172" spans="1:12" s="1998" customFormat="1">
      <c r="A172" s="251"/>
      <c r="D172" s="1999"/>
      <c r="K172" s="57"/>
      <c r="L172" s="57"/>
    </row>
    <row r="173" spans="1:12" s="1998" customFormat="1">
      <c r="A173" s="251"/>
      <c r="D173" s="1999"/>
      <c r="K173" s="57"/>
      <c r="L173" s="57"/>
    </row>
    <row r="174" spans="1:12" s="1998" customFormat="1">
      <c r="A174" s="251"/>
      <c r="D174" s="1999"/>
      <c r="K174" s="57"/>
      <c r="L174" s="57"/>
    </row>
    <row r="175" spans="1:12" s="1998" customFormat="1">
      <c r="A175" s="251"/>
      <c r="D175" s="1999"/>
      <c r="K175" s="57"/>
      <c r="L175" s="57"/>
    </row>
    <row r="176" spans="1:12" s="1998" customFormat="1">
      <c r="A176" s="251"/>
      <c r="D176" s="1999"/>
      <c r="K176" s="57"/>
      <c r="L176" s="57"/>
    </row>
    <row r="177" spans="1:12" s="1998" customFormat="1">
      <c r="A177" s="251"/>
      <c r="D177" s="1999"/>
      <c r="K177" s="57"/>
      <c r="L177" s="57"/>
    </row>
    <row r="178" spans="1:12" s="1998" customFormat="1">
      <c r="A178" s="251"/>
      <c r="D178" s="1999"/>
      <c r="K178" s="57"/>
      <c r="L178" s="57"/>
    </row>
    <row r="179" spans="1:12" s="1998" customFormat="1">
      <c r="A179" s="251"/>
      <c r="D179" s="1999"/>
      <c r="K179" s="57"/>
      <c r="L179" s="57"/>
    </row>
    <row r="180" spans="1:12" s="1998" customFormat="1">
      <c r="A180" s="251"/>
      <c r="D180" s="1999"/>
      <c r="K180" s="57"/>
      <c r="L180" s="57"/>
    </row>
    <row r="181" spans="1:12" s="1998" customFormat="1">
      <c r="A181" s="251"/>
      <c r="D181" s="1999"/>
      <c r="K181" s="57"/>
      <c r="L181" s="57"/>
    </row>
    <row r="182" spans="1:12" s="1998" customFormat="1">
      <c r="A182" s="251"/>
      <c r="D182" s="1999"/>
      <c r="K182" s="57"/>
      <c r="L182" s="57"/>
    </row>
    <row r="183" spans="1:12" s="1998" customFormat="1">
      <c r="A183" s="251"/>
      <c r="D183" s="1999"/>
      <c r="K183" s="57"/>
      <c r="L183" s="57"/>
    </row>
    <row r="184" spans="1:12" s="1998" customFormat="1">
      <c r="A184" s="251"/>
      <c r="D184" s="1999"/>
      <c r="K184" s="57"/>
      <c r="L184" s="57"/>
    </row>
    <row r="185" spans="1:12" s="1998" customFormat="1">
      <c r="A185" s="251"/>
      <c r="D185" s="1999"/>
      <c r="K185" s="57"/>
      <c r="L185" s="57"/>
    </row>
    <row r="186" spans="1:12" s="1998" customFormat="1">
      <c r="A186" s="251"/>
      <c r="D186" s="1999"/>
      <c r="K186" s="57"/>
      <c r="L186" s="57"/>
    </row>
    <row r="187" spans="1:12" s="1998" customFormat="1">
      <c r="A187" s="251"/>
      <c r="D187" s="1999"/>
      <c r="K187" s="57"/>
      <c r="L187" s="57"/>
    </row>
    <row r="188" spans="1:12" s="1998" customFormat="1">
      <c r="A188" s="251"/>
      <c r="D188" s="1999"/>
      <c r="K188" s="57"/>
      <c r="L188" s="57"/>
    </row>
    <row r="189" spans="1:12" s="1998" customFormat="1">
      <c r="A189" s="251"/>
      <c r="D189" s="1999"/>
      <c r="K189" s="57"/>
      <c r="L189" s="57"/>
    </row>
    <row r="190" spans="1:12" s="1998" customFormat="1">
      <c r="A190" s="251"/>
      <c r="D190" s="1999"/>
      <c r="K190" s="57"/>
      <c r="L190" s="57"/>
    </row>
    <row r="191" spans="1:12" s="1998" customFormat="1">
      <c r="A191" s="251"/>
      <c r="D191" s="1999"/>
      <c r="K191" s="57"/>
      <c r="L191" s="57"/>
    </row>
    <row r="192" spans="1:12" s="1998" customFormat="1">
      <c r="A192" s="251"/>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7" t="s">
        <v>1665</v>
      </c>
      <c r="B1" s="3298"/>
      <c r="C1" s="3298"/>
      <c r="D1" s="3298"/>
      <c r="E1" s="3298"/>
      <c r="F1" s="3298"/>
      <c r="G1" s="329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2929</v>
      </c>
      <c r="D3" s="2009"/>
      <c r="E3" s="1229" t="s">
        <v>1668</v>
      </c>
      <c r="F3" s="1230" t="s">
        <v>1656</v>
      </c>
      <c r="G3" s="3111" t="s">
        <v>2928</v>
      </c>
      <c r="H3" s="2008"/>
      <c r="I3" s="2008"/>
      <c r="J3" s="2008"/>
      <c r="K3" s="2008"/>
      <c r="L3" s="2008"/>
      <c r="M3" s="2008"/>
      <c r="N3" s="2008"/>
      <c r="O3" s="2008"/>
      <c r="P3" s="2008"/>
      <c r="Q3" s="2008"/>
      <c r="R3" s="2008"/>
    </row>
    <row r="4" spans="1:18" ht="41.25">
      <c r="A4" s="1229"/>
      <c r="B4" s="1231" t="s">
        <v>1669</v>
      </c>
      <c r="C4" s="3108" t="s">
        <v>2930</v>
      </c>
      <c r="D4" s="2009"/>
      <c r="E4" s="1232"/>
      <c r="F4" s="1233" t="s">
        <v>1670</v>
      </c>
      <c r="G4" s="3109" t="s">
        <v>2925</v>
      </c>
      <c r="H4" s="2008"/>
      <c r="I4" s="2008"/>
      <c r="J4" s="2008"/>
      <c r="K4" s="2008"/>
      <c r="L4" s="2008"/>
      <c r="M4" s="2008"/>
      <c r="N4" s="2008"/>
      <c r="O4" s="2008"/>
      <c r="P4" s="2008"/>
      <c r="Q4" s="2008"/>
      <c r="R4" s="2008"/>
    </row>
    <row r="5" spans="1:18" ht="41.25">
      <c r="A5" s="1229"/>
      <c r="B5" s="1231" t="s">
        <v>1671</v>
      </c>
      <c r="C5" s="3108" t="s">
        <v>2931</v>
      </c>
      <c r="D5" s="2009"/>
      <c r="E5" s="1232"/>
      <c r="F5" s="1231" t="s">
        <v>2553</v>
      </c>
      <c r="G5" s="3109" t="s">
        <v>2926</v>
      </c>
      <c r="H5" s="2008"/>
      <c r="I5" s="2008"/>
      <c r="J5" s="2008"/>
      <c r="K5" s="2008"/>
      <c r="L5" s="2008"/>
      <c r="M5" s="2008"/>
      <c r="N5" s="2008"/>
      <c r="O5" s="2008"/>
      <c r="P5" s="2008"/>
      <c r="Q5" s="2008"/>
      <c r="R5" s="2008"/>
    </row>
    <row r="6" spans="1:18" ht="54">
      <c r="A6" s="1229"/>
      <c r="B6" s="1231" t="s">
        <v>1657</v>
      </c>
      <c r="C6" s="3109" t="s">
        <v>2925</v>
      </c>
      <c r="D6" s="2009"/>
      <c r="E6" s="1232"/>
      <c r="F6" s="1231" t="s">
        <v>2554</v>
      </c>
      <c r="G6" s="3109" t="s">
        <v>2923</v>
      </c>
      <c r="H6" s="2008"/>
      <c r="I6" s="2008"/>
      <c r="J6" s="2008"/>
      <c r="K6" s="2008"/>
      <c r="L6" s="2008"/>
      <c r="M6" s="2008"/>
      <c r="N6" s="2008"/>
      <c r="O6" s="2008"/>
      <c r="P6" s="2008"/>
      <c r="Q6" s="2008"/>
      <c r="R6" s="2008"/>
    </row>
    <row r="7" spans="1:18" ht="41.25" thickBot="1">
      <c r="A7" s="1229"/>
      <c r="B7" s="1231" t="s">
        <v>2553</v>
      </c>
      <c r="C7" s="3109" t="s">
        <v>2926</v>
      </c>
      <c r="D7" s="2010"/>
      <c r="E7" s="1234"/>
      <c r="F7" s="1235" t="s">
        <v>1672</v>
      </c>
      <c r="G7" s="3112" t="s">
        <v>2927</v>
      </c>
      <c r="H7" s="2008"/>
      <c r="I7" s="2008"/>
      <c r="J7" s="2008"/>
      <c r="K7" s="2008"/>
      <c r="L7" s="2008"/>
      <c r="M7" s="2008"/>
      <c r="N7" s="2008"/>
      <c r="O7" s="2008"/>
      <c r="P7" s="2008"/>
      <c r="Q7" s="2008"/>
      <c r="R7" s="2008"/>
    </row>
    <row r="8" spans="1:18" ht="27">
      <c r="A8" s="1229"/>
      <c r="B8" s="1231" t="s">
        <v>2554</v>
      </c>
      <c r="C8" s="3109" t="s">
        <v>2923</v>
      </c>
      <c r="D8" s="2010"/>
      <c r="E8" s="2010"/>
      <c r="F8" s="1553"/>
      <c r="G8" s="1553"/>
      <c r="H8" s="2008"/>
      <c r="I8" s="2008"/>
      <c r="J8" s="2008"/>
      <c r="K8" s="2008"/>
      <c r="L8" s="2008"/>
      <c r="M8" s="2008"/>
      <c r="N8" s="2008"/>
      <c r="O8" s="2008"/>
      <c r="P8" s="2008"/>
      <c r="Q8" s="2008"/>
      <c r="R8" s="2008"/>
    </row>
    <row r="9" spans="1:18" ht="40.5">
      <c r="A9" s="1229"/>
      <c r="B9" s="1231" t="s">
        <v>1658</v>
      </c>
      <c r="C9" s="3108" t="s">
        <v>2924</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row>
    <row r="22" spans="1:7" ht="27">
      <c r="A22" s="2613"/>
      <c r="B22" s="1231" t="s">
        <v>2554</v>
      </c>
      <c r="C22" s="1005" t="str">
        <f>C8</f>
        <v>估价对象所在区域基础设施水平</v>
      </c>
      <c r="D22" s="2009"/>
      <c r="E22" s="2610"/>
      <c r="F22" s="1247" t="s">
        <v>1673</v>
      </c>
      <c r="G22" s="2820"/>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2852</v>
      </c>
      <c r="B1" s="3071">
        <f>SUM(B14:B23)</f>
        <v>113662.12</v>
      </c>
      <c r="C1" s="3072"/>
      <c r="D1" s="3072"/>
      <c r="E1" s="3072"/>
      <c r="F1" s="3072"/>
    </row>
    <row r="2" spans="1:9" ht="16.5">
      <c r="A2" s="3071" t="s">
        <v>2853</v>
      </c>
      <c r="B2" s="3071">
        <f>SUM(C14:C23)</f>
        <v>36665.199999999997</v>
      </c>
      <c r="C2" s="3072"/>
      <c r="D2" s="3072"/>
      <c r="E2" s="3072"/>
      <c r="F2" s="3072"/>
    </row>
    <row r="3" spans="1:9" ht="16.5">
      <c r="A3" s="3071" t="s">
        <v>2854</v>
      </c>
      <c r="B3" s="3073">
        <f>项目基本情况!D3</f>
        <v>43138</v>
      </c>
      <c r="C3" s="3072"/>
      <c r="D3" s="3072"/>
      <c r="E3" s="3072"/>
      <c r="F3" s="3072"/>
    </row>
    <row r="4" spans="1:9" ht="33">
      <c r="A4" s="3071" t="s">
        <v>2855</v>
      </c>
      <c r="B4" s="3071" t="s">
        <v>2856</v>
      </c>
      <c r="C4" s="3071" t="s">
        <v>2857</v>
      </c>
      <c r="D4" s="3071" t="s">
        <v>2858</v>
      </c>
      <c r="E4" s="3072"/>
      <c r="F4" s="3072"/>
    </row>
    <row r="5" spans="1:9" ht="16.5">
      <c r="A5" s="3071" t="s">
        <v>2859</v>
      </c>
      <c r="B5" s="3071">
        <f ca="1">SUM(D14:D23)</f>
        <v>130108</v>
      </c>
      <c r="C5" s="3071">
        <f ca="1">ROUND(B5*10000/$B$1,0)</f>
        <v>11447</v>
      </c>
      <c r="D5" s="3071">
        <f ca="1">ROUND(B5*10000/$B$2,0)</f>
        <v>35485</v>
      </c>
      <c r="E5" s="3072"/>
      <c r="F5" s="3072"/>
    </row>
    <row r="6" spans="1:9" ht="16.5">
      <c r="A6" s="3071" t="s">
        <v>2860</v>
      </c>
      <c r="B6" s="3071">
        <f ca="1">SUM(G14:G23)</f>
        <v>95108</v>
      </c>
      <c r="C6" s="3071">
        <f t="shared" ref="C6:C8" ca="1" si="0">ROUND(B6*10000/$B$1,0)</f>
        <v>8368</v>
      </c>
      <c r="D6" s="3071">
        <f t="shared" ref="D6:D8" ca="1" si="1">ROUND(B6*10000/$B$2,0)</f>
        <v>25940</v>
      </c>
      <c r="E6" s="3072"/>
      <c r="F6" s="3072"/>
    </row>
    <row r="7" spans="1:9" ht="16.5">
      <c r="A7" s="3071" t="s">
        <v>2861</v>
      </c>
      <c r="B7" s="3071">
        <f>SUM(H14:H23)</f>
        <v>0</v>
      </c>
      <c r="C7" s="3071">
        <f t="shared" si="0"/>
        <v>0</v>
      </c>
      <c r="D7" s="3071">
        <f t="shared" si="1"/>
        <v>0</v>
      </c>
      <c r="E7" s="3072"/>
      <c r="F7" s="3072"/>
    </row>
    <row r="8" spans="1:9" ht="16.5">
      <c r="A8" s="3071" t="s">
        <v>2862</v>
      </c>
      <c r="B8" s="3071">
        <f ca="1">SUM(I14:I23)</f>
        <v>46634</v>
      </c>
      <c r="C8" s="3071">
        <f t="shared" ca="1" si="0"/>
        <v>4103</v>
      </c>
      <c r="D8" s="3071">
        <f t="shared" ca="1" si="1"/>
        <v>12719</v>
      </c>
      <c r="E8" s="3072"/>
      <c r="F8" s="3072"/>
    </row>
    <row r="9" spans="1:9" ht="16.5">
      <c r="A9" s="3071" t="s">
        <v>2863</v>
      </c>
      <c r="B9" s="3074"/>
      <c r="C9" s="3072"/>
      <c r="D9" s="3072"/>
      <c r="E9" s="3072"/>
      <c r="F9" s="3072"/>
    </row>
    <row r="10" spans="1:9" ht="16.5">
      <c r="A10" s="3071" t="s">
        <v>2864</v>
      </c>
      <c r="B10" s="3074"/>
      <c r="C10" s="3072"/>
      <c r="D10" s="3072"/>
      <c r="E10" s="3072"/>
      <c r="F10" s="3072"/>
    </row>
    <row r="11" spans="1:9" ht="16.5">
      <c r="A11" s="3071" t="s">
        <v>2881</v>
      </c>
      <c r="B11" s="3074"/>
      <c r="C11" s="3072"/>
      <c r="D11" s="3072"/>
      <c r="E11" s="3072"/>
      <c r="F11" s="3072"/>
    </row>
    <row r="12" spans="1:9" ht="16.5">
      <c r="A12" s="3072"/>
      <c r="B12" s="3072"/>
      <c r="C12" s="3072"/>
      <c r="D12" s="3072"/>
      <c r="E12" s="3072"/>
      <c r="F12" s="3072"/>
    </row>
    <row r="13" spans="1:9" ht="33">
      <c r="A13" s="3077" t="s">
        <v>2880</v>
      </c>
      <c r="B13" s="3075" t="s">
        <v>2852</v>
      </c>
      <c r="C13" s="3075" t="s">
        <v>2853</v>
      </c>
      <c r="D13" s="3075" t="s">
        <v>2865</v>
      </c>
      <c r="E13" s="3071" t="s">
        <v>2879</v>
      </c>
      <c r="F13" s="3071" t="s">
        <v>2858</v>
      </c>
      <c r="G13" s="3075" t="s">
        <v>2866</v>
      </c>
      <c r="H13" s="3075" t="s">
        <v>2867</v>
      </c>
      <c r="I13" s="3075" t="s">
        <v>2868</v>
      </c>
    </row>
    <row r="14" spans="1:9" ht="16.5">
      <c r="A14" s="3078" t="s">
        <v>2878</v>
      </c>
      <c r="B14" s="3075">
        <f>结果表!L38</f>
        <v>113662.12</v>
      </c>
      <c r="C14" s="3075">
        <f>结果表!K38</f>
        <v>36665.199999999997</v>
      </c>
      <c r="D14" s="3075">
        <f ca="1">结果表!C42</f>
        <v>130108</v>
      </c>
      <c r="E14" s="3075">
        <f ca="1">ROUND(D14*10000/B14,0)</f>
        <v>11447</v>
      </c>
      <c r="F14" s="3075">
        <f ca="1">ROUND(D14*10000/C14,0)</f>
        <v>35485</v>
      </c>
      <c r="G14" s="3075">
        <f ca="1">结果表!C44</f>
        <v>95108</v>
      </c>
      <c r="H14" s="3075" t="str">
        <f>结果表!C45</f>
        <v>——</v>
      </c>
      <c r="I14" s="3075">
        <f ca="1">结果表!C46</f>
        <v>46634</v>
      </c>
    </row>
    <row r="15" spans="1:9" ht="16.5">
      <c r="A15" s="3078" t="s">
        <v>2869</v>
      </c>
      <c r="B15" s="3079"/>
      <c r="C15" s="3079"/>
      <c r="D15" s="3079"/>
      <c r="E15" s="3075" t="e">
        <f t="shared" ref="E15:E23" si="2">ROUND(D15*10000/B15,0)</f>
        <v>#DIV/0!</v>
      </c>
      <c r="F15" s="3075" t="e">
        <f t="shared" ref="F15:F23" si="3">ROUND(D15*10000/C15,0)</f>
        <v>#DIV/0!</v>
      </c>
      <c r="G15" s="3076"/>
      <c r="H15" s="3076"/>
      <c r="I15" s="3079"/>
    </row>
    <row r="16" spans="1:9" ht="16.5">
      <c r="A16" s="3078" t="s">
        <v>2870</v>
      </c>
      <c r="B16" s="3079"/>
      <c r="C16" s="3079"/>
      <c r="D16" s="3079"/>
      <c r="E16" s="3075" t="e">
        <f t="shared" si="2"/>
        <v>#DIV/0!</v>
      </c>
      <c r="F16" s="3075" t="e">
        <f t="shared" si="3"/>
        <v>#DIV/0!</v>
      </c>
      <c r="G16" s="3076"/>
      <c r="H16" s="3076"/>
      <c r="I16" s="3079"/>
    </row>
    <row r="17" spans="1:9" ht="16.5">
      <c r="A17" s="3078" t="s">
        <v>2871</v>
      </c>
      <c r="B17" s="3079"/>
      <c r="C17" s="3079"/>
      <c r="D17" s="3079"/>
      <c r="E17" s="3075" t="e">
        <f t="shared" si="2"/>
        <v>#DIV/0!</v>
      </c>
      <c r="F17" s="3075" t="e">
        <f t="shared" si="3"/>
        <v>#DIV/0!</v>
      </c>
      <c r="G17" s="3076"/>
      <c r="H17" s="3076"/>
      <c r="I17" s="3079"/>
    </row>
    <row r="18" spans="1:9" ht="16.5">
      <c r="A18" s="3078" t="s">
        <v>2872</v>
      </c>
      <c r="B18" s="3079"/>
      <c r="C18" s="3079"/>
      <c r="D18" s="3079"/>
      <c r="E18" s="3075" t="e">
        <f t="shared" si="2"/>
        <v>#DIV/0!</v>
      </c>
      <c r="F18" s="3075" t="e">
        <f t="shared" si="3"/>
        <v>#DIV/0!</v>
      </c>
      <c r="G18" s="3079"/>
      <c r="H18" s="3079"/>
      <c r="I18" s="3079"/>
    </row>
    <row r="19" spans="1:9" ht="16.5">
      <c r="A19" s="3078" t="s">
        <v>2873</v>
      </c>
      <c r="B19" s="3079"/>
      <c r="C19" s="3079"/>
      <c r="D19" s="3079"/>
      <c r="E19" s="3075" t="e">
        <f t="shared" si="2"/>
        <v>#DIV/0!</v>
      </c>
      <c r="F19" s="3075" t="e">
        <f t="shared" si="3"/>
        <v>#DIV/0!</v>
      </c>
      <c r="G19" s="3079"/>
      <c r="H19" s="3079"/>
      <c r="I19" s="3079"/>
    </row>
    <row r="20" spans="1:9" ht="16.5">
      <c r="A20" s="3078" t="s">
        <v>2874</v>
      </c>
      <c r="B20" s="3079"/>
      <c r="C20" s="3079"/>
      <c r="D20" s="3079"/>
      <c r="E20" s="3075" t="e">
        <f t="shared" si="2"/>
        <v>#DIV/0!</v>
      </c>
      <c r="F20" s="3075" t="e">
        <f t="shared" si="3"/>
        <v>#DIV/0!</v>
      </c>
      <c r="G20" s="3079"/>
      <c r="H20" s="3079"/>
      <c r="I20" s="3079"/>
    </row>
    <row r="21" spans="1:9" ht="16.5">
      <c r="A21" s="3078" t="s">
        <v>2875</v>
      </c>
      <c r="B21" s="3079"/>
      <c r="C21" s="3079"/>
      <c r="D21" s="3079"/>
      <c r="E21" s="3075" t="e">
        <f t="shared" si="2"/>
        <v>#DIV/0!</v>
      </c>
      <c r="F21" s="3075" t="e">
        <f t="shared" si="3"/>
        <v>#DIV/0!</v>
      </c>
      <c r="G21" s="3079"/>
      <c r="H21" s="3079"/>
      <c r="I21" s="3079"/>
    </row>
    <row r="22" spans="1:9" ht="16.5">
      <c r="A22" s="3078" t="s">
        <v>2876</v>
      </c>
      <c r="B22" s="3079"/>
      <c r="C22" s="3079"/>
      <c r="D22" s="3079"/>
      <c r="E22" s="3075" t="e">
        <f t="shared" si="2"/>
        <v>#DIV/0!</v>
      </c>
      <c r="F22" s="3075" t="e">
        <f t="shared" si="3"/>
        <v>#DIV/0!</v>
      </c>
      <c r="G22" s="3079"/>
      <c r="H22" s="3079"/>
      <c r="I22" s="3079"/>
    </row>
    <row r="23" spans="1:9" ht="16.5">
      <c r="A23" s="3078" t="s">
        <v>2877</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7" sqref="K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6" t="s">
        <v>2059</v>
      </c>
      <c r="B1" s="1777"/>
      <c r="C1" s="1805" t="s">
        <v>2060</v>
      </c>
      <c r="D1" s="1806" t="s">
        <v>3085</v>
      </c>
      <c r="E1" s="1805" t="s">
        <v>2061</v>
      </c>
      <c r="F1" s="1807" t="s">
        <v>3086</v>
      </c>
      <c r="G1" s="312"/>
      <c r="H1" s="312"/>
      <c r="I1" s="312"/>
      <c r="J1" s="2029"/>
      <c r="K1" s="2029"/>
      <c r="L1" s="2029"/>
      <c r="M1" s="2029"/>
      <c r="N1" s="2029"/>
      <c r="O1" s="2029"/>
      <c r="P1" s="2029"/>
      <c r="Q1" s="2029"/>
      <c r="R1" s="2029"/>
      <c r="S1" s="2029"/>
      <c r="T1" s="2029"/>
      <c r="U1" s="2029"/>
      <c r="V1" s="2029"/>
    </row>
    <row r="2" spans="1:22" ht="21.75" customHeight="1" thickBot="1">
      <c r="A2" s="3335" t="str">
        <f>项目基本情况!K2</f>
        <v>出让国有建设用地使用权</v>
      </c>
      <c r="B2" s="3336"/>
      <c r="C2" s="3337"/>
      <c r="D2" s="3337"/>
      <c r="E2" s="3337"/>
      <c r="F2" s="3337"/>
      <c r="G2" s="3336"/>
      <c r="H2" s="3336"/>
      <c r="I2" s="3338"/>
      <c r="J2" s="2030"/>
      <c r="K2" s="2029"/>
      <c r="L2" s="2029"/>
      <c r="M2" s="2029"/>
      <c r="N2" s="2029"/>
      <c r="O2" s="2029"/>
      <c r="P2" s="2029"/>
      <c r="Q2" s="2029"/>
      <c r="R2" s="2029"/>
      <c r="S2" s="2029"/>
      <c r="T2" s="2029"/>
      <c r="U2" s="2029"/>
      <c r="V2" s="2029"/>
    </row>
    <row r="3" spans="1:22" ht="14.25">
      <c r="A3" s="3328" t="s">
        <v>298</v>
      </c>
      <c r="B3" s="3329"/>
      <c r="C3" s="3329"/>
      <c r="D3" s="3329"/>
      <c r="E3" s="3329"/>
      <c r="F3" s="3329"/>
      <c r="G3" s="3329"/>
      <c r="H3" s="3329"/>
      <c r="I3" s="3329"/>
      <c r="J3" s="2030"/>
      <c r="K3" s="2029"/>
      <c r="L3" s="2029"/>
      <c r="M3" s="2029"/>
      <c r="N3" s="2029"/>
      <c r="O3" s="2029"/>
      <c r="P3" s="2029"/>
      <c r="Q3" s="2029"/>
      <c r="R3" s="2029"/>
      <c r="S3" s="2029"/>
      <c r="T3" s="2029"/>
      <c r="U3" s="2029"/>
      <c r="V3" s="2029"/>
    </row>
    <row r="4" spans="1:22" ht="14.25">
      <c r="A4" s="256" t="s">
        <v>299</v>
      </c>
      <c r="B4" s="257" t="s">
        <v>300</v>
      </c>
      <c r="C4" s="258" t="s">
        <v>3057</v>
      </c>
      <c r="D4" s="258" t="s">
        <v>3058</v>
      </c>
      <c r="E4" s="3300" t="s">
        <v>301</v>
      </c>
      <c r="F4" s="3301"/>
      <c r="G4" s="3301"/>
      <c r="H4" s="3301"/>
      <c r="I4" s="333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9" t="s">
        <v>302</v>
      </c>
      <c r="B5" s="3325">
        <v>25</v>
      </c>
      <c r="C5" s="3323"/>
      <c r="D5" s="3327"/>
      <c r="E5" s="259" t="s">
        <v>303</v>
      </c>
      <c r="F5" s="260"/>
      <c r="G5" s="260"/>
      <c r="H5" s="260"/>
      <c r="I5" s="261"/>
      <c r="J5" s="2030"/>
      <c r="K5" s="2029"/>
      <c r="L5" s="2029"/>
      <c r="M5" s="2029"/>
      <c r="N5" s="2029"/>
      <c r="O5" s="2029"/>
      <c r="P5" s="2029"/>
      <c r="Q5" s="2029"/>
      <c r="R5" s="2029"/>
      <c r="S5" s="2029"/>
      <c r="T5" s="2029"/>
      <c r="U5" s="2029"/>
      <c r="V5" s="2029"/>
    </row>
    <row r="6" spans="1:22" ht="14.25">
      <c r="A6" s="3299"/>
      <c r="B6" s="3325"/>
      <c r="C6" s="3326"/>
      <c r="D6" s="3327"/>
      <c r="E6" s="259" t="s">
        <v>304</v>
      </c>
      <c r="F6" s="260"/>
      <c r="G6" s="260"/>
      <c r="H6" s="260"/>
      <c r="I6" s="261"/>
      <c r="J6" s="2030"/>
      <c r="K6" s="2029"/>
      <c r="L6" s="2029"/>
      <c r="M6" s="2029"/>
      <c r="N6" s="2029"/>
      <c r="O6" s="2029"/>
      <c r="P6" s="2029"/>
      <c r="Q6" s="2029"/>
      <c r="R6" s="2029"/>
      <c r="S6" s="2029"/>
      <c r="T6" s="2029"/>
      <c r="U6" s="2029"/>
      <c r="V6" s="2029"/>
    </row>
    <row r="7" spans="1:22" ht="14.25">
      <c r="A7" s="3299"/>
      <c r="B7" s="3325"/>
      <c r="C7" s="3324"/>
      <c r="D7" s="3327"/>
      <c r="E7" s="259" t="s">
        <v>305</v>
      </c>
      <c r="F7" s="260"/>
      <c r="G7" s="260"/>
      <c r="H7" s="260"/>
      <c r="I7" s="261"/>
      <c r="J7" s="2030"/>
      <c r="K7" s="2029"/>
      <c r="L7" s="2029"/>
      <c r="M7" s="2029"/>
      <c r="N7" s="2029"/>
      <c r="O7" s="2029"/>
      <c r="P7" s="2029"/>
      <c r="Q7" s="2029"/>
      <c r="R7" s="2029"/>
      <c r="S7" s="2029"/>
      <c r="T7" s="2029"/>
      <c r="U7" s="2029"/>
      <c r="V7" s="2029"/>
    </row>
    <row r="8" spans="1:22" ht="14.25">
      <c r="A8" s="3299" t="s">
        <v>306</v>
      </c>
      <c r="B8" s="3325">
        <v>15</v>
      </c>
      <c r="C8" s="3323"/>
      <c r="D8" s="3327"/>
      <c r="E8" s="259" t="s">
        <v>307</v>
      </c>
      <c r="F8" s="260"/>
      <c r="G8" s="260"/>
      <c r="H8" s="260"/>
      <c r="I8" s="261"/>
      <c r="J8" s="2030"/>
      <c r="K8" s="2029"/>
      <c r="L8" s="2029"/>
      <c r="M8" s="2029"/>
      <c r="N8" s="2029"/>
      <c r="O8" s="2029"/>
      <c r="P8" s="2029"/>
      <c r="Q8" s="2029"/>
      <c r="R8" s="2029"/>
      <c r="S8" s="2029"/>
      <c r="T8" s="2029"/>
      <c r="U8" s="2029"/>
      <c r="V8" s="2029"/>
    </row>
    <row r="9" spans="1:22" ht="14.25">
      <c r="A9" s="3299"/>
      <c r="B9" s="3325"/>
      <c r="C9" s="3324"/>
      <c r="D9" s="3327"/>
      <c r="E9" s="259" t="s">
        <v>308</v>
      </c>
      <c r="F9" s="260"/>
      <c r="G9" s="260"/>
      <c r="H9" s="260"/>
      <c r="I9" s="261"/>
      <c r="J9" s="2030"/>
      <c r="K9" s="2029"/>
      <c r="L9" s="2029"/>
      <c r="M9" s="2029"/>
      <c r="N9" s="2029"/>
      <c r="O9" s="2029"/>
      <c r="P9" s="2029"/>
      <c r="Q9" s="2029"/>
      <c r="R9" s="2029"/>
      <c r="S9" s="2029"/>
      <c r="T9" s="2029"/>
      <c r="U9" s="2029"/>
      <c r="V9" s="2029"/>
    </row>
    <row r="10" spans="1:22" ht="14.25">
      <c r="A10" s="3299" t="s">
        <v>309</v>
      </c>
      <c r="B10" s="3325">
        <v>15</v>
      </c>
      <c r="C10" s="3323"/>
      <c r="D10" s="3327"/>
      <c r="E10" s="259" t="s">
        <v>310</v>
      </c>
      <c r="F10" s="260"/>
      <c r="G10" s="260"/>
      <c r="H10" s="260"/>
      <c r="I10" s="261"/>
      <c r="J10" s="2030"/>
      <c r="K10" s="2029"/>
      <c r="L10" s="2029"/>
      <c r="M10" s="2029"/>
      <c r="N10" s="2029"/>
      <c r="O10" s="2029"/>
      <c r="P10" s="2029"/>
      <c r="Q10" s="2029"/>
      <c r="R10" s="2029"/>
      <c r="S10" s="2029"/>
      <c r="T10" s="2029"/>
      <c r="U10" s="2029"/>
      <c r="V10" s="2029"/>
    </row>
    <row r="11" spans="1:22" ht="14.25">
      <c r="A11" s="3299"/>
      <c r="B11" s="3325"/>
      <c r="C11" s="3324"/>
      <c r="D11" s="3327"/>
      <c r="E11" s="259" t="s">
        <v>311</v>
      </c>
      <c r="F11" s="260"/>
      <c r="G11" s="260"/>
      <c r="H11" s="260"/>
      <c r="I11" s="261"/>
      <c r="J11" s="2030"/>
      <c r="K11" s="2029"/>
      <c r="L11" s="2029"/>
      <c r="M11" s="2029"/>
      <c r="N11" s="2029"/>
      <c r="O11" s="2029"/>
      <c r="P11" s="2029"/>
      <c r="Q11" s="2029"/>
      <c r="R11" s="2029"/>
      <c r="S11" s="2029"/>
      <c r="T11" s="2029"/>
      <c r="U11" s="2029"/>
      <c r="V11" s="2029"/>
    </row>
    <row r="12" spans="1:22" ht="14.25">
      <c r="A12" s="3299" t="s">
        <v>312</v>
      </c>
      <c r="B12" s="3325">
        <v>15</v>
      </c>
      <c r="C12" s="3323"/>
      <c r="D12" s="3327"/>
      <c r="E12" s="259" t="s">
        <v>313</v>
      </c>
      <c r="F12" s="260"/>
      <c r="G12" s="260"/>
      <c r="H12" s="260"/>
      <c r="I12" s="261"/>
      <c r="J12" s="2030"/>
      <c r="K12" s="2029"/>
      <c r="L12" s="2029"/>
      <c r="M12" s="2029"/>
      <c r="N12" s="2029"/>
      <c r="O12" s="2029"/>
      <c r="P12" s="2029"/>
      <c r="Q12" s="2029"/>
      <c r="R12" s="2029"/>
      <c r="S12" s="2029"/>
      <c r="T12" s="2029"/>
      <c r="U12" s="2029"/>
      <c r="V12" s="2029"/>
    </row>
    <row r="13" spans="1:22" ht="14.25">
      <c r="A13" s="3299"/>
      <c r="B13" s="3325"/>
      <c r="C13" s="3324"/>
      <c r="D13" s="3327"/>
      <c r="E13" s="259" t="s">
        <v>314</v>
      </c>
      <c r="F13" s="260"/>
      <c r="G13" s="260"/>
      <c r="H13" s="260"/>
      <c r="I13" s="261"/>
      <c r="J13" s="2030"/>
      <c r="K13" s="2029"/>
      <c r="L13" s="2029"/>
      <c r="M13" s="2029"/>
      <c r="N13" s="2029"/>
      <c r="O13" s="2029"/>
      <c r="P13" s="2029"/>
      <c r="Q13" s="2029"/>
      <c r="R13" s="2029"/>
      <c r="S13" s="2029"/>
      <c r="T13" s="2029"/>
      <c r="U13" s="2029"/>
      <c r="V13" s="2029"/>
    </row>
    <row r="14" spans="1:22" ht="14.25">
      <c r="A14" s="3299" t="s">
        <v>315</v>
      </c>
      <c r="B14" s="3325">
        <v>30</v>
      </c>
      <c r="C14" s="3323">
        <v>5</v>
      </c>
      <c r="D14" s="3327">
        <v>5</v>
      </c>
      <c r="E14" s="259" t="s">
        <v>316</v>
      </c>
      <c r="F14" s="260"/>
      <c r="G14" s="260"/>
      <c r="H14" s="260"/>
      <c r="I14" s="261"/>
      <c r="J14" s="2030"/>
      <c r="K14" s="2029"/>
      <c r="L14" s="2029"/>
      <c r="M14" s="2029"/>
      <c r="N14" s="2029"/>
      <c r="O14" s="2029"/>
      <c r="P14" s="2029"/>
      <c r="Q14" s="2029"/>
      <c r="R14" s="2029"/>
      <c r="S14" s="2029"/>
      <c r="T14" s="2029"/>
      <c r="U14" s="2029"/>
      <c r="V14" s="2029"/>
    </row>
    <row r="15" spans="1:22" ht="14.25">
      <c r="A15" s="3299"/>
      <c r="B15" s="3325"/>
      <c r="C15" s="3326"/>
      <c r="D15" s="3327"/>
      <c r="E15" s="259" t="s">
        <v>317</v>
      </c>
      <c r="F15" s="260"/>
      <c r="G15" s="260"/>
      <c r="H15" s="260"/>
      <c r="I15" s="261"/>
      <c r="J15" s="2030"/>
      <c r="K15" s="2029"/>
      <c r="L15" s="2029"/>
      <c r="M15" s="2029"/>
      <c r="N15" s="2029"/>
      <c r="O15" s="2029"/>
      <c r="P15" s="2029"/>
      <c r="Q15" s="2029"/>
      <c r="R15" s="2029"/>
      <c r="S15" s="2029"/>
      <c r="T15" s="2029"/>
      <c r="U15" s="2029"/>
      <c r="V15" s="2029"/>
    </row>
    <row r="16" spans="1:22" ht="14.25">
      <c r="A16" s="3299"/>
      <c r="B16" s="3325"/>
      <c r="C16" s="3324"/>
      <c r="D16" s="3327"/>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4"/>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5"/>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121266</v>
      </c>
      <c r="D19" s="269">
        <f ca="1">SUMIF(INDIRECT("'"&amp;D4&amp;"'"&amp;"!A:A"),结果表!B19,INDIRECT("'"&amp;D4&amp;"'"&amp;"!B:B"))</f>
        <v>138950</v>
      </c>
      <c r="E19" s="266" t="s">
        <v>323</v>
      </c>
      <c r="F19" s="267" t="s">
        <v>322</v>
      </c>
      <c r="G19" s="270">
        <f ca="1">ROUND(C19*$C$18+D19*$D$18,0)</f>
        <v>130108</v>
      </c>
      <c r="H19" s="271" t="s">
        <v>324</v>
      </c>
      <c r="I19" s="312"/>
      <c r="J19" s="2029"/>
      <c r="K19" s="2029"/>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10669</v>
      </c>
      <c r="D20" s="275">
        <f ca="1">SUMIF(INDIRECT("'"&amp;D4&amp;"'"&amp;"!A:A"),结果表!B20,INDIRECT("'"&amp;D4&amp;"'"&amp;"!B:B"))</f>
        <v>12225</v>
      </c>
      <c r="E20" s="272"/>
      <c r="F20" s="273" t="s">
        <v>325</v>
      </c>
      <c r="G20" s="276">
        <f ca="1">ROUND(C20*$C$18+D20*$D$18,0)</f>
        <v>11447</v>
      </c>
      <c r="H20" s="277" t="s">
        <v>326</v>
      </c>
      <c r="I20" s="312"/>
      <c r="J20" s="2029"/>
      <c r="K20" s="2029">
        <f ca="1">G19*10000/'数据-汇总表'!F31</f>
        <v>11446.909489282798</v>
      </c>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33074</v>
      </c>
      <c r="D21" s="150">
        <f ca="1">SUMIF(INDIRECT("'"&amp;D4&amp;"'"&amp;"!A:A"),结果表!B21,INDIRECT("'"&amp;D4&amp;"'"&amp;"!B:B"))</f>
        <v>37897</v>
      </c>
      <c r="E21" s="272"/>
      <c r="F21" s="278" t="s">
        <v>327</v>
      </c>
      <c r="G21" s="280">
        <f ca="1">ROUND(C21*$C$18+D21*$D$18,0)</f>
        <v>35486</v>
      </c>
      <c r="H21" s="1251" t="s">
        <v>326</v>
      </c>
      <c r="I21" s="312"/>
      <c r="J21" s="2029"/>
      <c r="K21" s="2029">
        <f ca="1">G19+[1]结果表!$G$19</f>
        <v>201339</v>
      </c>
      <c r="L21" s="2029"/>
      <c r="M21" s="2029"/>
      <c r="N21" s="2029"/>
      <c r="O21" s="2029"/>
      <c r="P21" s="2029"/>
      <c r="Q21" s="2029"/>
      <c r="R21" s="2029"/>
      <c r="S21" s="2029"/>
      <c r="T21" s="2029"/>
      <c r="U21" s="2029"/>
      <c r="V21" s="2029"/>
    </row>
    <row r="22" spans="1:26" ht="15.75" thickBot="1">
      <c r="A22" s="126" t="s">
        <v>328</v>
      </c>
      <c r="B22" s="1252"/>
      <c r="C22" s="1253"/>
      <c r="D22" s="281">
        <f ca="1">IF(C19&lt;D19,D19/C19-1,C19/D19-1)</f>
        <v>0.14582817937426817</v>
      </c>
      <c r="E22" s="282"/>
      <c r="F22" s="283"/>
      <c r="G22" s="284">
        <f ca="1">ROUND(G19/('数据-汇总表'!D3/666.67),0)</f>
        <v>2366</v>
      </c>
      <c r="H22" s="285" t="s">
        <v>329</v>
      </c>
      <c r="I22" s="312"/>
      <c r="J22" s="2029"/>
      <c r="K22" s="2029"/>
      <c r="L22" s="2029"/>
      <c r="M22" s="2029"/>
      <c r="N22" s="2029"/>
      <c r="O22" s="2029"/>
      <c r="P22" s="2029"/>
      <c r="Q22" s="2029"/>
      <c r="R22" s="2029"/>
      <c r="S22" s="2029"/>
      <c r="T22" s="2029"/>
      <c r="U22" s="2029"/>
      <c r="V22" s="2029"/>
    </row>
    <row r="23" spans="1:26" ht="13.5"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thickBot="1">
      <c r="A24" s="3305"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c r="A25" s="3306"/>
      <c r="B25" s="1321" t="s">
        <v>331</v>
      </c>
      <c r="C25" s="288">
        <f>IF(B30=0,0,C30)</f>
        <v>0</v>
      </c>
      <c r="D25" s="289"/>
      <c r="E25" s="312"/>
      <c r="F25" s="312"/>
      <c r="G25" s="312"/>
      <c r="H25" s="312"/>
      <c r="I25" s="312"/>
      <c r="J25" s="2029"/>
      <c r="K25" s="1255" t="str">
        <f ca="1">项目基本情况!B16&amp;"国有建设用地使用权价格："&amp;O38&amp;"万元"</f>
        <v>出让国有建设用地使用权价格：130108万元</v>
      </c>
      <c r="L25" s="1256"/>
      <c r="M25" s="1256"/>
      <c r="N25" s="1256"/>
      <c r="O25" s="1257"/>
      <c r="P25" s="2029"/>
      <c r="Q25" s="2029"/>
      <c r="R25" s="2029"/>
      <c r="S25" s="2029"/>
      <c r="T25" s="2029"/>
      <c r="U25" s="2029"/>
      <c r="V25" s="2029"/>
    </row>
    <row r="26" spans="1:26" s="1254" customFormat="1" ht="18">
      <c r="A26" s="291" t="s">
        <v>332</v>
      </c>
      <c r="B26" s="292" t="s">
        <v>333</v>
      </c>
      <c r="C26" s="292" t="s">
        <v>334</v>
      </c>
      <c r="D26" s="293" t="s">
        <v>335</v>
      </c>
      <c r="E26" s="312"/>
      <c r="F26" s="312"/>
      <c r="G26" s="312"/>
      <c r="H26" s="312"/>
      <c r="I26" s="312"/>
      <c r="J26" s="2029"/>
      <c r="K26" s="1258" t="str">
        <f ca="1">"大写金额：人民币"&amp;NUMBERSTRING(INT(O38*10000),2)&amp;"元整"</f>
        <v>大写金额：人民币壹拾叁亿零壹佰零捌万元整</v>
      </c>
      <c r="L26" s="1252"/>
      <c r="M26" s="1252"/>
      <c r="N26" s="1252"/>
      <c r="O26" s="1251"/>
      <c r="P26" s="2029"/>
      <c r="Q26" s="2029"/>
      <c r="R26" s="2029"/>
      <c r="S26" s="2029"/>
      <c r="T26" s="2029"/>
      <c r="U26" s="2029"/>
      <c r="V26" s="2029"/>
      <c r="W26" s="290"/>
      <c r="X26" s="290"/>
      <c r="Y26" s="290"/>
      <c r="Z26" s="290"/>
    </row>
    <row r="27" spans="1:26" ht="18">
      <c r="A27" s="291"/>
      <c r="B27" s="292"/>
      <c r="C27" s="292"/>
      <c r="D27" s="293"/>
      <c r="E27" s="312"/>
      <c r="F27" s="312"/>
      <c r="G27" s="312"/>
      <c r="H27" s="312"/>
      <c r="I27" s="312"/>
      <c r="J27" s="2029"/>
      <c r="K27" s="1258" t="str">
        <f ca="1">"单位面积地价："&amp;M38&amp;"元/平方米"</f>
        <v>单位面积地价：35485元/平方米</v>
      </c>
      <c r="L27" s="1252"/>
      <c r="M27" s="1252"/>
      <c r="N27" s="1252"/>
      <c r="O27" s="1251"/>
      <c r="P27" s="2029"/>
      <c r="Q27" s="2029"/>
      <c r="R27" s="2029"/>
      <c r="S27" s="2029"/>
      <c r="T27" s="2029"/>
      <c r="U27" s="2029"/>
      <c r="V27" s="2029"/>
    </row>
    <row r="28" spans="1:26" ht="18.75" customHeight="1">
      <c r="A28" s="291"/>
      <c r="B28" s="292"/>
      <c r="C28" s="292"/>
      <c r="D28" s="293"/>
      <c r="E28" s="312"/>
      <c r="F28" s="312"/>
      <c r="G28" s="312"/>
      <c r="H28" s="312"/>
      <c r="I28" s="312"/>
      <c r="J28" s="2029"/>
      <c r="K28" s="1258" t="str">
        <f ca="1">"楼面地价："&amp;N38&amp;"元/平方米"</f>
        <v>楼面地价：11447元/平方米</v>
      </c>
      <c r="L28" s="1252"/>
      <c r="M28" s="1252"/>
      <c r="N28" s="1252"/>
      <c r="O28" s="1251"/>
      <c r="P28" s="2029"/>
      <c r="V28" s="2029"/>
    </row>
    <row r="29" spans="1:26" ht="18">
      <c r="A29" s="291"/>
      <c r="B29" s="292"/>
      <c r="C29" s="292"/>
      <c r="D29" s="293"/>
      <c r="E29" s="312"/>
      <c r="F29" s="312"/>
      <c r="G29" s="312"/>
      <c r="H29" s="312"/>
      <c r="I29" s="312"/>
      <c r="J29" s="2029"/>
      <c r="K29" s="1258" t="str">
        <f ca="1">IF(OR(项目基本情况!E8="抵押价格",项目基本情况!E8="已注销及未注销"),"抵押价格："&amp;O39&amp;"万元","——")</f>
        <v>抵押价格：95108万元</v>
      </c>
      <c r="L29" s="1252"/>
      <c r="M29" s="1252"/>
      <c r="N29" s="1252"/>
      <c r="O29" s="1251"/>
      <c r="P29" s="2029"/>
      <c r="V29" s="2029"/>
    </row>
    <row r="30" spans="1:26" ht="18.75" thickBot="1">
      <c r="A30" s="294" t="s">
        <v>336</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大写金额：人民币玖亿伍仟壹佰零捌万元整</v>
      </c>
      <c r="L30" s="1252"/>
      <c r="M30" s="1252"/>
      <c r="N30" s="1252"/>
      <c r="O30" s="1251"/>
      <c r="P30" s="2029"/>
      <c r="V30" s="2029"/>
    </row>
    <row r="31" spans="1:26" ht="24" customHeight="1" thickBot="1">
      <c r="A31" s="312"/>
      <c r="B31" s="312"/>
      <c r="C31" s="312"/>
      <c r="D31" s="312"/>
      <c r="E31" s="312"/>
      <c r="F31" s="312"/>
      <c r="G31" s="312"/>
      <c r="H31" s="312"/>
      <c r="I31" s="312"/>
      <c r="J31" s="2029"/>
      <c r="K31" s="2493" t="str">
        <f>IF(项目基本情况!E8="抵押价格","——","抵押担保权已注销时的抵押价格："&amp;O40&amp;"万元")</f>
        <v>——</v>
      </c>
      <c r="L31" s="2489"/>
      <c r="M31" s="2489"/>
      <c r="N31" s="2489"/>
      <c r="O31" s="2490"/>
      <c r="P31" s="2029"/>
      <c r="V31" s="2029"/>
    </row>
    <row r="32" spans="1:26" ht="18.75" thickBot="1">
      <c r="A32" s="266" t="s">
        <v>337</v>
      </c>
      <c r="B32" s="1381" t="s">
        <v>1690</v>
      </c>
      <c r="C32" s="1382">
        <f ca="1">G19-C24</f>
        <v>130108</v>
      </c>
      <c r="D32" s="1383" t="s">
        <v>1691</v>
      </c>
      <c r="E32" s="312"/>
      <c r="F32" s="312"/>
      <c r="G32" s="312"/>
      <c r="H32" s="312"/>
      <c r="I32" s="312"/>
      <c r="J32" s="2029"/>
      <c r="K32" s="2488" t="str">
        <f>IF(K31="——","——","大写金额：人民币"&amp;NUMBERSTRING(INT(O40*10000),2)&amp;"元整")</f>
        <v>——</v>
      </c>
      <c r="L32" s="2491"/>
      <c r="M32" s="2491"/>
      <c r="N32" s="2491"/>
      <c r="O32" s="2492"/>
      <c r="P32" s="2029"/>
      <c r="V32" s="2029"/>
    </row>
    <row r="33" spans="1:26" ht="18.75" thickBot="1">
      <c r="A33" s="299" t="s">
        <v>340</v>
      </c>
      <c r="B33" s="1384" t="s">
        <v>1692</v>
      </c>
      <c r="C33" s="262">
        <f ca="1">ROUND(C32*10000/'数据-汇总表'!E3,0)</f>
        <v>11447</v>
      </c>
      <c r="D33" s="1385" t="s">
        <v>1693</v>
      </c>
      <c r="E33" s="3305" t="s">
        <v>338</v>
      </c>
      <c r="F33" s="297" t="s">
        <v>339</v>
      </c>
      <c r="G33" s="298">
        <v>35000</v>
      </c>
      <c r="H33" s="980" t="s">
        <v>3098</v>
      </c>
      <c r="I33" s="1259"/>
      <c r="J33" s="2029"/>
      <c r="K33" s="1258" t="str">
        <f ca="1">IF(项目基本情况!E9="——","——","抵押净值："&amp;C46&amp;"万元")</f>
        <v>抵押净值：46634万元</v>
      </c>
      <c r="L33" s="1252"/>
      <c r="M33" s="1252"/>
      <c r="N33" s="1252"/>
      <c r="O33" s="1251"/>
      <c r="P33" s="2029"/>
      <c r="V33" s="2029"/>
    </row>
    <row r="34" spans="1:26" s="1254" customFormat="1" ht="18.75" thickBot="1">
      <c r="A34" s="301"/>
      <c r="B34" s="1386" t="s">
        <v>1694</v>
      </c>
      <c r="C34" s="262">
        <f ca="1">ROUND(C32*10000/'数据-汇总表'!D3,0)</f>
        <v>35485</v>
      </c>
      <c r="D34" s="1387" t="s">
        <v>1693</v>
      </c>
      <c r="E34" s="3346"/>
      <c r="F34" s="127" t="s">
        <v>341</v>
      </c>
      <c r="G34" s="300"/>
      <c r="H34" s="105"/>
      <c r="I34" s="312"/>
      <c r="J34" s="2029"/>
      <c r="K34" s="1261" t="str">
        <f ca="1">IF(K33="——","——","大写金额：人民币"&amp;NUMBERSTRING(INT(O41*10000),2)&amp;"元整")</f>
        <v>大写金额：人民币肆亿陆仟陆佰叁拾肆万元整</v>
      </c>
      <c r="L34" s="1262"/>
      <c r="M34" s="1262"/>
      <c r="N34" s="1262"/>
      <c r="O34" s="1263"/>
      <c r="P34" s="2029"/>
      <c r="Q34" s="290"/>
      <c r="R34" s="290"/>
      <c r="S34" s="290"/>
      <c r="T34" s="290"/>
      <c r="U34" s="290"/>
      <c r="V34" s="2029"/>
      <c r="W34" s="290"/>
      <c r="X34" s="290"/>
      <c r="Y34" s="290"/>
      <c r="Z34" s="290"/>
    </row>
    <row r="35" spans="1:26" ht="15.75" thickBot="1">
      <c r="A35" s="282"/>
      <c r="B35" s="1388"/>
      <c r="C35" s="1389">
        <f ca="1">ROUND(C32/('数据-汇总表'!D3/666.67),0)</f>
        <v>2366</v>
      </c>
      <c r="D35" s="1390" t="s">
        <v>1695</v>
      </c>
      <c r="E35" s="3347"/>
      <c r="F35" s="302" t="s">
        <v>342</v>
      </c>
      <c r="G35" s="982"/>
      <c r="H35" s="981" t="s">
        <v>343</v>
      </c>
      <c r="I35" s="312"/>
      <c r="J35" s="2029"/>
      <c r="K35" s="3320" t="s">
        <v>350</v>
      </c>
      <c r="L35" s="3320" t="s">
        <v>351</v>
      </c>
      <c r="M35" s="1264" t="s">
        <v>352</v>
      </c>
      <c r="N35" s="3320" t="s">
        <v>353</v>
      </c>
      <c r="O35" s="3320" t="s">
        <v>354</v>
      </c>
      <c r="P35" s="2029"/>
      <c r="V35" s="2029"/>
    </row>
    <row r="36" spans="1:26" ht="16.5" customHeight="1">
      <c r="A36" s="304" t="s">
        <v>344</v>
      </c>
      <c r="B36" s="305" t="s">
        <v>333</v>
      </c>
      <c r="C36" s="306" t="s">
        <v>345</v>
      </c>
      <c r="D36" s="306" t="s">
        <v>346</v>
      </c>
      <c r="E36" s="307" t="s">
        <v>347</v>
      </c>
      <c r="F36" s="312"/>
      <c r="G36" s="312"/>
      <c r="H36" s="312"/>
      <c r="I36" s="312"/>
      <c r="J36" s="2031"/>
      <c r="K36" s="3321"/>
      <c r="L36" s="3321"/>
      <c r="M36" s="1266" t="s">
        <v>355</v>
      </c>
      <c r="N36" s="3321"/>
      <c r="O36" s="3321"/>
      <c r="P36" s="2029"/>
      <c r="V36" s="2029"/>
    </row>
    <row r="37" spans="1:26" ht="16.5" customHeight="1" thickBot="1">
      <c r="A37" s="1260" t="s">
        <v>348</v>
      </c>
      <c r="B37" s="308"/>
      <c r="C37" s="292"/>
      <c r="D37" s="292"/>
      <c r="E37" s="293"/>
      <c r="F37" s="312"/>
      <c r="G37" s="312"/>
      <c r="H37" s="312"/>
      <c r="I37" s="312"/>
      <c r="J37" s="2031"/>
      <c r="K37" s="3322"/>
      <c r="L37" s="3322"/>
      <c r="M37" s="1267"/>
      <c r="N37" s="3322"/>
      <c r="O37" s="3322"/>
      <c r="P37" s="2029"/>
      <c r="V37" s="2029"/>
    </row>
    <row r="38" spans="1:26" ht="16.5" customHeight="1" thickBot="1">
      <c r="A38" s="1260" t="s">
        <v>349</v>
      </c>
      <c r="B38" s="308"/>
      <c r="C38" s="292"/>
      <c r="D38" s="292"/>
      <c r="E38" s="293"/>
      <c r="F38" s="312"/>
      <c r="G38" s="312"/>
      <c r="H38" s="312"/>
      <c r="I38" s="312"/>
      <c r="J38" s="2031"/>
      <c r="K38" s="1268">
        <f>'数据-汇总表'!D3</f>
        <v>36665.199999999997</v>
      </c>
      <c r="L38" s="1269">
        <f>'数据-汇总表'!E3</f>
        <v>113662.12</v>
      </c>
      <c r="M38" s="1269">
        <f ca="1">C34</f>
        <v>35485</v>
      </c>
      <c r="N38" s="1269">
        <f ca="1">C33</f>
        <v>11447</v>
      </c>
      <c r="O38" s="1270">
        <f ca="1">C32</f>
        <v>130108</v>
      </c>
      <c r="P38" s="2029"/>
      <c r="V38" s="2029"/>
    </row>
    <row r="39" spans="1:26" ht="16.5" customHeight="1" thickBot="1">
      <c r="A39" s="1265"/>
      <c r="B39" s="309"/>
      <c r="C39" s="310"/>
      <c r="D39" s="310"/>
      <c r="E39" s="311"/>
      <c r="F39" s="312"/>
      <c r="G39" s="312"/>
      <c r="H39" s="312"/>
      <c r="I39" s="312"/>
      <c r="J39" s="2031"/>
      <c r="K39" s="3365" t="str">
        <f>MID(A44,3,LEN(A44)-2)</f>
        <v>抵押价格</v>
      </c>
      <c r="L39" s="3366"/>
      <c r="M39" s="3366"/>
      <c r="N39" s="3367"/>
      <c r="O39" s="1392">
        <f ca="1">C44</f>
        <v>95108</v>
      </c>
      <c r="P39" s="2029"/>
      <c r="V39" s="2029"/>
    </row>
    <row r="40" spans="1:26" ht="19.5" thickBot="1">
      <c r="A40" s="104" t="s">
        <v>874</v>
      </c>
      <c r="B40" s="312"/>
      <c r="C40" s="312"/>
      <c r="D40" s="312"/>
      <c r="E40" s="312"/>
      <c r="F40" s="312"/>
      <c r="G40" s="312"/>
      <c r="H40" s="312"/>
      <c r="I40" s="312"/>
      <c r="J40" s="2031"/>
      <c r="K40" s="3365" t="str">
        <f t="shared" ref="K40:K41" si="0">MID(A45,3,LEN(A45)-2)</f>
        <v/>
      </c>
      <c r="L40" s="3366"/>
      <c r="M40" s="3366"/>
      <c r="N40" s="3367"/>
      <c r="O40" s="1392" t="str">
        <f>C45</f>
        <v>——</v>
      </c>
      <c r="P40" s="2029"/>
      <c r="V40" s="2029"/>
    </row>
    <row r="41" spans="1:26" ht="16.5" thickBot="1">
      <c r="A41" s="313" t="s">
        <v>356</v>
      </c>
      <c r="B41" s="314"/>
      <c r="C41" s="315" t="s">
        <v>357</v>
      </c>
      <c r="D41" s="316" t="s">
        <v>358</v>
      </c>
      <c r="E41" s="316" t="s">
        <v>359</v>
      </c>
      <c r="F41" s="317" t="s">
        <v>360</v>
      </c>
      <c r="G41" s="312"/>
      <c r="H41" s="312"/>
      <c r="I41" s="312"/>
      <c r="J41" s="2031"/>
      <c r="K41" s="3365" t="str">
        <f t="shared" si="0"/>
        <v>抵押净值</v>
      </c>
      <c r="L41" s="3366"/>
      <c r="M41" s="3366"/>
      <c r="N41" s="3367"/>
      <c r="O41" s="1392">
        <f ca="1">C46</f>
        <v>46634</v>
      </c>
      <c r="P41" s="2029"/>
      <c r="V41" s="2029"/>
    </row>
    <row r="42" spans="1:26" ht="29.25">
      <c r="A42" s="3307" t="s">
        <v>2071</v>
      </c>
      <c r="B42" s="3308"/>
      <c r="C42" s="262">
        <f ca="1">C32</f>
        <v>130108</v>
      </c>
      <c r="D42" s="318">
        <f ca="1">C33</f>
        <v>11447</v>
      </c>
      <c r="E42" s="318">
        <f ca="1">C34</f>
        <v>35485</v>
      </c>
      <c r="F42" s="319">
        <f ca="1">C35</f>
        <v>2366</v>
      </c>
      <c r="G42" s="312"/>
      <c r="H42" s="312"/>
      <c r="I42" s="320"/>
      <c r="J42" s="2031"/>
      <c r="K42" s="1271" t="s">
        <v>361</v>
      </c>
      <c r="L42" s="2048" t="s">
        <v>362</v>
      </c>
      <c r="M42" s="1272" t="s">
        <v>363</v>
      </c>
      <c r="N42" s="2049" t="s">
        <v>364</v>
      </c>
      <c r="O42" s="2050" t="s">
        <v>365</v>
      </c>
      <c r="P42" s="2029"/>
      <c r="V42" s="2029"/>
    </row>
    <row r="43" spans="1:26" ht="30">
      <c r="A43" s="3318" t="s">
        <v>2738</v>
      </c>
      <c r="B43" s="3319"/>
      <c r="C43" s="262">
        <f>IF(H33="正常操作",G33+G34+G35,G34+G35)</f>
        <v>35000</v>
      </c>
      <c r="D43" s="318" t="s">
        <v>43</v>
      </c>
      <c r="E43" s="318" t="s">
        <v>44</v>
      </c>
      <c r="F43" s="319" t="s">
        <v>44</v>
      </c>
      <c r="G43" s="2893" t="s">
        <v>953</v>
      </c>
      <c r="H43" s="312"/>
      <c r="I43" s="320"/>
      <c r="J43" s="2031"/>
      <c r="K43" s="1273" t="str">
        <f>C4</f>
        <v>比较法-住宅、综合</v>
      </c>
      <c r="L43" s="1274">
        <f ca="1">IF(L42="估价结果/万元",C19,C20)</f>
        <v>121266</v>
      </c>
      <c r="M43" s="1275">
        <f>C18</f>
        <v>0.5</v>
      </c>
      <c r="N43" s="1276">
        <f ca="1">IF(N42="测算结果/万元",G19,G20)</f>
        <v>130108</v>
      </c>
      <c r="O43" s="1277">
        <f ca="1">IF(O42="最终结果/万元",C32,C33)</f>
        <v>130108</v>
      </c>
      <c r="P43" s="2029"/>
      <c r="V43" s="2029"/>
    </row>
    <row r="44" spans="1:26" ht="30.75" thickBot="1">
      <c r="A44" s="3307" t="str">
        <f>IF(OR(项目基本情况!E8="抵押价格",项目基本情况!E8="已注销及未注销"),"3.抵押价格","——")</f>
        <v>3.抵押价格</v>
      </c>
      <c r="B44" s="3308"/>
      <c r="C44" s="262">
        <f ca="1">IF(A44="——","——",C42-C43)</f>
        <v>95108</v>
      </c>
      <c r="D44" s="318">
        <f ca="1">ROUND(C44*10000/'数据-汇总表'!E3,0)</f>
        <v>8368</v>
      </c>
      <c r="E44" s="318">
        <f ca="1">ROUND(C44*10000/'数据-汇总表'!D3,0)</f>
        <v>25940</v>
      </c>
      <c r="F44" s="319">
        <f ca="1">ROUND(C44/('数据-汇总表'!D3/666.67),0)</f>
        <v>1729</v>
      </c>
      <c r="G44" s="312"/>
      <c r="H44" s="312"/>
      <c r="I44" s="320"/>
      <c r="J44" s="2031"/>
      <c r="K44" s="1278" t="str">
        <f>D4</f>
        <v>剩余法-待开发</v>
      </c>
      <c r="L44" s="1279">
        <f ca="1">IF(L42="估价结果/万元",D19,D20)</f>
        <v>138950</v>
      </c>
      <c r="M44" s="1280">
        <f>D18</f>
        <v>0.5</v>
      </c>
      <c r="N44" s="1281"/>
      <c r="O44" s="1282"/>
      <c r="P44" s="2029"/>
      <c r="V44" s="2029"/>
    </row>
    <row r="45" spans="1:26" ht="15">
      <c r="A45" s="3313" t="str">
        <f>IF(项目基本情况!E8="已注销及未注销","4.抵押担保权已注销时的抵押价格",IF(项目基本情况!E8="已注销","3.抵押担保权已注销时的抵押价格","——"))</f>
        <v>——</v>
      </c>
      <c r="B45" s="3314"/>
      <c r="C45" s="1804"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309" t="str">
        <f>IF(项目基本情况!E9="抵押净值",IF(A45="——","4.抵押净值","5.抵押净值"),"——")</f>
        <v>4.抵押净值</v>
      </c>
      <c r="B46" s="3310"/>
      <c r="C46" s="321">
        <f ca="1">IF(A46="——","——",O79)</f>
        <v>46634</v>
      </c>
      <c r="D46" s="318">
        <f ca="1">ROUND(C46*10000/'数据-汇总表'!E3,0)</f>
        <v>4103</v>
      </c>
      <c r="E46" s="318">
        <f ca="1">ROUND(C46*10000/'数据-汇总表'!D3,0)</f>
        <v>12719</v>
      </c>
      <c r="F46" s="319">
        <f ca="1">ROUND(C46/('数据-汇总表'!D3/666.67),0)</f>
        <v>848</v>
      </c>
      <c r="G46" s="312"/>
      <c r="H46" s="312"/>
      <c r="I46" s="320"/>
      <c r="J46" s="2031"/>
      <c r="K46" s="2029"/>
      <c r="L46" s="2029"/>
      <c r="M46" s="2029"/>
      <c r="N46" s="2029"/>
      <c r="O46" s="2029"/>
      <c r="P46" s="2029"/>
      <c r="Q46" s="2029"/>
      <c r="R46" s="2029"/>
      <c r="S46" s="2029"/>
      <c r="T46" s="2029"/>
      <c r="U46" s="2029"/>
      <c r="V46" s="2029"/>
    </row>
    <row r="47" spans="1:26" ht="15.75">
      <c r="A47" s="322" t="s">
        <v>366</v>
      </c>
      <c r="B47" s="1283"/>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本次评估估价师知悉的法定优先受偿款为人民币35000万元整。</v>
      </c>
      <c r="L47" s="2029"/>
      <c r="M47" s="2029"/>
      <c r="N47" s="2029"/>
      <c r="O47" s="2029"/>
      <c r="P47" s="2029"/>
      <c r="Q47" s="2029"/>
      <c r="R47" s="2029"/>
      <c r="S47" s="2029"/>
      <c r="T47" s="2029"/>
      <c r="U47" s="2029"/>
      <c r="V47" s="2029"/>
    </row>
    <row r="48" spans="1:26" ht="12.75">
      <c r="A48" s="328">
        <v>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368</v>
      </c>
      <c r="G53" s="338"/>
      <c r="H53" s="338"/>
      <c r="I53" s="339" t="s">
        <v>369</v>
      </c>
      <c r="J53" s="2032"/>
      <c r="K53" s="2029"/>
      <c r="L53" s="2029"/>
      <c r="M53" s="2029"/>
      <c r="N53" s="2029"/>
      <c r="O53" s="2029"/>
      <c r="P53" s="2029"/>
      <c r="Q53" s="2029"/>
      <c r="R53" s="2029"/>
      <c r="S53" s="2029"/>
      <c r="T53" s="2029"/>
      <c r="U53" s="2029"/>
      <c r="V53" s="2029"/>
    </row>
    <row r="54" spans="1:22" ht="12.75">
      <c r="A54" s="255"/>
      <c r="B54" s="340"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371</v>
      </c>
      <c r="J56" s="2032"/>
      <c r="K56" s="2029"/>
      <c r="L56" s="2029"/>
      <c r="M56" s="2029"/>
      <c r="N56" s="2029"/>
      <c r="O56" s="2029"/>
      <c r="P56" s="2029"/>
      <c r="Q56" s="2029"/>
      <c r="R56" s="2029"/>
      <c r="S56" s="2029"/>
      <c r="T56" s="2029"/>
      <c r="U56" s="2029"/>
      <c r="V56" s="2029"/>
    </row>
    <row r="57" spans="1:22" ht="12.75">
      <c r="A57" s="255"/>
      <c r="B57" s="340"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4"/>
      <c r="E61" s="214"/>
      <c r="F61" s="251"/>
      <c r="G61" s="255"/>
      <c r="H61" s="255"/>
      <c r="I61" s="255"/>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4" t="s">
        <v>374</v>
      </c>
      <c r="B63" s="3355"/>
      <c r="C63" s="3356"/>
      <c r="D63" s="342">
        <f ca="1">ROUND(C42*F63,0)</f>
        <v>78065</v>
      </c>
      <c r="E63" s="303" t="s">
        <v>375</v>
      </c>
      <c r="F63" s="343">
        <v>0.6</v>
      </c>
      <c r="G63" s="344" t="s">
        <v>376</v>
      </c>
      <c r="H63" s="312"/>
      <c r="I63" s="312"/>
      <c r="J63" s="2029"/>
      <c r="K63" s="2029"/>
      <c r="L63" s="2029"/>
      <c r="M63" s="2029"/>
      <c r="N63" s="2029"/>
      <c r="O63" s="2029"/>
      <c r="P63" s="312"/>
      <c r="Q63" s="2029"/>
      <c r="R63" s="2029"/>
      <c r="S63" s="2029"/>
      <c r="T63" s="2029"/>
      <c r="U63" s="2029"/>
      <c r="V63" s="2029"/>
    </row>
    <row r="64" spans="1:22" ht="14.25" customHeight="1">
      <c r="A64" s="3315" t="s">
        <v>378</v>
      </c>
      <c r="B64" s="3316"/>
      <c r="C64" s="3316"/>
      <c r="D64" s="3316"/>
      <c r="E64" s="3316"/>
      <c r="F64" s="3316"/>
      <c r="G64" s="3317"/>
      <c r="H64" s="1288"/>
      <c r="I64" s="948"/>
      <c r="J64" s="1991"/>
      <c r="K64" s="1561" t="s">
        <v>377</v>
      </c>
      <c r="L64" s="11"/>
      <c r="M64" s="11"/>
      <c r="N64" s="11"/>
      <c r="O64" s="11"/>
      <c r="P64" s="312"/>
      <c r="Q64" s="2029"/>
      <c r="R64" s="2029"/>
      <c r="S64" s="2029"/>
      <c r="T64" s="2029"/>
      <c r="U64" s="2029"/>
      <c r="V64" s="2029"/>
    </row>
    <row r="65" spans="1:22" ht="12" customHeight="1">
      <c r="A65" s="345" t="s">
        <v>380</v>
      </c>
      <c r="B65" s="346"/>
      <c r="C65" s="347"/>
      <c r="D65" s="348" t="s">
        <v>381</v>
      </c>
      <c r="E65" s="53" t="s">
        <v>382</v>
      </c>
      <c r="F65" s="349" t="s">
        <v>383</v>
      </c>
      <c r="G65" s="350" t="s">
        <v>384</v>
      </c>
      <c r="H65" s="1288"/>
      <c r="I65" s="948"/>
      <c r="J65" s="1991"/>
      <c r="K65" s="1289"/>
      <c r="L65" s="1290"/>
      <c r="M65" s="1290"/>
      <c r="N65" s="1322" t="s">
        <v>379</v>
      </c>
      <c r="O65" s="1323"/>
      <c r="P65" s="1324"/>
      <c r="Q65" s="2029"/>
      <c r="R65" s="2029"/>
      <c r="S65" s="2029"/>
      <c r="T65" s="2029"/>
      <c r="U65" s="2029"/>
      <c r="V65" s="2029"/>
    </row>
    <row r="66" spans="1:22" ht="25.5">
      <c r="A66" s="3311" t="s">
        <v>386</v>
      </c>
      <c r="B66" s="3312"/>
      <c r="C66" s="3312"/>
      <c r="D66" s="259">
        <f ca="1">IF(H66="情况1",0,IF(H66="情况2",D70,IF(H66="情况3",D71,IF(H66="情况4",D72))))</f>
        <v>4163</v>
      </c>
      <c r="E66" s="993" t="str">
        <f>IF(H66="情况4","(销售额-原购置价)×税（费）率","销售额×税（费）率")</f>
        <v>销售额×税（费）率</v>
      </c>
      <c r="F66" s="351">
        <f>IF(H66="情况1","免征",'数据-取费表'!B41)</f>
        <v>5.6000000000000001E-2</v>
      </c>
      <c r="G66" s="352" t="s">
        <v>387</v>
      </c>
      <c r="H66" s="190" t="s">
        <v>388</v>
      </c>
      <c r="I66" s="1288"/>
      <c r="J66" s="2035"/>
      <c r="K66" s="1291">
        <v>1</v>
      </c>
      <c r="L66" s="3369" t="s">
        <v>385</v>
      </c>
      <c r="M66" s="3370"/>
      <c r="N66" s="2483"/>
      <c r="O66" s="2484"/>
      <c r="P66" s="2485"/>
      <c r="Q66" s="2029"/>
      <c r="R66" s="2029"/>
      <c r="S66" s="2029"/>
      <c r="T66" s="2029"/>
      <c r="U66" s="2029"/>
      <c r="V66" s="2029"/>
    </row>
    <row r="67" spans="1:22" ht="25.5" customHeight="1">
      <c r="A67" s="353" t="s">
        <v>390</v>
      </c>
      <c r="B67" s="3302" t="s">
        <v>391</v>
      </c>
      <c r="C67" s="3302"/>
      <c r="D67" s="354">
        <v>0</v>
      </c>
      <c r="E67" s="41" t="s">
        <v>392</v>
      </c>
      <c r="F67" s="62" t="s">
        <v>21</v>
      </c>
      <c r="G67" s="3357"/>
      <c r="H67" s="312"/>
      <c r="I67" s="1292"/>
      <c r="J67" s="2036"/>
      <c r="K67" s="1977">
        <v>2</v>
      </c>
      <c r="L67" s="3368" t="s">
        <v>389</v>
      </c>
      <c r="M67" s="3368"/>
      <c r="N67" s="1325">
        <f>'数据-取费表'!B2</f>
        <v>43138</v>
      </c>
      <c r="O67" s="1325"/>
      <c r="P67" s="1325"/>
      <c r="Q67" s="2029"/>
      <c r="R67" s="2029"/>
      <c r="S67" s="2029"/>
      <c r="T67" s="2029"/>
      <c r="U67" s="2029"/>
      <c r="V67" s="2029"/>
    </row>
    <row r="68" spans="1:22" ht="25.5" customHeight="1">
      <c r="A68" s="355"/>
      <c r="B68" s="3302" t="s">
        <v>394</v>
      </c>
      <c r="C68" s="3302"/>
      <c r="D68" s="356"/>
      <c r="E68" s="77"/>
      <c r="F68" s="357"/>
      <c r="G68" s="3358"/>
      <c r="H68" s="312"/>
      <c r="I68" s="1292"/>
      <c r="J68" s="2036"/>
      <c r="K68" s="1977">
        <v>3</v>
      </c>
      <c r="L68" s="3368" t="s">
        <v>393</v>
      </c>
      <c r="M68" s="3368"/>
      <c r="N68" s="1293">
        <f ca="1">C42</f>
        <v>130108</v>
      </c>
      <c r="O68" s="1293"/>
      <c r="P68" s="1293"/>
      <c r="Q68" s="2029"/>
      <c r="R68" s="2029"/>
      <c r="S68" s="2029"/>
      <c r="T68" s="2029"/>
      <c r="U68" s="2029"/>
      <c r="V68" s="2029"/>
    </row>
    <row r="69" spans="1:22" ht="12" customHeight="1">
      <c r="A69" s="358"/>
      <c r="B69" s="3302" t="s">
        <v>395</v>
      </c>
      <c r="C69" s="3302"/>
      <c r="D69" s="359"/>
      <c r="E69" s="73"/>
      <c r="F69" s="357"/>
      <c r="G69" s="3359"/>
      <c r="H69" s="312"/>
      <c r="I69" s="1292"/>
      <c r="J69" s="2036"/>
      <c r="K69" s="1294">
        <v>4</v>
      </c>
      <c r="L69" s="3373" t="s">
        <v>2891</v>
      </c>
      <c r="M69" s="3374"/>
      <c r="N69" s="1295">
        <f ca="1">C44</f>
        <v>95108</v>
      </c>
      <c r="O69" s="1295"/>
      <c r="P69" s="1295"/>
      <c r="Q69" s="2029"/>
      <c r="R69" s="2029"/>
      <c r="S69" s="2029"/>
      <c r="T69" s="2029"/>
      <c r="U69" s="2029"/>
      <c r="V69" s="2029"/>
    </row>
    <row r="70" spans="1:22" ht="24" customHeight="1">
      <c r="A70" s="360" t="s">
        <v>396</v>
      </c>
      <c r="B70" s="3302" t="s">
        <v>397</v>
      </c>
      <c r="C70" s="3302"/>
      <c r="D70" s="359">
        <f ca="1">ROUND(D63*'数据-取费表'!B41/(1+'数据-取费表'!C42),0)</f>
        <v>4163</v>
      </c>
      <c r="E70" s="17" t="s">
        <v>398</v>
      </c>
      <c r="F70" s="361">
        <f>'数据-取费表'!B41</f>
        <v>5.6000000000000001E-2</v>
      </c>
      <c r="G70" s="362"/>
      <c r="H70" s="312"/>
      <c r="I70" s="1292"/>
      <c r="J70" s="2036"/>
      <c r="K70" s="3088"/>
      <c r="L70" s="3089"/>
      <c r="M70" s="3089"/>
      <c r="N70" s="3090" t="s">
        <v>2896</v>
      </c>
      <c r="O70" s="3089"/>
      <c r="P70" s="3091"/>
      <c r="Q70" s="2029"/>
      <c r="R70" s="2029"/>
      <c r="S70" s="2029"/>
      <c r="T70" s="2029"/>
      <c r="U70" s="2029"/>
      <c r="V70" s="2029"/>
    </row>
    <row r="71" spans="1:22" ht="12" customHeight="1">
      <c r="A71" s="360" t="s">
        <v>404</v>
      </c>
      <c r="B71" s="3303" t="s">
        <v>405</v>
      </c>
      <c r="C71" s="3304"/>
      <c r="D71" s="359">
        <f ca="1">ROUND(D63*'数据-取费表'!B41/(1+'数据-取费表'!C42),0)</f>
        <v>4163</v>
      </c>
      <c r="E71" s="17" t="s">
        <v>398</v>
      </c>
      <c r="F71" s="361">
        <f>'数据-取费表'!B41</f>
        <v>5.6000000000000001E-2</v>
      </c>
      <c r="G71" s="362"/>
      <c r="H71" s="312"/>
      <c r="I71" s="1292"/>
      <c r="J71" s="2036"/>
      <c r="K71" s="3087" t="s">
        <v>399</v>
      </c>
      <c r="L71" s="3375" t="s">
        <v>400</v>
      </c>
      <c r="M71" s="3375"/>
      <c r="N71" s="3087" t="s">
        <v>401</v>
      </c>
      <c r="O71" s="3087" t="s">
        <v>402</v>
      </c>
      <c r="P71" s="3087" t="s">
        <v>403</v>
      </c>
      <c r="Q71" s="2029"/>
      <c r="R71" s="2029"/>
      <c r="S71" s="2029"/>
      <c r="T71" s="2029"/>
      <c r="U71" s="2029"/>
      <c r="V71" s="2029"/>
    </row>
    <row r="72" spans="1:22" ht="12" customHeight="1">
      <c r="A72" s="360" t="s">
        <v>407</v>
      </c>
      <c r="B72" s="3303" t="s">
        <v>408</v>
      </c>
      <c r="C72" s="3304"/>
      <c r="D72" s="359">
        <f ca="1">C86</f>
        <v>4051</v>
      </c>
      <c r="E72" s="73" t="s">
        <v>409</v>
      </c>
      <c r="F72" s="361">
        <f>'数据-取费表'!B41</f>
        <v>5.6000000000000001E-2</v>
      </c>
      <c r="G72" s="362"/>
      <c r="H72" s="1298"/>
      <c r="I72" s="1292"/>
      <c r="J72" s="2036"/>
      <c r="K72" s="1977">
        <v>1</v>
      </c>
      <c r="L72" s="3350" t="s">
        <v>406</v>
      </c>
      <c r="M72" s="3350"/>
      <c r="N72" s="1296">
        <f ca="1">D66</f>
        <v>4163</v>
      </c>
      <c r="O72" s="1860" t="str">
        <f>E66</f>
        <v>销售额×税（费）率</v>
      </c>
      <c r="P72" s="1297">
        <f>F66</f>
        <v>5.6000000000000001E-2</v>
      </c>
      <c r="Q72" s="2029"/>
      <c r="R72" s="2029"/>
      <c r="S72" s="2029"/>
      <c r="T72" s="2029"/>
      <c r="U72" s="2029"/>
      <c r="V72" s="2029"/>
    </row>
    <row r="73" spans="1:22" ht="24" customHeight="1">
      <c r="A73" s="3344" t="s">
        <v>411</v>
      </c>
      <c r="B73" s="3312"/>
      <c r="C73" s="3312"/>
      <c r="D73" s="363">
        <f>IF(H73="个人住宅",0,ROUND(D63*I73,0))</f>
        <v>0</v>
      </c>
      <c r="E73" s="17" t="s">
        <v>412</v>
      </c>
      <c r="F73" s="361" t="str">
        <f>IF(H73="正常",I73,"免征")</f>
        <v>免征</v>
      </c>
      <c r="G73" s="362"/>
      <c r="H73" s="190" t="s">
        <v>2461</v>
      </c>
      <c r="I73" s="361">
        <f>'数据-取费表'!B49</f>
        <v>5.0000000000000001E-4</v>
      </c>
      <c r="J73" s="2036"/>
      <c r="K73" s="1977">
        <v>2</v>
      </c>
      <c r="L73" s="3350" t="s">
        <v>410</v>
      </c>
      <c r="M73" s="3350"/>
      <c r="N73" s="1296">
        <f t="shared" ref="N73:P74" si="1">D73</f>
        <v>0</v>
      </c>
      <c r="O73" s="1860" t="str">
        <f t="shared" si="1"/>
        <v>销售额×税（费）率</v>
      </c>
      <c r="P73" s="1297" t="str">
        <f t="shared" si="1"/>
        <v>免征</v>
      </c>
      <c r="Q73" s="2029"/>
      <c r="R73" s="2029"/>
      <c r="S73" s="2029"/>
      <c r="T73" s="2029"/>
      <c r="U73" s="2029"/>
      <c r="V73" s="2029"/>
    </row>
    <row r="74" spans="1:22" ht="24.75">
      <c r="A74" s="3344" t="s">
        <v>415</v>
      </c>
      <c r="B74" s="3312"/>
      <c r="C74" s="3312"/>
      <c r="D74" s="363">
        <f ca="1">IF(H74="个人住宅",D75,D76)</f>
        <v>43530</v>
      </c>
      <c r="E74" s="17" t="s">
        <v>416</v>
      </c>
      <c r="F74" s="361" t="str">
        <f>IF(H74="正常",F76,"免征")</f>
        <v>——</v>
      </c>
      <c r="G74" s="983" t="s">
        <v>417</v>
      </c>
      <c r="H74" s="364" t="s">
        <v>413</v>
      </c>
      <c r="I74" s="42"/>
      <c r="J74" s="2036"/>
      <c r="K74" s="1977">
        <v>3</v>
      </c>
      <c r="L74" s="3350" t="s">
        <v>414</v>
      </c>
      <c r="M74" s="3350"/>
      <c r="N74" s="1296">
        <f t="shared" ca="1" si="1"/>
        <v>43530</v>
      </c>
      <c r="O74" s="1860" t="str">
        <f t="shared" si="1"/>
        <v>增值额×税（费）率</v>
      </c>
      <c r="P74" s="1299" t="str">
        <f t="shared" si="1"/>
        <v>——</v>
      </c>
      <c r="Q74" s="2029"/>
      <c r="R74" s="2029"/>
      <c r="S74" s="2029"/>
      <c r="T74" s="2029"/>
      <c r="U74" s="2029"/>
      <c r="V74" s="2029"/>
    </row>
    <row r="75" spans="1:22" ht="24">
      <c r="A75" s="360" t="s">
        <v>418</v>
      </c>
      <c r="B75" s="3300" t="s">
        <v>419</v>
      </c>
      <c r="C75" s="3330"/>
      <c r="D75" s="365">
        <v>0</v>
      </c>
      <c r="E75" s="41" t="s">
        <v>420</v>
      </c>
      <c r="F75" s="366"/>
      <c r="G75" s="362"/>
      <c r="H75" s="42"/>
      <c r="I75" s="42"/>
      <c r="J75" s="2036"/>
      <c r="K75" s="3080">
        <f>IF(H77="非个人房产","",4)</f>
        <v>4</v>
      </c>
      <c r="L75" s="3350" t="str">
        <f>IF(H77="非个人房产","——","个人所得税")</f>
        <v>个人所得税</v>
      </c>
      <c r="M75" s="3350"/>
      <c r="N75" s="1300">
        <f ca="1">D77</f>
        <v>781</v>
      </c>
      <c r="O75" s="1873" t="str">
        <f>E77</f>
        <v>销售额×税（费）率</v>
      </c>
      <c r="P75" s="1301">
        <f>F77</f>
        <v>0.01</v>
      </c>
      <c r="Q75" s="2029"/>
      <c r="R75" s="2029"/>
      <c r="S75" s="2029"/>
      <c r="T75" s="2029"/>
      <c r="U75" s="2029"/>
      <c r="V75" s="2029"/>
    </row>
    <row r="76" spans="1:22" ht="24.75">
      <c r="A76" s="360" t="s">
        <v>396</v>
      </c>
      <c r="B76" s="3300" t="s">
        <v>422</v>
      </c>
      <c r="C76" s="3301"/>
      <c r="D76" s="363">
        <f ca="1">IF(H76="转让取得",C99,C115)</f>
        <v>43530</v>
      </c>
      <c r="E76" s="17" t="s">
        <v>423</v>
      </c>
      <c r="F76" s="53" t="s">
        <v>21</v>
      </c>
      <c r="G76" s="362"/>
      <c r="H76" s="364" t="s">
        <v>424</v>
      </c>
      <c r="I76" s="42"/>
      <c r="J76" s="2036"/>
      <c r="K76" s="3080" t="str">
        <f>IF(项目基本情况!K6="上海银行",IF(K75="",4,K75+1),"")</f>
        <v/>
      </c>
      <c r="L76" s="3361" t="str">
        <f>IF(项目基本情况!K6="上海银行","其他处置费用","")</f>
        <v/>
      </c>
      <c r="M76" s="3362"/>
      <c r="N76" s="1296" t="str">
        <f>IF(项目基本情况!K6="上海银行",N89,"")</f>
        <v/>
      </c>
      <c r="O76" s="3363" t="str">
        <f>IF(项目基本情况!K6="上海银行","包含处置中涉及的律师、诉讼、拍卖、评估等费用","")</f>
        <v/>
      </c>
      <c r="P76" s="3364"/>
      <c r="Q76" s="2029"/>
      <c r="R76" s="2029"/>
      <c r="S76" s="2029"/>
      <c r="T76" s="2029"/>
      <c r="U76" s="2029"/>
      <c r="V76" s="2029"/>
    </row>
    <row r="77" spans="1:22" ht="26.25" thickBot="1">
      <c r="A77" s="3352" t="s">
        <v>426</v>
      </c>
      <c r="B77" s="3353"/>
      <c r="C77" s="3353"/>
      <c r="D77" s="367">
        <f ca="1">IF(H77="非个人房产","——",IF(H77="个人住宅",0,ROUND(D63*I77,0)))</f>
        <v>781</v>
      </c>
      <c r="E77" s="368" t="str">
        <f>IF(H77="非个人房产","——","销售额×税（费）率")</f>
        <v>销售额×税（费）率</v>
      </c>
      <c r="F77" s="369">
        <f>IF(H77="非个人房产","——",IF(H77="个人住宅","免征",I77))</f>
        <v>0.01</v>
      </c>
      <c r="G77" s="984" t="s">
        <v>417</v>
      </c>
      <c r="H77" s="364" t="s">
        <v>2892</v>
      </c>
      <c r="I77" s="370">
        <v>0.01</v>
      </c>
      <c r="J77" s="2036"/>
      <c r="K77" s="3351">
        <f>IF(AND(K75="",K76=""),4,IF(项目基本情况!K6="上海银行",K76+1,K75+1))</f>
        <v>5</v>
      </c>
      <c r="L77" s="3350" t="s">
        <v>2893</v>
      </c>
      <c r="M77" s="3086" t="s">
        <v>421</v>
      </c>
      <c r="N77" s="1302"/>
      <c r="O77" s="1303">
        <f ca="1">SUMIF(N72:N76,"&lt;9e307")</f>
        <v>48474</v>
      </c>
      <c r="P77" s="1304"/>
      <c r="Q77" s="3084">
        <f ca="1">O77/N69</f>
        <v>0.50967321360979101</v>
      </c>
      <c r="R77" s="2029"/>
      <c r="S77" s="2029"/>
      <c r="T77" s="2029"/>
      <c r="U77" s="2029"/>
      <c r="V77" s="2029"/>
    </row>
    <row r="78" spans="1:22" ht="12" customHeight="1">
      <c r="A78" s="1305"/>
      <c r="B78" s="312"/>
      <c r="C78" s="312"/>
      <c r="D78" s="312"/>
      <c r="E78" s="42"/>
      <c r="F78" s="42"/>
      <c r="G78" s="42"/>
      <c r="H78" s="1003"/>
      <c r="I78" s="312"/>
      <c r="J78" s="2036"/>
      <c r="K78" s="3351"/>
      <c r="L78" s="3350"/>
      <c r="M78" s="3086" t="s">
        <v>425</v>
      </c>
      <c r="N78" s="1302"/>
      <c r="O78" s="1303" t="str">
        <f ca="1">NUMBERSTRING(INT(O77*10000),2)&amp;"元整"</f>
        <v>肆亿捌仟肆佰柒拾肆万元整</v>
      </c>
      <c r="P78" s="1304"/>
      <c r="Q78" s="2029"/>
      <c r="R78" s="2029"/>
      <c r="S78" s="2029"/>
      <c r="T78" s="2029"/>
      <c r="U78" s="2029"/>
      <c r="V78" s="2029"/>
    </row>
    <row r="79" spans="1:22" ht="13.5" thickBot="1">
      <c r="A79" s="3345" t="s">
        <v>427</v>
      </c>
      <c r="B79" s="3345"/>
      <c r="C79" s="3345"/>
      <c r="D79" s="3345"/>
      <c r="E79" s="3345"/>
      <c r="F79" s="42"/>
      <c r="G79" s="42"/>
      <c r="H79" s="1003"/>
      <c r="I79" s="312"/>
      <c r="J79" s="2036"/>
      <c r="K79" s="3371">
        <f>K77+1</f>
        <v>6</v>
      </c>
      <c r="L79" s="3350" t="s">
        <v>2894</v>
      </c>
      <c r="M79" s="3086" t="s">
        <v>421</v>
      </c>
      <c r="N79" s="1302"/>
      <c r="O79" s="1303">
        <f ca="1">N69-O77</f>
        <v>46634</v>
      </c>
      <c r="P79" s="1304"/>
      <c r="Q79" s="2029"/>
      <c r="R79" s="2029"/>
      <c r="S79" s="2029"/>
      <c r="T79" s="2029"/>
      <c r="U79" s="2029"/>
      <c r="V79" s="2029"/>
    </row>
    <row r="80" spans="1:22" ht="25.5">
      <c r="A80" s="3340" t="s">
        <v>428</v>
      </c>
      <c r="B80" s="3341"/>
      <c r="C80" s="994"/>
      <c r="D80" s="994" t="s">
        <v>429</v>
      </c>
      <c r="E80" s="371" t="s">
        <v>430</v>
      </c>
      <c r="F80" s="42"/>
      <c r="G80" s="42"/>
      <c r="H80" s="1003"/>
      <c r="I80" s="312"/>
      <c r="J80" s="2029"/>
      <c r="K80" s="3372"/>
      <c r="L80" s="3350"/>
      <c r="M80" s="3086" t="s">
        <v>425</v>
      </c>
      <c r="N80" s="1302"/>
      <c r="O80" s="1303" t="str">
        <f ca="1">NUMBERSTRING(INT(O79*10000),2)&amp;"元整"</f>
        <v>肆亿陆仟陆佰叁拾肆万元整</v>
      </c>
      <c r="P80" s="1304"/>
      <c r="Q80" s="2029"/>
      <c r="R80" s="2029"/>
      <c r="S80" s="2029"/>
      <c r="T80" s="2029"/>
      <c r="U80" s="2029"/>
      <c r="V80" s="2029"/>
    </row>
    <row r="81" spans="1:26" ht="13.5" thickBot="1">
      <c r="A81" s="382" t="s">
        <v>1825</v>
      </c>
      <c r="B81" s="372" t="s">
        <v>431</v>
      </c>
      <c r="C81" s="373">
        <f ca="1">ROUND((C82+C83)/(1+'数据-取费表'!C42),0)</f>
        <v>74348</v>
      </c>
      <c r="D81" s="374"/>
      <c r="E81" s="375"/>
      <c r="F81" s="42"/>
      <c r="G81" s="42"/>
      <c r="H81" s="1003"/>
      <c r="I81" s="312"/>
      <c r="J81" s="2029"/>
      <c r="K81" s="3080">
        <f>K79+1</f>
        <v>7</v>
      </c>
      <c r="L81" s="3348" t="s">
        <v>2895</v>
      </c>
      <c r="M81" s="3349"/>
      <c r="N81" s="1306"/>
      <c r="O81" s="1307">
        <f ca="1">ROUND(O79*10000/'数据-汇总表'!E3,0)</f>
        <v>4103</v>
      </c>
      <c r="P81" s="1308"/>
      <c r="Q81" s="2029"/>
      <c r="R81" s="2029"/>
      <c r="S81" s="2029"/>
      <c r="T81" s="2029"/>
      <c r="U81" s="2029"/>
      <c r="V81" s="2029"/>
    </row>
    <row r="82" spans="1:26" ht="13.5" thickTop="1">
      <c r="A82" s="376" t="s">
        <v>1826</v>
      </c>
      <c r="B82" s="377" t="s">
        <v>432</v>
      </c>
      <c r="C82" s="378">
        <f ca="1">D63</f>
        <v>78065</v>
      </c>
      <c r="D82" s="379" t="s">
        <v>19</v>
      </c>
      <c r="E82" s="380"/>
      <c r="F82" s="42"/>
      <c r="G82" s="42"/>
      <c r="H82" s="1003"/>
      <c r="I82" s="312"/>
      <c r="J82" s="2029"/>
      <c r="K82" s="2029"/>
      <c r="L82" s="2029"/>
      <c r="M82" s="2029"/>
      <c r="N82" s="2029"/>
      <c r="O82" s="2029"/>
      <c r="P82" s="2029"/>
      <c r="Q82" s="2029"/>
      <c r="R82" s="2029"/>
      <c r="S82" s="2029"/>
      <c r="T82" s="2029"/>
      <c r="U82" s="2029"/>
      <c r="V82" s="2029"/>
    </row>
    <row r="83" spans="1:26" ht="12.75">
      <c r="A83" s="376" t="s">
        <v>1827</v>
      </c>
      <c r="B83" s="377" t="s">
        <v>433</v>
      </c>
      <c r="C83" s="381">
        <v>0</v>
      </c>
      <c r="D83" s="379"/>
      <c r="E83" s="380"/>
      <c r="F83" s="42"/>
      <c r="G83" s="42"/>
      <c r="H83" s="1003"/>
      <c r="I83" s="312"/>
      <c r="J83" s="2029"/>
      <c r="K83" s="3360" t="s">
        <v>2882</v>
      </c>
      <c r="L83" s="3092" t="s">
        <v>2883</v>
      </c>
      <c r="M83" s="3082">
        <f ca="1">IF(N69&gt;10000,N69*0.5%,IF(AND(N69&gt;1000,N69&lt;=10000),N69*1%,IF(AND(N69&gt;100,N69&lt;=1000),N69*3%,IF(AND(N69&gt;10,N69&lt;=100),N69*5%,N69*8%))))</f>
        <v>475.54</v>
      </c>
      <c r="N83" s="53">
        <f ca="1">ROUND(M83,1)</f>
        <v>475.5</v>
      </c>
      <c r="O83" s="3085"/>
      <c r="P83" s="2029"/>
      <c r="Q83" s="2029"/>
      <c r="R83" s="2029"/>
      <c r="S83" s="2029"/>
      <c r="T83" s="2029"/>
      <c r="U83" s="2029"/>
      <c r="V83" s="2029"/>
    </row>
    <row r="84" spans="1:26" ht="12.75">
      <c r="A84" s="382" t="s">
        <v>1828</v>
      </c>
      <c r="B84" s="383" t="s">
        <v>434</v>
      </c>
      <c r="C84" s="384">
        <v>2000</v>
      </c>
      <c r="D84" s="385" t="s">
        <v>19</v>
      </c>
      <c r="E84" s="3127" t="s">
        <v>2950</v>
      </c>
      <c r="F84" s="42"/>
      <c r="G84" s="42"/>
      <c r="H84" s="1003"/>
      <c r="I84" s="312"/>
      <c r="J84" s="2029"/>
      <c r="K84" s="3360"/>
      <c r="L84" s="3092" t="s">
        <v>2884</v>
      </c>
      <c r="M84" s="3082">
        <f ca="1">IF(N69&gt;2000,N69*0.5%,IF(AND(N69&gt;1000,N69&lt;=2000),N69*0.6%,IF(AND(N69&gt;500,N69&lt;=1000),N69*0.7%,IF(AND(N69&gt;200,N69&lt;=500),N69*0.8%,IF(AND(N69&gt;100,N69&lt;=200),N69*0.9%,IF(AND(N69&gt;50,N69&lt;=100),N69*1%,IF(AND(N69&gt;20,N69&lt;=50),N69*1.5%,IF(AND(N69&gt;10,N69&lt;=20),N69*2%,IF(AND(N69&gt;1,N69&lt;=10),N69*2.5%)))))))))</f>
        <v>475.54</v>
      </c>
      <c r="N84" s="53">
        <f t="shared" ref="N84:N85" ca="1" si="2">ROUND(M84,1)</f>
        <v>475.5</v>
      </c>
      <c r="O84" s="2029" t="s">
        <v>2885</v>
      </c>
      <c r="P84" s="2029"/>
      <c r="Q84" s="2029"/>
      <c r="R84" s="2029"/>
      <c r="S84" s="2029"/>
      <c r="T84" s="2029"/>
      <c r="U84" s="2029"/>
      <c r="V84" s="2029"/>
    </row>
    <row r="85" spans="1:26" ht="12.75">
      <c r="A85" s="382" t="s">
        <v>1829</v>
      </c>
      <c r="B85" s="383" t="s">
        <v>435</v>
      </c>
      <c r="C85" s="386">
        <f ca="1">C81-C84</f>
        <v>72348</v>
      </c>
      <c r="D85" s="379" t="s">
        <v>19</v>
      </c>
      <c r="E85" s="380"/>
      <c r="F85" s="42"/>
      <c r="G85" s="42"/>
      <c r="H85" s="1003"/>
      <c r="I85" s="312"/>
      <c r="J85" s="2029"/>
      <c r="K85" s="3360"/>
      <c r="L85" s="3092" t="s">
        <v>2886</v>
      </c>
      <c r="M85" s="3082">
        <f ca="1">IF(N69&gt;1000,N69*0.1%,IF(AND(N69&gt;500,N69&lt;=1000),N69*0.5%,IF(AND(N69&gt;50,N69&lt;=500),N69*1%,IF(AND(N69&gt;1,N69&lt;=50),N69*1.5%))))</f>
        <v>95.108000000000004</v>
      </c>
      <c r="N85" s="53">
        <f t="shared" ca="1" si="2"/>
        <v>95.1</v>
      </c>
      <c r="O85" s="2029" t="s">
        <v>2885</v>
      </c>
      <c r="P85" s="2029"/>
      <c r="Q85" s="2029"/>
      <c r="R85" s="2029"/>
      <c r="S85" s="2029"/>
      <c r="T85" s="2029"/>
      <c r="U85" s="2029"/>
      <c r="V85" s="2029"/>
    </row>
    <row r="86" spans="1:26" ht="13.5" thickBot="1">
      <c r="A86" s="387" t="s">
        <v>1830</v>
      </c>
      <c r="B86" s="388" t="s">
        <v>436</v>
      </c>
      <c r="C86" s="389">
        <f ca="1">IF(C85&lt;=0,0,ROUND(C85*D86,0))</f>
        <v>4051</v>
      </c>
      <c r="D86" s="390">
        <f>'数据-取费表'!B41</f>
        <v>5.6000000000000001E-2</v>
      </c>
      <c r="E86" s="391"/>
      <c r="F86" s="42"/>
      <c r="G86" s="42"/>
      <c r="H86" s="1003"/>
      <c r="I86" s="312"/>
      <c r="J86" s="2029"/>
      <c r="K86" s="3360"/>
      <c r="L86" s="3092" t="s">
        <v>2887</v>
      </c>
      <c r="M86" s="3082">
        <f ca="1">N69*0.5%</f>
        <v>475.54</v>
      </c>
      <c r="N86" s="53">
        <f ca="1">IF(M86&gt;0.5,0.5,ROUND(M86,0))</f>
        <v>0.5</v>
      </c>
      <c r="O86" s="2029" t="s">
        <v>2888</v>
      </c>
      <c r="P86" s="2029"/>
      <c r="Q86" s="2029"/>
      <c r="R86" s="2029"/>
      <c r="S86" s="2029"/>
      <c r="T86" s="2029"/>
      <c r="U86" s="2029"/>
      <c r="V86" s="2029"/>
    </row>
    <row r="87" spans="1:26" s="1254" customFormat="1" ht="14.25" customHeight="1">
      <c r="A87" s="1309"/>
      <c r="B87" s="1310"/>
      <c r="C87" s="1311"/>
      <c r="D87" s="1312"/>
      <c r="E87" s="1313"/>
      <c r="F87" s="42"/>
      <c r="G87" s="42"/>
      <c r="H87" s="1003"/>
      <c r="I87" s="312"/>
      <c r="J87" s="2029"/>
      <c r="K87" s="3360"/>
      <c r="L87" s="3092" t="s">
        <v>2889</v>
      </c>
      <c r="M87" s="3082">
        <f ca="1">IF(N69&gt;=10000,(8.25+(N69-10000)*0.01%),IF(AND(N69&gt;=8000,N69&lt;10000),(7.85+(N69-8000)*0.02%),IF(AND(N69&gt;=5000,N69&lt;8000),(6.65+(N69-5000)*0.04%),IF(AND(N69&gt;=2000,N69&lt;5000),(4.25+(PN69-2000)*0.08%),IF(AND(N69&gt;=1000,N69&lt;2000),(2.75+(N69-1000)*0.15%),IF(AND(N69&gt;=100,N69&lt;1000),(0.5+(N69-100)*0.25%),IF(AND(N69&gt;0,N69&lt;100),N69*0.5%)))))))</f>
        <v>16.7608</v>
      </c>
      <c r="N87" s="53">
        <f ca="1">ROUND(M87*0.9,1)</f>
        <v>15.1</v>
      </c>
      <c r="O87" s="3085"/>
      <c r="P87" s="312"/>
      <c r="Q87" s="2029"/>
      <c r="R87" s="2029"/>
      <c r="S87" s="2029"/>
      <c r="T87" s="2029"/>
      <c r="U87" s="2029"/>
      <c r="V87" s="2029"/>
      <c r="W87" s="290"/>
      <c r="X87" s="290"/>
      <c r="Y87" s="290"/>
      <c r="Z87" s="290"/>
    </row>
    <row r="88" spans="1:26" s="1314" customFormat="1" ht="15" thickBot="1">
      <c r="A88" s="3342" t="s">
        <v>437</v>
      </c>
      <c r="B88" s="3343"/>
      <c r="C88" s="3343"/>
      <c r="D88" s="3343"/>
      <c r="E88" s="3343"/>
      <c r="F88" s="3343"/>
      <c r="G88" s="3343"/>
      <c r="H88" s="3343"/>
      <c r="I88" s="1315"/>
      <c r="J88" s="2037"/>
      <c r="K88" s="3360"/>
      <c r="L88" s="3092" t="s">
        <v>2890</v>
      </c>
      <c r="M88" s="3082">
        <f ca="1">IF(N69&gt;10000,N69*0.5%,IF(AND(N69&gt;5000,N69&lt;=10000),N69*1%,IF(AND(N69&gt;1000,N69&lt;=5000),N69*2%,IF(AND(N69&gt;200,N69&lt;=1000),N69*3%,N69*5%))))</f>
        <v>475.54</v>
      </c>
      <c r="N88" s="53">
        <f ca="1">ROUND(M88,1)</f>
        <v>475.5</v>
      </c>
      <c r="O88" s="3085"/>
      <c r="P88" s="11"/>
      <c r="Q88" s="2034"/>
      <c r="R88" s="2034"/>
      <c r="S88" s="2034"/>
      <c r="T88" s="2034"/>
      <c r="U88" s="2034"/>
      <c r="V88" s="2034"/>
      <c r="W88" s="2038"/>
      <c r="X88" s="2038"/>
      <c r="Y88" s="2038"/>
      <c r="Z88" s="2038"/>
    </row>
    <row r="89" spans="1:26" s="1314" customFormat="1" ht="14.25">
      <c r="A89" s="3340" t="s">
        <v>428</v>
      </c>
      <c r="B89" s="3341"/>
      <c r="C89" s="994"/>
      <c r="D89" s="994" t="s">
        <v>429</v>
      </c>
      <c r="E89" s="392" t="s">
        <v>438</v>
      </c>
      <c r="F89" s="393"/>
      <c r="G89" s="393"/>
      <c r="H89" s="394"/>
      <c r="I89" s="1316"/>
      <c r="J89" s="2039"/>
      <c r="K89" s="3360"/>
      <c r="L89" s="3092" t="s">
        <v>27</v>
      </c>
      <c r="M89" s="3083"/>
      <c r="N89" s="53">
        <f ca="1">ROUND(SUM(N83:N88),0)</f>
        <v>1537</v>
      </c>
      <c r="O89" s="3093">
        <f ca="1">N89/N69</f>
        <v>1.616057534592253E-2</v>
      </c>
      <c r="P89" s="2034"/>
      <c r="Q89" s="2034"/>
      <c r="R89" s="2034"/>
      <c r="S89" s="2034"/>
      <c r="T89" s="2034"/>
      <c r="U89" s="2034"/>
      <c r="V89" s="2034"/>
      <c r="W89" s="2038"/>
      <c r="X89" s="2038"/>
      <c r="Y89" s="2038"/>
      <c r="Z89" s="2038"/>
    </row>
    <row r="90" spans="1:26" s="1314" customFormat="1" ht="14.25">
      <c r="A90" s="382" t="s">
        <v>1825</v>
      </c>
      <c r="B90" s="383" t="s">
        <v>439</v>
      </c>
      <c r="C90" s="386">
        <f ca="1">ROUND(D63/(1+'数据-取费表'!C42),0)</f>
        <v>74348</v>
      </c>
      <c r="D90" s="379" t="s">
        <v>19</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1831</v>
      </c>
      <c r="B91" s="349" t="s">
        <v>440</v>
      </c>
      <c r="C91" s="386">
        <f ca="1">C92+C96</f>
        <v>3007</v>
      </c>
      <c r="D91" s="379" t="s">
        <v>19</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1832</v>
      </c>
      <c r="B92" s="377" t="s">
        <v>441</v>
      </c>
      <c r="C92" s="379">
        <f>ROUND(IF(G95="2016年5月1日后购买",C93/(1+'数据-取费表'!C30)+C94+C95,C93+C94+C95),0)</f>
        <v>2561</v>
      </c>
      <c r="D92" s="379" t="s">
        <v>19</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1833</v>
      </c>
      <c r="B93" s="377" t="s">
        <v>442</v>
      </c>
      <c r="C93" s="397">
        <v>2000</v>
      </c>
      <c r="D93" s="379" t="s">
        <v>19</v>
      </c>
      <c r="E93" s="398" t="s">
        <v>443</v>
      </c>
      <c r="F93" s="399" t="s">
        <v>444</v>
      </c>
      <c r="G93" s="398" t="s">
        <v>445</v>
      </c>
      <c r="H93" s="400">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1834</v>
      </c>
      <c r="B94" s="401" t="s">
        <v>446</v>
      </c>
      <c r="C94" s="379">
        <f>IF(F93="购房发票",ROUND(C93*H93*5%,0),0)</f>
        <v>500</v>
      </c>
      <c r="D94" s="402">
        <v>0.05</v>
      </c>
      <c r="E94" s="3303" t="s">
        <v>447</v>
      </c>
      <c r="F94" s="3302"/>
      <c r="G94" s="3302"/>
      <c r="H94" s="333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1835</v>
      </c>
      <c r="B95" s="377" t="s">
        <v>448</v>
      </c>
      <c r="C95" s="379">
        <f>ROUND(IF(G95="个人买卖住房",0,IF(G95="2016年5月1日前购买",C93*D95,C93*D95/(1+'数据-取费表'!C42))),0)</f>
        <v>61</v>
      </c>
      <c r="D95" s="403">
        <f>'数据-取费表'!B48+'数据-取费表'!B49</f>
        <v>3.0499999999999999E-2</v>
      </c>
      <c r="E95" s="26" t="s">
        <v>449</v>
      </c>
      <c r="F95" s="404"/>
      <c r="G95" s="405"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1836</v>
      </c>
      <c r="B96" s="377" t="s">
        <v>450</v>
      </c>
      <c r="C96" s="406">
        <f ca="1">ROUND(D63*D96/(1+'数据-取费表'!C42),0)</f>
        <v>446</v>
      </c>
      <c r="D96" s="407">
        <f>'数据-取费表'!B43</f>
        <v>6.000000000000001E-3</v>
      </c>
      <c r="E96" s="3331" t="s">
        <v>2433</v>
      </c>
      <c r="F96" s="3332"/>
      <c r="G96" s="3332"/>
      <c r="H96" s="333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3" t="s">
        <v>451</v>
      </c>
      <c r="C97" s="386">
        <f ca="1">C90-C91</f>
        <v>71341</v>
      </c>
      <c r="D97" s="379" t="s">
        <v>19</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3" t="s">
        <v>452</v>
      </c>
      <c r="C98" s="408">
        <f ca="1">IF(C97&lt;=0,0,C97/C91)</f>
        <v>23.72497505819754</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8" t="s">
        <v>453</v>
      </c>
      <c r="C99" s="409">
        <f ca="1">ROUND(IF(C97&lt;=0,0,IF(C98&gt;=200%,C97*60%-C91*35%,IF(C98&gt;=100%,C97*50%-C91*15%,IF(C98&gt;=50%,C97*40%-C91*5%,IF(C98&lt;50%,C97*30%,0))))),0)</f>
        <v>41752</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2" t="s">
        <v>454</v>
      </c>
      <c r="B101" s="3343"/>
      <c r="C101" s="3343"/>
      <c r="D101" s="3343"/>
      <c r="E101" s="3343"/>
      <c r="F101" s="3343"/>
      <c r="G101" s="3343"/>
      <c r="H101" s="334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0" t="s">
        <v>428</v>
      </c>
      <c r="B102" s="3341"/>
      <c r="C102" s="994"/>
      <c r="D102" s="994" t="s">
        <v>429</v>
      </c>
      <c r="E102" s="392" t="s">
        <v>438</v>
      </c>
      <c r="F102" s="393"/>
      <c r="G102" s="393"/>
      <c r="H102" s="414"/>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1825</v>
      </c>
      <c r="B103" s="383" t="s">
        <v>439</v>
      </c>
      <c r="C103" s="386">
        <f ca="1">ROUND(D63/(1+'数据-取费表'!C42),0)</f>
        <v>74348</v>
      </c>
      <c r="D103" s="379" t="s">
        <v>19</v>
      </c>
      <c r="E103" s="991"/>
      <c r="F103" s="990"/>
      <c r="G103" s="990"/>
      <c r="H103" s="415"/>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1831</v>
      </c>
      <c r="B104" s="349" t="s">
        <v>440</v>
      </c>
      <c r="C104" s="386">
        <f ca="1">IF(H106="仅含出让金",C105+C108+C109+C110+C111+C112,C105+C109+C110+C111+C112)</f>
        <v>1136</v>
      </c>
      <c r="D104" s="416"/>
      <c r="E104" s="991"/>
      <c r="F104" s="990"/>
      <c r="G104" s="990"/>
      <c r="H104" s="415"/>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1832</v>
      </c>
      <c r="B105" s="377" t="s">
        <v>455</v>
      </c>
      <c r="C105" s="406">
        <f>C106+C107</f>
        <v>572</v>
      </c>
      <c r="D105" s="407"/>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1833</v>
      </c>
      <c r="B106" s="377" t="s">
        <v>456</v>
      </c>
      <c r="C106" s="417">
        <v>555</v>
      </c>
      <c r="D106" s="407"/>
      <c r="E106" s="418" t="s">
        <v>457</v>
      </c>
      <c r="F106" s="986"/>
      <c r="G106" s="419" t="s">
        <v>458</v>
      </c>
      <c r="H106" s="420"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1834</v>
      </c>
      <c r="B107" s="377" t="s">
        <v>448</v>
      </c>
      <c r="C107" s="406">
        <f>ROUND(C106*D107,0)</f>
        <v>17</v>
      </c>
      <c r="D107" s="407">
        <f>'数据-取费表'!B48+'数据-取费表'!B49</f>
        <v>3.0499999999999999E-2</v>
      </c>
      <c r="E107" s="418"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1836</v>
      </c>
      <c r="B108" s="377" t="s">
        <v>460</v>
      </c>
      <c r="C108" s="417"/>
      <c r="D108" s="407"/>
      <c r="E108" s="418"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7" t="s">
        <v>461</v>
      </c>
      <c r="C109" s="406">
        <f>IF(H109="——",IF(F1="现房",'剩余法-现房'!C18,'剩余法-待开发'!C18),I109)</f>
        <v>55</v>
      </c>
      <c r="D109" s="407"/>
      <c r="E109" s="3334" t="s">
        <v>462</v>
      </c>
      <c r="F109" s="3332"/>
      <c r="G109" s="3332"/>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7" t="s">
        <v>463</v>
      </c>
      <c r="C110" s="406">
        <f>ROUND((C105+C108+C109)*D110,0)</f>
        <v>63</v>
      </c>
      <c r="D110" s="407">
        <v>0.1</v>
      </c>
      <c r="E110" s="3334" t="s">
        <v>464</v>
      </c>
      <c r="F110" s="3332"/>
      <c r="G110" s="3332"/>
      <c r="H110" s="333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7" t="s">
        <v>450</v>
      </c>
      <c r="C111" s="406">
        <f ca="1">ROUND(D63*D111/(1+'数据-取费表'!C42),0)</f>
        <v>446</v>
      </c>
      <c r="D111" s="407">
        <f>'数据-取费表'!B43</f>
        <v>6.000000000000001E-3</v>
      </c>
      <c r="E111" s="3331" t="s">
        <v>2433</v>
      </c>
      <c r="F111" s="3332"/>
      <c r="G111" s="3332"/>
      <c r="H111" s="333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7" t="s">
        <v>465</v>
      </c>
      <c r="C112" s="406">
        <f>ROUND(C108*D112,0)</f>
        <v>0</v>
      </c>
      <c r="D112" s="407">
        <v>0.2</v>
      </c>
      <c r="E112" s="3334" t="s">
        <v>2458</v>
      </c>
      <c r="F112" s="3332"/>
      <c r="G112" s="3332"/>
      <c r="H112" s="333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3" t="s">
        <v>451</v>
      </c>
      <c r="C113" s="386">
        <f ca="1">ROUND(C103-C104,0)</f>
        <v>73212</v>
      </c>
      <c r="D113" s="379" t="s">
        <v>19</v>
      </c>
      <c r="E113" s="991"/>
      <c r="F113" s="990"/>
      <c r="G113" s="990"/>
      <c r="H113" s="415"/>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3" t="s">
        <v>452</v>
      </c>
      <c r="C114" s="408">
        <f ca="1">IF(C113&lt;=0,0,C113/C104)</f>
        <v>64.447183098591552</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8" t="s">
        <v>453</v>
      </c>
      <c r="C115" s="409">
        <f ca="1">ROUND(IF(C113&lt;=0,0,IF(C114&gt;=200%,C113*60%-C104*35%,IF(C114&gt;=100%,C113*50%-C104*15%,IF(C114&gt;=50%,C113*40%-C104*5%,IF(C114&lt;50%,C113*30%,0))))),0)</f>
        <v>43530</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C120" sqref="C120:H12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4" t="s">
        <v>467</v>
      </c>
      <c r="B2" s="509">
        <f>F68</f>
        <v>121266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1">
        <f>ROUND(B2*10000/'数据-汇总表'!E3,0)</f>
        <v>10669</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30" s="1336" customFormat="1" ht="28.5" customHeight="1">
      <c r="A4" s="512" t="s">
        <v>521</v>
      </c>
      <c r="B4" s="428">
        <f>IF(B48="单位面积地价",C50,ROUND(B2*10000/'数据-汇总表'!D3,0))</f>
        <v>33074</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9"/>
    </row>
    <row r="5" spans="1:30" s="1336" customFormat="1" ht="28.5" customHeight="1" thickBot="1">
      <c r="A5" s="430"/>
      <c r="B5" s="431">
        <f>ROUND(B2/('数据-汇总表'!D3/666.67),0)</f>
        <v>2205</v>
      </c>
      <c r="C5" s="432"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9"/>
    </row>
    <row r="6" spans="1:30" ht="20.25">
      <c r="A6" s="513" t="s">
        <v>522</v>
      </c>
      <c r="B6" s="514"/>
      <c r="C6" s="3385" t="s">
        <v>523</v>
      </c>
      <c r="D6" s="3386"/>
      <c r="E6" s="3385" t="s">
        <v>524</v>
      </c>
      <c r="F6" s="3386"/>
      <c r="G6" s="3385" t="s">
        <v>525</v>
      </c>
      <c r="H6" s="3386"/>
      <c r="I6" s="3385" t="s">
        <v>526</v>
      </c>
      <c r="J6" s="3386"/>
      <c r="K6" s="515" t="s">
        <v>527</v>
      </c>
      <c r="L6" s="2134"/>
      <c r="M6" s="2133"/>
      <c r="N6" s="2133"/>
      <c r="O6" s="2135"/>
      <c r="P6" s="3387" t="s">
        <v>528</v>
      </c>
      <c r="Q6" s="3388"/>
      <c r="R6" s="3393" t="s">
        <v>524</v>
      </c>
      <c r="S6" s="3394"/>
      <c r="T6" s="3393" t="s">
        <v>525</v>
      </c>
      <c r="U6" s="3394"/>
      <c r="V6" s="3380" t="s">
        <v>526</v>
      </c>
      <c r="W6" s="3380"/>
      <c r="X6" s="1567"/>
      <c r="Y6" s="3393" t="s">
        <v>528</v>
      </c>
      <c r="Z6" s="3394"/>
      <c r="AA6" s="3382" t="s">
        <v>524</v>
      </c>
      <c r="AB6" s="3383" t="s">
        <v>525</v>
      </c>
      <c r="AC6" s="3382" t="s">
        <v>526</v>
      </c>
    </row>
    <row r="7" spans="1:30" ht="20.25">
      <c r="A7" s="516"/>
      <c r="B7" s="517"/>
      <c r="C7" s="3403" t="s">
        <v>2937</v>
      </c>
      <c r="D7" s="3402"/>
      <c r="E7" s="3401" t="s">
        <v>3109</v>
      </c>
      <c r="F7" s="3402"/>
      <c r="G7" s="3401" t="s">
        <v>3110</v>
      </c>
      <c r="H7" s="3402"/>
      <c r="I7" s="3401" t="s">
        <v>3111</v>
      </c>
      <c r="J7" s="3402"/>
      <c r="K7" s="515"/>
      <c r="L7" s="2134"/>
      <c r="M7" s="2133"/>
      <c r="N7" s="2133"/>
      <c r="O7" s="2135"/>
      <c r="P7" s="3389"/>
      <c r="Q7" s="3390"/>
      <c r="R7" s="3395"/>
      <c r="S7" s="3396"/>
      <c r="T7" s="3395"/>
      <c r="U7" s="3396"/>
      <c r="V7" s="3380"/>
      <c r="W7" s="3380"/>
      <c r="X7" s="1567"/>
      <c r="Y7" s="3395"/>
      <c r="Z7" s="3396"/>
      <c r="AA7" s="3383"/>
      <c r="AB7" s="3383"/>
      <c r="AC7" s="3383"/>
    </row>
    <row r="8" spans="1:30" ht="21" thickBot="1">
      <c r="A8" s="516"/>
      <c r="B8" s="517"/>
      <c r="C8" s="3404" t="s">
        <v>2941</v>
      </c>
      <c r="D8" s="3405"/>
      <c r="E8" s="3404" t="s">
        <v>2941</v>
      </c>
      <c r="F8" s="3405"/>
      <c r="G8" s="3399" t="s">
        <v>2941</v>
      </c>
      <c r="H8" s="3400"/>
      <c r="I8" s="3399" t="s">
        <v>2941</v>
      </c>
      <c r="J8" s="3400"/>
      <c r="K8" s="515" t="s">
        <v>529</v>
      </c>
      <c r="L8" s="2134"/>
      <c r="M8" s="2133"/>
      <c r="N8" s="2133"/>
      <c r="O8" s="2135"/>
      <c r="P8" s="3391"/>
      <c r="Q8" s="3392"/>
      <c r="R8" s="3395"/>
      <c r="S8" s="3396"/>
      <c r="T8" s="3397"/>
      <c r="U8" s="3398"/>
      <c r="V8" s="3380"/>
      <c r="W8" s="3380"/>
      <c r="X8" s="1567"/>
      <c r="Y8" s="3397"/>
      <c r="Z8" s="3398"/>
      <c r="AA8" s="3384"/>
      <c r="AB8" s="3384"/>
      <c r="AC8" s="3384"/>
    </row>
    <row r="9" spans="1:30" s="1220" customFormat="1" ht="21" thickBot="1">
      <c r="A9" s="2939"/>
      <c r="B9" s="2946" t="s">
        <v>530</v>
      </c>
      <c r="C9" s="2938">
        <f>'数据-取费表'!B2</f>
        <v>43138</v>
      </c>
      <c r="D9" s="521">
        <v>100</v>
      </c>
      <c r="E9" s="522">
        <v>42972</v>
      </c>
      <c r="F9" s="523">
        <f>SUMIF(72:72,YEAR(E9)&amp;"-"&amp;INT((MONTH(E9)+2)/3),73:73)</f>
        <v>96</v>
      </c>
      <c r="G9" s="524">
        <v>42913</v>
      </c>
      <c r="H9" s="521">
        <f>SUMIF(72:72,YEAR(G9)&amp;"-"&amp;INT((MONTH(G9)+2)/3),73:73)</f>
        <v>94</v>
      </c>
      <c r="I9" s="524">
        <v>42921</v>
      </c>
      <c r="J9" s="521">
        <f>SUMIF(72:72,YEAR(I9)&amp;"-"&amp;INT((MONTH(I9)+2)/3),73:73)</f>
        <v>96</v>
      </c>
      <c r="K9" s="525"/>
      <c r="L9" s="2136"/>
      <c r="M9" s="2133"/>
      <c r="N9" s="2133"/>
      <c r="O9" s="2137"/>
      <c r="P9" s="3411" t="s">
        <v>531</v>
      </c>
      <c r="Q9" s="3413"/>
      <c r="R9" s="1568" t="s">
        <v>8</v>
      </c>
      <c r="S9" s="1569">
        <f t="shared" ref="S9:S17" si="0">F9</f>
        <v>96</v>
      </c>
      <c r="T9" s="1568" t="s">
        <v>8</v>
      </c>
      <c r="U9" s="1569">
        <f t="shared" ref="U9:U17" si="1">H9</f>
        <v>94</v>
      </c>
      <c r="V9" s="1568" t="s">
        <v>8</v>
      </c>
      <c r="W9" s="1569">
        <f t="shared" ref="W9:W17" si="2">J9</f>
        <v>96</v>
      </c>
      <c r="X9" s="1570"/>
      <c r="Y9" s="3411" t="s">
        <v>531</v>
      </c>
      <c r="Z9" s="3412"/>
      <c r="AA9" s="1571">
        <f>D9/F9</f>
        <v>1.0416666666666667</v>
      </c>
      <c r="AB9" s="1571">
        <f>D9/H9</f>
        <v>1.0638297872340425</v>
      </c>
      <c r="AC9" s="1571">
        <f>D9/J9</f>
        <v>1.0416666666666667</v>
      </c>
    </row>
    <row r="10" spans="1:30" s="1220" customFormat="1" ht="21" thickBot="1">
      <c r="A10" s="2940"/>
      <c r="B10" s="2947" t="s">
        <v>532</v>
      </c>
      <c r="C10" s="857" t="s">
        <v>533</v>
      </c>
      <c r="D10" s="521">
        <v>100</v>
      </c>
      <c r="E10" s="526" t="s">
        <v>2986</v>
      </c>
      <c r="F10" s="523">
        <f>SUMIF(75:75,E10,76:76)-SUMIF(75:75,C10,76:76)+100</f>
        <v>100</v>
      </c>
      <c r="G10" s="526" t="s">
        <v>2986</v>
      </c>
      <c r="H10" s="521">
        <f>SUMIF(75:75,G10,76:76)-SUMIF(75:75,C10,76:76)+100</f>
        <v>100</v>
      </c>
      <c r="I10" s="526" t="s">
        <v>2986</v>
      </c>
      <c r="J10" s="521">
        <f>SUMIF(75:75,I10,76:76)-SUMIF(75:75,C10,76:76)+100</f>
        <v>100</v>
      </c>
      <c r="K10" s="525"/>
      <c r="L10" s="2136"/>
      <c r="M10" s="2133"/>
      <c r="N10" s="2133"/>
      <c r="O10" s="2137"/>
      <c r="P10" s="3411" t="s">
        <v>534</v>
      </c>
      <c r="Q10" s="3412"/>
      <c r="R10" s="1568" t="s">
        <v>8</v>
      </c>
      <c r="S10" s="1569">
        <f t="shared" si="0"/>
        <v>100</v>
      </c>
      <c r="T10" s="1568" t="s">
        <v>8</v>
      </c>
      <c r="U10" s="1569">
        <f t="shared" si="1"/>
        <v>100</v>
      </c>
      <c r="V10" s="1568" t="s">
        <v>8</v>
      </c>
      <c r="W10" s="1569">
        <f t="shared" si="2"/>
        <v>100</v>
      </c>
      <c r="X10" s="1570"/>
      <c r="Y10" s="3411" t="s">
        <v>534</v>
      </c>
      <c r="Z10" s="3412"/>
      <c r="AA10" s="1571">
        <f t="shared" ref="AA10:AA47" si="3">D10/F10</f>
        <v>1</v>
      </c>
      <c r="AB10" s="1571">
        <f t="shared" ref="AB10:AB47" si="4">D10/H10</f>
        <v>1</v>
      </c>
      <c r="AC10" s="1571">
        <f t="shared" ref="AC10:AC47" si="5">D10/J10</f>
        <v>1</v>
      </c>
    </row>
    <row r="11" spans="1:30" s="1220" customFormat="1" ht="20.25">
      <c r="A11" s="2941"/>
      <c r="B11" s="2948" t="s">
        <v>2764</v>
      </c>
      <c r="C11" s="2935" t="s">
        <v>924</v>
      </c>
      <c r="D11" s="252">
        <v>100</v>
      </c>
      <c r="E11" s="2935" t="s">
        <v>924</v>
      </c>
      <c r="F11" s="252">
        <f>SUMIF(77:77,E11,78:78)-SUMIF(77:77,C11,78:78)+100</f>
        <v>100</v>
      </c>
      <c r="G11" s="2935" t="s">
        <v>924</v>
      </c>
      <c r="H11" s="252">
        <f>SUMIF(77:77,G11,78:78)-SUMIF(77:77,C11,78:78)+100</f>
        <v>100</v>
      </c>
      <c r="I11" s="2935" t="s">
        <v>924</v>
      </c>
      <c r="J11" s="252">
        <f>SUMIF(77:77,I11,78:78)-SUMIF(77:77,C11,78:78)+100</f>
        <v>100</v>
      </c>
      <c r="K11" s="525"/>
      <c r="L11" s="2136"/>
      <c r="M11" s="2133"/>
      <c r="N11" s="2133"/>
      <c r="O11" s="2138"/>
      <c r="P11" s="3379" t="s">
        <v>536</v>
      </c>
      <c r="Q11" s="1151" t="str">
        <f t="shared" ref="Q11:Q17" si="6">B11</f>
        <v>用途</v>
      </c>
      <c r="R11" s="1568" t="s">
        <v>8</v>
      </c>
      <c r="S11" s="1569">
        <f t="shared" si="0"/>
        <v>100</v>
      </c>
      <c r="T11" s="1568" t="s">
        <v>8</v>
      </c>
      <c r="U11" s="1569">
        <f t="shared" si="1"/>
        <v>100</v>
      </c>
      <c r="V11" s="1568" t="s">
        <v>8</v>
      </c>
      <c r="W11" s="1569">
        <f t="shared" si="2"/>
        <v>100</v>
      </c>
      <c r="X11" s="1570"/>
      <c r="Y11" s="3325" t="s">
        <v>537</v>
      </c>
      <c r="Z11" s="1150" t="str">
        <f t="shared" ref="Z11:Z17" si="7">Q11</f>
        <v>用途</v>
      </c>
      <c r="AA11" s="1571">
        <f t="shared" si="3"/>
        <v>1</v>
      </c>
      <c r="AB11" s="1571">
        <f t="shared" si="4"/>
        <v>1</v>
      </c>
      <c r="AC11" s="1571">
        <f t="shared" si="5"/>
        <v>1</v>
      </c>
    </row>
    <row r="12" spans="1:30" s="1338" customFormat="1" ht="28.5">
      <c r="A12" s="2942"/>
      <c r="B12" s="2947" t="s">
        <v>2765</v>
      </c>
      <c r="C12" s="910" t="s">
        <v>3069</v>
      </c>
      <c r="D12" s="253">
        <v>100</v>
      </c>
      <c r="E12" s="530" t="s">
        <v>3070</v>
      </c>
      <c r="F12" s="253">
        <f>ROUND(100/'数据-取费表'!G16,0)</f>
        <v>100</v>
      </c>
      <c r="G12" s="531" t="s">
        <v>3071</v>
      </c>
      <c r="H12" s="253">
        <f>ROUND(100/'数据-取费表'!G16,0)</f>
        <v>100</v>
      </c>
      <c r="I12" s="531" t="s">
        <v>3071</v>
      </c>
      <c r="J12" s="253">
        <f>ROUND(100/'数据-取费表'!G16,0)</f>
        <v>100</v>
      </c>
      <c r="K12" s="532"/>
      <c r="L12" s="2139"/>
      <c r="M12" s="2133"/>
      <c r="N12" s="2133"/>
      <c r="O12" s="2140"/>
      <c r="P12" s="3379"/>
      <c r="Q12" s="1151" t="str">
        <f t="shared" si="6"/>
        <v>土地使用年限（年）</v>
      </c>
      <c r="R12" s="1568" t="s">
        <v>8</v>
      </c>
      <c r="S12" s="1569">
        <f t="shared" si="0"/>
        <v>100</v>
      </c>
      <c r="T12" s="1568" t="s">
        <v>8</v>
      </c>
      <c r="U12" s="1569">
        <f t="shared" si="1"/>
        <v>100</v>
      </c>
      <c r="V12" s="1568" t="s">
        <v>8</v>
      </c>
      <c r="W12" s="1569">
        <f t="shared" si="2"/>
        <v>100</v>
      </c>
      <c r="X12" s="1570"/>
      <c r="Y12" s="3325"/>
      <c r="Z12" s="1150" t="str">
        <f t="shared" si="7"/>
        <v>土地使用年限（年）</v>
      </c>
      <c r="AA12" s="1571">
        <f t="shared" si="3"/>
        <v>1</v>
      </c>
      <c r="AB12" s="1571">
        <f t="shared" si="4"/>
        <v>1</v>
      </c>
      <c r="AC12" s="1571">
        <f t="shared" si="5"/>
        <v>1</v>
      </c>
    </row>
    <row r="13" spans="1:30" ht="21" thickBot="1">
      <c r="A13" s="2943"/>
      <c r="B13" s="2947" t="s">
        <v>2766</v>
      </c>
      <c r="C13" s="535">
        <f>'数据-汇总表'!I6</f>
        <v>3.1</v>
      </c>
      <c r="D13" s="253">
        <v>100</v>
      </c>
      <c r="E13" s="534">
        <v>2.5</v>
      </c>
      <c r="F13" s="253">
        <f>LOOKUP(E13,82:82,83:83)-LOOKUP(C13,82:82,83:83)+100</f>
        <v>102</v>
      </c>
      <c r="G13" s="535">
        <v>2.5</v>
      </c>
      <c r="H13" s="253">
        <f>LOOKUP(G13,82:82,83:83)-LOOKUP(C13,82:82,83:83)+100</f>
        <v>102</v>
      </c>
      <c r="I13" s="534">
        <v>2</v>
      </c>
      <c r="J13" s="253">
        <f>LOOKUP(I13,82:82,83:83)-LOOKUP(C13,82:82,83:83)+100</f>
        <v>102</v>
      </c>
      <c r="K13" s="3198">
        <v>2</v>
      </c>
      <c r="L13" s="2141"/>
      <c r="M13" s="2133"/>
      <c r="N13" s="2133"/>
      <c r="O13" s="2142"/>
      <c r="P13" s="3379"/>
      <c r="Q13" s="1151" t="str">
        <f t="shared" si="6"/>
        <v>容积率</v>
      </c>
      <c r="R13" s="1568" t="s">
        <v>8</v>
      </c>
      <c r="S13" s="1569">
        <f t="shared" si="0"/>
        <v>102</v>
      </c>
      <c r="T13" s="1568" t="s">
        <v>8</v>
      </c>
      <c r="U13" s="1569">
        <f t="shared" si="1"/>
        <v>102</v>
      </c>
      <c r="V13" s="1568" t="s">
        <v>8</v>
      </c>
      <c r="W13" s="1569">
        <f t="shared" si="2"/>
        <v>102</v>
      </c>
      <c r="X13" s="1570"/>
      <c r="Y13" s="3325"/>
      <c r="Z13" s="1150" t="str">
        <f t="shared" si="7"/>
        <v>容积率</v>
      </c>
      <c r="AA13" s="1571">
        <f t="shared" si="3"/>
        <v>0.98039215686274506</v>
      </c>
      <c r="AB13" s="1571">
        <f t="shared" si="4"/>
        <v>0.98039215686274506</v>
      </c>
      <c r="AC13" s="1571">
        <f t="shared" si="5"/>
        <v>0.98039215686274506</v>
      </c>
    </row>
    <row r="14" spans="1:30" s="1220" customFormat="1" ht="21" hidden="1" thickBot="1">
      <c r="A14" s="2940"/>
      <c r="B14" s="2949" t="s">
        <v>2767</v>
      </c>
      <c r="C14" s="2936"/>
      <c r="D14" s="539">
        <v>100</v>
      </c>
      <c r="E14" s="1375"/>
      <c r="F14" s="253">
        <f>SUMIF(84:84,E14,85:85)-SUMIF(84:84,C14,85:85)+100</f>
        <v>100</v>
      </c>
      <c r="G14" s="531"/>
      <c r="H14" s="253">
        <f>SUMIF(84:84,G14,85:85)-SUMIF(84:84,C14,85:85)+100</f>
        <v>100</v>
      </c>
      <c r="I14" s="530"/>
      <c r="J14" s="253">
        <f>SUMIF(84:84,I14,85:85)-SUMIF(84:84,C14,85:85)+100</f>
        <v>100</v>
      </c>
      <c r="K14" s="532"/>
      <c r="L14" s="2136"/>
      <c r="M14" s="2133"/>
      <c r="N14" s="2133"/>
      <c r="O14" s="2138"/>
      <c r="P14" s="3379"/>
      <c r="Q14" s="1151" t="str">
        <f t="shared" si="6"/>
        <v>配建</v>
      </c>
      <c r="R14" s="1568" t="s">
        <v>8</v>
      </c>
      <c r="S14" s="1569">
        <f t="shared" si="0"/>
        <v>100</v>
      </c>
      <c r="T14" s="1568" t="s">
        <v>8</v>
      </c>
      <c r="U14" s="1569">
        <f t="shared" si="1"/>
        <v>100</v>
      </c>
      <c r="V14" s="1568" t="s">
        <v>8</v>
      </c>
      <c r="W14" s="1569">
        <f t="shared" si="2"/>
        <v>100</v>
      </c>
      <c r="X14" s="1570"/>
      <c r="Y14" s="3325"/>
      <c r="Z14" s="1150" t="str">
        <f t="shared" si="7"/>
        <v>配建</v>
      </c>
      <c r="AA14" s="1571">
        <f>D14/F14</f>
        <v>1</v>
      </c>
      <c r="AB14" s="1571">
        <f>D14/H14</f>
        <v>1</v>
      </c>
      <c r="AC14" s="1571">
        <f>D14/J14</f>
        <v>1</v>
      </c>
    </row>
    <row r="15" spans="1:30" ht="20.25" hidden="1" customHeight="1">
      <c r="A15" s="2944"/>
      <c r="B15" s="2950"/>
      <c r="C15" s="912"/>
      <c r="D15" s="541">
        <v>100</v>
      </c>
      <c r="E15" s="542"/>
      <c r="F15" s="253">
        <f>SUMIF(86:86,E15,87:87)-SUMIF(86:86,C15,87:87)+100</f>
        <v>100</v>
      </c>
      <c r="G15" s="543"/>
      <c r="H15" s="541">
        <f>SUMIF(86:86,G15,87:87)-SUMIF(86:86,C15,87:87)+100</f>
        <v>100</v>
      </c>
      <c r="I15" s="543"/>
      <c r="J15" s="541">
        <f>SUMIF(86:86,I15,87:87)-SUMIF(86:86,C15,87:87)+100</f>
        <v>100</v>
      </c>
      <c r="K15" s="532"/>
      <c r="L15" s="2143"/>
      <c r="M15" s="2133"/>
      <c r="N15" s="2133"/>
      <c r="O15" s="2142"/>
      <c r="P15" s="3379"/>
      <c r="Q15" s="1151">
        <f t="shared" si="6"/>
        <v>0</v>
      </c>
      <c r="R15" s="1568" t="s">
        <v>8</v>
      </c>
      <c r="S15" s="1569">
        <f t="shared" si="0"/>
        <v>100</v>
      </c>
      <c r="T15" s="1568" t="s">
        <v>8</v>
      </c>
      <c r="U15" s="1569">
        <f t="shared" si="1"/>
        <v>100</v>
      </c>
      <c r="V15" s="1568" t="s">
        <v>8</v>
      </c>
      <c r="W15" s="1569">
        <f t="shared" si="2"/>
        <v>100</v>
      </c>
      <c r="X15" s="1570"/>
      <c r="Y15" s="3325"/>
      <c r="Z15" s="1150">
        <f t="shared" si="7"/>
        <v>0</v>
      </c>
      <c r="AA15" s="1571">
        <f>D15/F15</f>
        <v>1</v>
      </c>
      <c r="AB15" s="1571">
        <f>D15/H15</f>
        <v>1</v>
      </c>
      <c r="AC15" s="1571">
        <f>D15/J15</f>
        <v>1</v>
      </c>
    </row>
    <row r="16" spans="1:30" ht="21" hidden="1" customHeight="1" thickBot="1">
      <c r="A16" s="2945"/>
      <c r="B16" s="2951"/>
      <c r="C16" s="915"/>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379"/>
      <c r="Q16" s="1151">
        <f t="shared" si="6"/>
        <v>0</v>
      </c>
      <c r="R16" s="1568" t="s">
        <v>8</v>
      </c>
      <c r="S16" s="1569">
        <f t="shared" si="0"/>
        <v>100</v>
      </c>
      <c r="T16" s="1568" t="s">
        <v>8</v>
      </c>
      <c r="U16" s="1569">
        <f t="shared" si="1"/>
        <v>100</v>
      </c>
      <c r="V16" s="1568" t="s">
        <v>8</v>
      </c>
      <c r="W16" s="1569">
        <f t="shared" si="2"/>
        <v>100</v>
      </c>
      <c r="X16" s="1570"/>
      <c r="Y16" s="3325"/>
      <c r="Z16" s="1150">
        <f t="shared" si="7"/>
        <v>0</v>
      </c>
      <c r="AA16" s="1571">
        <f>D16/F16</f>
        <v>1</v>
      </c>
      <c r="AB16" s="1571">
        <f>D16/H16</f>
        <v>1</v>
      </c>
      <c r="AC16" s="1571">
        <f>D16/J16</f>
        <v>1</v>
      </c>
    </row>
    <row r="17" spans="1:29" ht="99.75">
      <c r="A17" s="2937" t="s">
        <v>2762</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v>3</v>
      </c>
      <c r="L17" s="2143"/>
      <c r="M17" s="2133"/>
      <c r="N17" s="2133"/>
      <c r="O17" s="2142"/>
      <c r="P17" s="3414" t="s">
        <v>541</v>
      </c>
      <c r="Q17" s="1572" t="str">
        <f t="shared" si="6"/>
        <v>居住社区成熟度</v>
      </c>
      <c r="R17" s="1573" t="s">
        <v>8</v>
      </c>
      <c r="S17" s="1574">
        <f t="shared" si="0"/>
        <v>100</v>
      </c>
      <c r="T17" s="1573" t="s">
        <v>8</v>
      </c>
      <c r="U17" s="1574">
        <f t="shared" si="1"/>
        <v>100</v>
      </c>
      <c r="V17" s="1573" t="s">
        <v>8</v>
      </c>
      <c r="W17" s="1574">
        <f t="shared" si="2"/>
        <v>100</v>
      </c>
      <c r="X17" s="1567"/>
      <c r="Y17" s="3414" t="s">
        <v>541</v>
      </c>
      <c r="Z17" s="1575" t="str">
        <f t="shared" si="7"/>
        <v>居住社区成熟度</v>
      </c>
      <c r="AA17" s="1576">
        <f t="shared" si="3"/>
        <v>1</v>
      </c>
      <c r="AB17" s="1576">
        <f t="shared" si="4"/>
        <v>1</v>
      </c>
      <c r="AC17" s="1576">
        <f t="shared" si="5"/>
        <v>1</v>
      </c>
    </row>
    <row r="18" spans="1:29" ht="20.25">
      <c r="A18" s="533"/>
      <c r="B18" s="554"/>
      <c r="C18" s="555" t="s">
        <v>3015</v>
      </c>
      <c r="D18" s="558"/>
      <c r="E18" s="555" t="s">
        <v>3015</v>
      </c>
      <c r="F18" s="556"/>
      <c r="G18" s="555" t="s">
        <v>3015</v>
      </c>
      <c r="H18" s="560"/>
      <c r="I18" s="555" t="s">
        <v>3015</v>
      </c>
      <c r="J18" s="556"/>
      <c r="K18" s="532"/>
      <c r="L18" s="2143"/>
      <c r="M18" s="2133"/>
      <c r="N18" s="2133"/>
      <c r="O18" s="2142"/>
      <c r="P18" s="3415"/>
      <c r="Q18" s="1572"/>
      <c r="R18" s="1573"/>
      <c r="S18" s="1574"/>
      <c r="T18" s="1573"/>
      <c r="U18" s="1574"/>
      <c r="V18" s="1573"/>
      <c r="W18" s="1574"/>
      <c r="X18" s="1567"/>
      <c r="Y18" s="3415"/>
      <c r="Z18" s="1575"/>
      <c r="AA18" s="1576">
        <v>1</v>
      </c>
      <c r="AB18" s="1576">
        <v>1</v>
      </c>
      <c r="AC18" s="1576">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3"/>
      <c r="M19" s="2133"/>
      <c r="N19" s="2133"/>
      <c r="O19" s="2142"/>
      <c r="P19" s="3415"/>
      <c r="Q19" s="1572" t="str">
        <f>B19</f>
        <v>商业繁华度</v>
      </c>
      <c r="R19" s="1573" t="s">
        <v>8</v>
      </c>
      <c r="S19" s="1574">
        <f>F19</f>
        <v>100</v>
      </c>
      <c r="T19" s="1573" t="s">
        <v>8</v>
      </c>
      <c r="U19" s="1574">
        <f>H19</f>
        <v>100</v>
      </c>
      <c r="V19" s="1573" t="s">
        <v>8</v>
      </c>
      <c r="W19" s="1574">
        <f>J19</f>
        <v>100</v>
      </c>
      <c r="X19" s="1567"/>
      <c r="Y19" s="3415"/>
      <c r="Z19" s="1575" t="str">
        <f>Q19</f>
        <v>商业繁华度</v>
      </c>
      <c r="AA19" s="1576">
        <f t="shared" si="3"/>
        <v>1</v>
      </c>
      <c r="AB19" s="1576">
        <f t="shared" si="4"/>
        <v>1</v>
      </c>
      <c r="AC19" s="1576">
        <f t="shared" si="5"/>
        <v>1</v>
      </c>
    </row>
    <row r="20" spans="1:29" ht="20.25">
      <c r="A20" s="533"/>
      <c r="B20" s="567"/>
      <c r="C20" s="555" t="s">
        <v>3015</v>
      </c>
      <c r="D20" s="564"/>
      <c r="E20" s="555" t="s">
        <v>3015</v>
      </c>
      <c r="F20" s="560"/>
      <c r="G20" s="555" t="s">
        <v>3015</v>
      </c>
      <c r="H20" s="556"/>
      <c r="I20" s="555" t="s">
        <v>3015</v>
      </c>
      <c r="J20" s="556"/>
      <c r="K20" s="532"/>
      <c r="L20" s="2143"/>
      <c r="M20" s="2133"/>
      <c r="N20" s="2133"/>
      <c r="O20" s="2142"/>
      <c r="P20" s="3415"/>
      <c r="Q20" s="1572"/>
      <c r="R20" s="1573"/>
      <c r="S20" s="1574"/>
      <c r="T20" s="1573"/>
      <c r="U20" s="1574"/>
      <c r="V20" s="1573"/>
      <c r="W20" s="1574"/>
      <c r="X20" s="1567"/>
      <c r="Y20" s="3415"/>
      <c r="Z20" s="1575"/>
      <c r="AA20" s="1576">
        <v>1</v>
      </c>
      <c r="AB20" s="1576">
        <v>1</v>
      </c>
      <c r="AC20" s="1576">
        <v>1</v>
      </c>
    </row>
    <row r="21" spans="1:29" ht="71.25">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3"/>
      <c r="M21" s="2133"/>
      <c r="N21" s="2133"/>
      <c r="O21" s="2142"/>
      <c r="P21" s="3415"/>
      <c r="Q21" s="1572" t="str">
        <f>B21</f>
        <v>办公集聚程度</v>
      </c>
      <c r="R21" s="1573" t="s">
        <v>8</v>
      </c>
      <c r="S21" s="1574">
        <f>F21</f>
        <v>100</v>
      </c>
      <c r="T21" s="1573" t="s">
        <v>8</v>
      </c>
      <c r="U21" s="1574">
        <f>H21</f>
        <v>100</v>
      </c>
      <c r="V21" s="1573" t="s">
        <v>8</v>
      </c>
      <c r="W21" s="1574">
        <f>J21</f>
        <v>100</v>
      </c>
      <c r="X21" s="1567"/>
      <c r="Y21" s="3415"/>
      <c r="Z21" s="1575" t="str">
        <f>Q21</f>
        <v>办公集聚程度</v>
      </c>
      <c r="AA21" s="1576">
        <f t="shared" si="3"/>
        <v>1</v>
      </c>
      <c r="AB21" s="1576">
        <f t="shared" si="4"/>
        <v>1</v>
      </c>
      <c r="AC21" s="1576">
        <f t="shared" si="5"/>
        <v>1</v>
      </c>
    </row>
    <row r="22" spans="1:29" ht="20.25">
      <c r="A22" s="533"/>
      <c r="B22" s="567"/>
      <c r="C22" s="555" t="s">
        <v>3015</v>
      </c>
      <c r="D22" s="558"/>
      <c r="E22" s="555" t="s">
        <v>3015</v>
      </c>
      <c r="F22" s="556"/>
      <c r="G22" s="555" t="s">
        <v>3015</v>
      </c>
      <c r="H22" s="556"/>
      <c r="I22" s="555" t="s">
        <v>3015</v>
      </c>
      <c r="J22" s="556"/>
      <c r="K22" s="532"/>
      <c r="L22" s="2143"/>
      <c r="M22" s="2133"/>
      <c r="N22" s="2133"/>
      <c r="O22" s="2142"/>
      <c r="P22" s="3415"/>
      <c r="Q22" s="1572"/>
      <c r="R22" s="1573"/>
      <c r="S22" s="1574"/>
      <c r="T22" s="1573"/>
      <c r="U22" s="1574"/>
      <c r="V22" s="1573"/>
      <c r="W22" s="1574"/>
      <c r="X22" s="1567"/>
      <c r="Y22" s="3415"/>
      <c r="Z22" s="1575"/>
      <c r="AA22" s="1576">
        <v>1</v>
      </c>
      <c r="AB22" s="1576">
        <v>1</v>
      </c>
      <c r="AC22" s="1576">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v>3</v>
      </c>
      <c r="L23" s="2143"/>
      <c r="M23" s="2133"/>
      <c r="N23" s="2133"/>
      <c r="O23" s="2142"/>
      <c r="P23" s="3415"/>
      <c r="Q23" s="1572" t="str">
        <f>B23</f>
        <v>交通便捷度</v>
      </c>
      <c r="R23" s="1573" t="s">
        <v>8</v>
      </c>
      <c r="S23" s="1574">
        <f>F23</f>
        <v>100</v>
      </c>
      <c r="T23" s="1573" t="s">
        <v>8</v>
      </c>
      <c r="U23" s="1574">
        <f>H23</f>
        <v>100</v>
      </c>
      <c r="V23" s="1573" t="s">
        <v>8</v>
      </c>
      <c r="W23" s="1574">
        <f>J23</f>
        <v>100</v>
      </c>
      <c r="X23" s="1567"/>
      <c r="Y23" s="3415"/>
      <c r="Z23" s="1575" t="str">
        <f>Q23</f>
        <v>交通便捷度</v>
      </c>
      <c r="AA23" s="1576">
        <f t="shared" si="3"/>
        <v>1</v>
      </c>
      <c r="AB23" s="1576">
        <f t="shared" si="4"/>
        <v>1</v>
      </c>
      <c r="AC23" s="1576">
        <f t="shared" si="5"/>
        <v>1</v>
      </c>
    </row>
    <row r="24" spans="1:29" ht="20.25">
      <c r="A24" s="533"/>
      <c r="B24" s="579"/>
      <c r="C24" s="555" t="s">
        <v>3015</v>
      </c>
      <c r="D24" s="558"/>
      <c r="E24" s="555" t="s">
        <v>3015</v>
      </c>
      <c r="F24" s="556"/>
      <c r="G24" s="555" t="s">
        <v>3015</v>
      </c>
      <c r="H24" s="556"/>
      <c r="I24" s="555" t="s">
        <v>3015</v>
      </c>
      <c r="J24" s="556"/>
      <c r="K24" s="532"/>
      <c r="L24" s="2143"/>
      <c r="M24" s="2133"/>
      <c r="N24" s="2133"/>
      <c r="O24" s="2142"/>
      <c r="P24" s="3415"/>
      <c r="Q24" s="1572"/>
      <c r="R24" s="1573"/>
      <c r="S24" s="1574"/>
      <c r="T24" s="1573"/>
      <c r="U24" s="1574"/>
      <c r="V24" s="1573"/>
      <c r="W24" s="1574"/>
      <c r="X24" s="1567"/>
      <c r="Y24" s="3415"/>
      <c r="Z24" s="1575"/>
      <c r="AA24" s="1576">
        <v>1</v>
      </c>
      <c r="AB24" s="1576">
        <v>1</v>
      </c>
      <c r="AC24" s="1576">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3"/>
      <c r="M25" s="2133"/>
      <c r="N25" s="2133"/>
      <c r="O25" s="2142"/>
      <c r="P25" s="3415"/>
      <c r="Q25" s="1572" t="str">
        <f t="shared" ref="Q25:Q39" si="8">B25</f>
        <v>区域土地利用方向</v>
      </c>
      <c r="R25" s="1573" t="s">
        <v>8</v>
      </c>
      <c r="S25" s="1574">
        <f>F25</f>
        <v>100</v>
      </c>
      <c r="T25" s="1573" t="s">
        <v>8</v>
      </c>
      <c r="U25" s="1574">
        <f>H25</f>
        <v>100</v>
      </c>
      <c r="V25" s="1573" t="s">
        <v>8</v>
      </c>
      <c r="W25" s="1574">
        <f>J25</f>
        <v>100</v>
      </c>
      <c r="X25" s="1567"/>
      <c r="Y25" s="3415"/>
      <c r="Z25" s="1575" t="str">
        <f>Q25</f>
        <v>区域土地利用方向</v>
      </c>
      <c r="AA25" s="1576">
        <f t="shared" si="3"/>
        <v>1</v>
      </c>
      <c r="AB25" s="1576">
        <f t="shared" si="4"/>
        <v>1</v>
      </c>
      <c r="AC25" s="1576">
        <f t="shared" si="5"/>
        <v>1</v>
      </c>
    </row>
    <row r="26" spans="1:29" ht="20.25">
      <c r="A26" s="516"/>
      <c r="B26" s="1007"/>
      <c r="C26" s="555" t="s">
        <v>3015</v>
      </c>
      <c r="D26" s="558"/>
      <c r="E26" s="555" t="s">
        <v>3015</v>
      </c>
      <c r="F26" s="556"/>
      <c r="G26" s="555" t="s">
        <v>3015</v>
      </c>
      <c r="H26" s="556"/>
      <c r="I26" s="555" t="s">
        <v>3015</v>
      </c>
      <c r="J26" s="556"/>
      <c r="K26" s="532"/>
      <c r="L26" s="2143"/>
      <c r="M26" s="2133"/>
      <c r="N26" s="2133"/>
      <c r="O26" s="2142"/>
      <c r="P26" s="3415"/>
      <c r="Q26" s="1572"/>
      <c r="R26" s="1573"/>
      <c r="S26" s="1574"/>
      <c r="T26" s="1573"/>
      <c r="U26" s="1574"/>
      <c r="V26" s="1573"/>
      <c r="W26" s="1574"/>
      <c r="X26" s="1567"/>
      <c r="Y26" s="3415"/>
      <c r="Z26" s="1575"/>
      <c r="AA26" s="1576"/>
      <c r="AB26" s="1576"/>
      <c r="AC26" s="1576"/>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5</v>
      </c>
      <c r="L27" s="2143"/>
      <c r="M27" s="2133"/>
      <c r="N27" s="2133"/>
      <c r="O27" s="2142"/>
      <c r="P27" s="3415"/>
      <c r="Q27" s="1572" t="str">
        <f t="shared" si="8"/>
        <v>自然及人文环境状况</v>
      </c>
      <c r="R27" s="1573" t="s">
        <v>8</v>
      </c>
      <c r="S27" s="1574">
        <f>F27</f>
        <v>100</v>
      </c>
      <c r="T27" s="1573" t="s">
        <v>8</v>
      </c>
      <c r="U27" s="1574">
        <f>H27</f>
        <v>100</v>
      </c>
      <c r="V27" s="1573" t="s">
        <v>8</v>
      </c>
      <c r="W27" s="1574">
        <f>J27</f>
        <v>100</v>
      </c>
      <c r="X27" s="1567"/>
      <c r="Y27" s="3415"/>
      <c r="Z27" s="1575" t="str">
        <f>Q27</f>
        <v>自然及人文环境状况</v>
      </c>
      <c r="AA27" s="1576">
        <f t="shared" si="3"/>
        <v>1</v>
      </c>
      <c r="AB27" s="1576">
        <f t="shared" si="4"/>
        <v>1</v>
      </c>
      <c r="AC27" s="1576">
        <f t="shared" si="5"/>
        <v>1</v>
      </c>
    </row>
    <row r="28" spans="1:29" ht="20.25">
      <c r="A28" s="516"/>
      <c r="B28" s="567"/>
      <c r="C28" s="555" t="s">
        <v>3015</v>
      </c>
      <c r="D28" s="558"/>
      <c r="E28" s="555" t="s">
        <v>3015</v>
      </c>
      <c r="F28" s="556"/>
      <c r="G28" s="555" t="s">
        <v>3015</v>
      </c>
      <c r="H28" s="556"/>
      <c r="I28" s="555" t="s">
        <v>3015</v>
      </c>
      <c r="J28" s="556"/>
      <c r="K28" s="532"/>
      <c r="L28" s="2143"/>
      <c r="M28" s="2133"/>
      <c r="N28" s="2133"/>
      <c r="O28" s="2142"/>
      <c r="P28" s="3415"/>
      <c r="Q28" s="1572"/>
      <c r="R28" s="1573"/>
      <c r="S28" s="1574"/>
      <c r="T28" s="1573"/>
      <c r="U28" s="1574"/>
      <c r="V28" s="1573"/>
      <c r="W28" s="1574"/>
      <c r="X28" s="1567"/>
      <c r="Y28" s="3415"/>
      <c r="Z28" s="1575"/>
      <c r="AA28" s="1576">
        <v>1</v>
      </c>
      <c r="AB28" s="1576">
        <v>1</v>
      </c>
      <c r="AC28" s="1576">
        <v>1</v>
      </c>
    </row>
    <row r="29" spans="1:29" s="1220" customFormat="1" ht="42.75">
      <c r="A29" s="578"/>
      <c r="B29" s="2616" t="s">
        <v>2555</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3</v>
      </c>
      <c r="L29" s="2136"/>
      <c r="M29" s="2133"/>
      <c r="N29" s="2133"/>
      <c r="O29" s="2138"/>
      <c r="P29" s="3415"/>
      <c r="Q29" s="1151" t="str">
        <f t="shared" si="8"/>
        <v>公共配套设施</v>
      </c>
      <c r="R29" s="1568" t="s">
        <v>8</v>
      </c>
      <c r="S29" s="1569">
        <f>F29</f>
        <v>100</v>
      </c>
      <c r="T29" s="1568" t="s">
        <v>8</v>
      </c>
      <c r="U29" s="1569">
        <f>H29</f>
        <v>100</v>
      </c>
      <c r="V29" s="1568" t="s">
        <v>8</v>
      </c>
      <c r="W29" s="1569">
        <f>J29</f>
        <v>100</v>
      </c>
      <c r="X29" s="1570"/>
      <c r="Y29" s="3415"/>
      <c r="Z29" s="1150" t="str">
        <f>Q29</f>
        <v>公共配套设施</v>
      </c>
      <c r="AA29" s="1576">
        <f>D29/F29</f>
        <v>1</v>
      </c>
      <c r="AB29" s="1576">
        <f>D29/H29</f>
        <v>1</v>
      </c>
      <c r="AC29" s="1576">
        <f>D29/J29</f>
        <v>1</v>
      </c>
    </row>
    <row r="30" spans="1:29" s="1220" customFormat="1" ht="20.25">
      <c r="A30" s="578"/>
      <c r="B30" s="567"/>
      <c r="C30" s="555" t="s">
        <v>3015</v>
      </c>
      <c r="D30" s="558"/>
      <c r="E30" s="555" t="s">
        <v>3015</v>
      </c>
      <c r="F30" s="556"/>
      <c r="G30" s="555" t="s">
        <v>3015</v>
      </c>
      <c r="H30" s="556"/>
      <c r="I30" s="555" t="s">
        <v>3015</v>
      </c>
      <c r="J30" s="556"/>
      <c r="K30" s="532"/>
      <c r="L30" s="2136"/>
      <c r="M30" s="2133"/>
      <c r="N30" s="2133"/>
      <c r="O30" s="2138"/>
      <c r="P30" s="3415"/>
      <c r="Q30" s="1151"/>
      <c r="R30" s="1568"/>
      <c r="S30" s="1569"/>
      <c r="T30" s="1568"/>
      <c r="U30" s="1569"/>
      <c r="V30" s="1568"/>
      <c r="W30" s="1569"/>
      <c r="X30" s="1570"/>
      <c r="Y30" s="3415"/>
      <c r="Z30" s="1150"/>
      <c r="AA30" s="1576">
        <v>1</v>
      </c>
      <c r="AB30" s="1576">
        <v>1</v>
      </c>
      <c r="AC30" s="1576">
        <v>1</v>
      </c>
    </row>
    <row r="31" spans="1:29" s="1220" customFormat="1" ht="28.5">
      <c r="A31" s="578"/>
      <c r="B31" s="2616"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6"/>
      <c r="M31" s="2133"/>
      <c r="N31" s="2133"/>
      <c r="O31" s="2138"/>
      <c r="P31" s="3415"/>
      <c r="Q31" s="2603" t="str">
        <f t="shared" ref="Q31" si="9">B31</f>
        <v>基础设施水平</v>
      </c>
      <c r="R31" s="1568" t="s">
        <v>8</v>
      </c>
      <c r="S31" s="1569">
        <f>F31</f>
        <v>100</v>
      </c>
      <c r="T31" s="1568" t="s">
        <v>8</v>
      </c>
      <c r="U31" s="1569">
        <f>H31</f>
        <v>100</v>
      </c>
      <c r="V31" s="1568" t="s">
        <v>8</v>
      </c>
      <c r="W31" s="1569">
        <f>J31</f>
        <v>100</v>
      </c>
      <c r="X31" s="1570"/>
      <c r="Y31" s="3415"/>
      <c r="Z31" s="2600" t="str">
        <f>Q31</f>
        <v>基础设施水平</v>
      </c>
      <c r="AA31" s="1576">
        <f>D31/F31</f>
        <v>1</v>
      </c>
      <c r="AB31" s="1576">
        <f>D31/H31</f>
        <v>1</v>
      </c>
      <c r="AC31" s="1576">
        <f>D31/J31</f>
        <v>1</v>
      </c>
    </row>
    <row r="32" spans="1:29" s="1220" customFormat="1" ht="20.25">
      <c r="A32" s="578"/>
      <c r="B32" s="567"/>
      <c r="C32" s="580" t="s">
        <v>3072</v>
      </c>
      <c r="D32" s="558"/>
      <c r="E32" s="580" t="s">
        <v>3072</v>
      </c>
      <c r="F32" s="556"/>
      <c r="G32" s="580" t="s">
        <v>3072</v>
      </c>
      <c r="H32" s="556"/>
      <c r="I32" s="580" t="s">
        <v>3072</v>
      </c>
      <c r="J32" s="556"/>
      <c r="K32" s="532"/>
      <c r="L32" s="2136"/>
      <c r="M32" s="2133"/>
      <c r="N32" s="2133"/>
      <c r="O32" s="2138"/>
      <c r="P32" s="3415"/>
      <c r="Q32" s="2603"/>
      <c r="R32" s="1568"/>
      <c r="S32" s="1569"/>
      <c r="T32" s="1568"/>
      <c r="U32" s="1569"/>
      <c r="V32" s="1568"/>
      <c r="W32" s="1569"/>
      <c r="X32" s="1570"/>
      <c r="Y32" s="3415"/>
      <c r="Z32" s="2600"/>
      <c r="AA32" s="1576">
        <v>1</v>
      </c>
      <c r="AB32" s="1576">
        <v>1</v>
      </c>
      <c r="AC32" s="1576">
        <v>1</v>
      </c>
    </row>
    <row r="33" spans="1:29" ht="20.25">
      <c r="A33" s="533"/>
      <c r="B33" s="567" t="s">
        <v>548</v>
      </c>
      <c r="C33" s="581" t="s">
        <v>3016</v>
      </c>
      <c r="D33" s="576">
        <v>100</v>
      </c>
      <c r="E33" s="581" t="s">
        <v>3016</v>
      </c>
      <c r="F33" s="541">
        <f>SUMIF(106:106,E33,107:107)-SUMIF(106:106,C33,107:107)+100</f>
        <v>100</v>
      </c>
      <c r="G33" s="581" t="s">
        <v>3016</v>
      </c>
      <c r="H33" s="541">
        <f>SUMIF(106:106,G33,107:107)-SUMIF(106:106,C33,107:107)+100</f>
        <v>100</v>
      </c>
      <c r="I33" s="581" t="s">
        <v>3016</v>
      </c>
      <c r="J33" s="541">
        <f>SUMIF(106:106,I33,107:107)-SUMIF(106:106,C33,107:107)+100</f>
        <v>100</v>
      </c>
      <c r="K33" s="536">
        <v>1</v>
      </c>
      <c r="L33" s="2143"/>
      <c r="M33" s="2133"/>
      <c r="N33" s="2133"/>
      <c r="O33" s="2142"/>
      <c r="P33" s="341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5"/>
      <c r="Z33" s="1575" t="str">
        <f t="shared" ref="Z33:Z47" si="13">Q33</f>
        <v>临街状况</v>
      </c>
      <c r="AA33" s="1576">
        <f t="shared" si="3"/>
        <v>1</v>
      </c>
      <c r="AB33" s="1576">
        <f t="shared" si="4"/>
        <v>1</v>
      </c>
      <c r="AC33" s="1576">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3"/>
      <c r="M34" s="2133"/>
      <c r="N34" s="2133"/>
      <c r="O34" s="2142"/>
      <c r="P34" s="3415"/>
      <c r="Q34" s="1572" t="str">
        <f t="shared" si="8"/>
        <v>毗邻道路的类型与等级</v>
      </c>
      <c r="R34" s="1573" t="s">
        <v>8</v>
      </c>
      <c r="S34" s="1574">
        <f t="shared" si="10"/>
        <v>100</v>
      </c>
      <c r="T34" s="1573" t="s">
        <v>8</v>
      </c>
      <c r="U34" s="1574">
        <f t="shared" si="11"/>
        <v>100</v>
      </c>
      <c r="V34" s="1573" t="s">
        <v>8</v>
      </c>
      <c r="W34" s="1574">
        <f t="shared" si="12"/>
        <v>100</v>
      </c>
      <c r="X34" s="1567"/>
      <c r="Y34" s="3415"/>
      <c r="Z34" s="1575" t="str">
        <f t="shared" si="13"/>
        <v>毗邻道路的类型与等级</v>
      </c>
      <c r="AA34" s="1576">
        <f t="shared" si="3"/>
        <v>1</v>
      </c>
      <c r="AB34" s="1576">
        <f t="shared" si="4"/>
        <v>1</v>
      </c>
      <c r="AC34" s="1576">
        <f t="shared" si="5"/>
        <v>1</v>
      </c>
    </row>
    <row r="35" spans="1:29" ht="21" thickBot="1">
      <c r="A35" s="533"/>
      <c r="B35" s="567"/>
      <c r="C35" s="555" t="s">
        <v>3017</v>
      </c>
      <c r="D35" s="558"/>
      <c r="E35" s="555" t="s">
        <v>3017</v>
      </c>
      <c r="F35" s="556"/>
      <c r="G35" s="555" t="s">
        <v>3017</v>
      </c>
      <c r="H35" s="556"/>
      <c r="I35" s="555" t="s">
        <v>3017</v>
      </c>
      <c r="J35" s="556"/>
      <c r="K35" s="582"/>
      <c r="L35" s="2143"/>
      <c r="M35" s="2133"/>
      <c r="N35" s="2133"/>
      <c r="O35" s="2142"/>
      <c r="P35" s="3415"/>
      <c r="Q35" s="1572"/>
      <c r="R35" s="1573"/>
      <c r="S35" s="1574"/>
      <c r="T35" s="1573"/>
      <c r="U35" s="1574"/>
      <c r="V35" s="1573"/>
      <c r="W35" s="1574"/>
      <c r="X35" s="1567"/>
      <c r="Y35" s="3415"/>
      <c r="Z35" s="1575"/>
      <c r="AA35" s="1576">
        <v>1</v>
      </c>
      <c r="AB35" s="1576">
        <v>1</v>
      </c>
      <c r="AC35" s="1576">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3"/>
      <c r="M36" s="2133"/>
      <c r="N36" s="2133"/>
      <c r="O36" s="2142"/>
      <c r="P36" s="3415"/>
      <c r="Q36" s="1572" t="str">
        <f t="shared" si="8"/>
        <v>土地级别</v>
      </c>
      <c r="R36" s="1573" t="s">
        <v>8</v>
      </c>
      <c r="S36" s="1574">
        <f t="shared" si="10"/>
        <v>100</v>
      </c>
      <c r="T36" s="1573" t="s">
        <v>8</v>
      </c>
      <c r="U36" s="1574">
        <f t="shared" si="11"/>
        <v>100</v>
      </c>
      <c r="V36" s="1573" t="s">
        <v>8</v>
      </c>
      <c r="W36" s="1574">
        <f t="shared" si="12"/>
        <v>100</v>
      </c>
      <c r="X36" s="1567"/>
      <c r="Y36" s="3415"/>
      <c r="Z36" s="1575" t="str">
        <f t="shared" si="13"/>
        <v>土地级别</v>
      </c>
      <c r="AA36" s="1576">
        <f t="shared" si="3"/>
        <v>1</v>
      </c>
      <c r="AB36" s="1576">
        <f t="shared" si="4"/>
        <v>1</v>
      </c>
      <c r="AC36" s="1576">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3"/>
      <c r="M37" s="2133"/>
      <c r="N37" s="2133"/>
      <c r="O37" s="2142"/>
      <c r="P37" s="3415"/>
      <c r="Q37" s="1572">
        <f t="shared" si="8"/>
        <v>0</v>
      </c>
      <c r="R37" s="1573" t="s">
        <v>8</v>
      </c>
      <c r="S37" s="1574">
        <f t="shared" si="10"/>
        <v>100</v>
      </c>
      <c r="T37" s="1573" t="s">
        <v>8</v>
      </c>
      <c r="U37" s="1574">
        <f t="shared" si="11"/>
        <v>100</v>
      </c>
      <c r="V37" s="1573" t="s">
        <v>8</v>
      </c>
      <c r="W37" s="1574">
        <f t="shared" si="12"/>
        <v>100</v>
      </c>
      <c r="X37" s="1567"/>
      <c r="Y37" s="3415"/>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3"/>
      <c r="M38" s="2133"/>
      <c r="N38" s="2133"/>
      <c r="O38" s="2142"/>
      <c r="P38" s="3416" t="s">
        <v>551</v>
      </c>
      <c r="Q38" s="1572">
        <f t="shared" si="8"/>
        <v>0</v>
      </c>
      <c r="R38" s="1573" t="s">
        <v>8</v>
      </c>
      <c r="S38" s="1574">
        <f t="shared" si="10"/>
        <v>100</v>
      </c>
      <c r="T38" s="1573" t="s">
        <v>8</v>
      </c>
      <c r="U38" s="1574">
        <f t="shared" si="11"/>
        <v>100</v>
      </c>
      <c r="V38" s="1573" t="s">
        <v>8</v>
      </c>
      <c r="W38" s="1574">
        <f t="shared" si="12"/>
        <v>100</v>
      </c>
      <c r="X38" s="1567"/>
      <c r="Y38" s="3417" t="s">
        <v>551</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1"/>
      <c r="M39" s="2133"/>
      <c r="N39" s="2133"/>
      <c r="O39" s="2144"/>
      <c r="P39" s="3417"/>
      <c r="Q39" s="1572">
        <f t="shared" si="8"/>
        <v>0</v>
      </c>
      <c r="R39" s="1577" t="s">
        <v>8</v>
      </c>
      <c r="S39" s="1578">
        <f t="shared" si="10"/>
        <v>100</v>
      </c>
      <c r="T39" s="1577" t="s">
        <v>8</v>
      </c>
      <c r="U39" s="1578">
        <f t="shared" si="11"/>
        <v>100</v>
      </c>
      <c r="V39" s="1577" t="s">
        <v>8</v>
      </c>
      <c r="W39" s="1578">
        <f t="shared" si="12"/>
        <v>100</v>
      </c>
      <c r="X39" s="1579"/>
      <c r="Y39" s="3417"/>
      <c r="Z39" s="1580">
        <f t="shared" si="13"/>
        <v>0</v>
      </c>
      <c r="AA39" s="1576">
        <f t="shared" si="3"/>
        <v>1</v>
      </c>
      <c r="AB39" s="1576">
        <f t="shared" si="4"/>
        <v>1</v>
      </c>
      <c r="AC39" s="1576">
        <f t="shared" si="5"/>
        <v>1</v>
      </c>
    </row>
    <row r="40" spans="1:29" ht="20.25">
      <c r="A40" s="2934" t="s">
        <v>2763</v>
      </c>
      <c r="B40" s="596" t="s">
        <v>553</v>
      </c>
      <c r="C40" s="597">
        <f>'数据-基础表'!A3</f>
        <v>36665.199999999997</v>
      </c>
      <c r="D40" s="598">
        <v>100</v>
      </c>
      <c r="E40" s="597">
        <v>45565</v>
      </c>
      <c r="F40" s="598">
        <f>LOOKUP(E40,119:119,120:120)-LOOKUP(C40,119:119,120:120)+100</f>
        <v>100.5</v>
      </c>
      <c r="G40" s="597">
        <v>32021</v>
      </c>
      <c r="H40" s="598">
        <f>LOOKUP(G40,119:119,120:120)-LOOKUP(C40,119:119,120:120)+100</f>
        <v>100</v>
      </c>
      <c r="I40" s="599">
        <v>55824</v>
      </c>
      <c r="J40" s="598">
        <f>LOOKUP(I40,119:119,120:120)-LOOKUP(C40,119:119,120:120)+100</f>
        <v>100.5</v>
      </c>
      <c r="K40" s="582"/>
      <c r="L40" s="2143"/>
      <c r="M40" s="2133"/>
      <c r="N40" s="2133"/>
      <c r="O40" s="2142"/>
      <c r="P40" s="3417"/>
      <c r="Q40" s="1572" t="str">
        <f>B40</f>
        <v>宗地面积</v>
      </c>
      <c r="R40" s="1573" t="s">
        <v>8</v>
      </c>
      <c r="S40" s="1574">
        <f t="shared" si="10"/>
        <v>100.5</v>
      </c>
      <c r="T40" s="1573" t="s">
        <v>8</v>
      </c>
      <c r="U40" s="1574">
        <f t="shared" si="11"/>
        <v>100</v>
      </c>
      <c r="V40" s="1573" t="s">
        <v>8</v>
      </c>
      <c r="W40" s="1574">
        <f t="shared" si="12"/>
        <v>100.5</v>
      </c>
      <c r="X40" s="1567"/>
      <c r="Y40" s="3417"/>
      <c r="Z40" s="1575" t="str">
        <f t="shared" si="13"/>
        <v>宗地面积</v>
      </c>
      <c r="AA40" s="1576">
        <f t="shared" si="3"/>
        <v>0.99502487562189057</v>
      </c>
      <c r="AB40" s="1576">
        <f t="shared" si="4"/>
        <v>1</v>
      </c>
      <c r="AC40" s="1576">
        <f t="shared" si="5"/>
        <v>0.99502487562189057</v>
      </c>
    </row>
    <row r="41" spans="1:29" ht="20.25">
      <c r="A41" s="595"/>
      <c r="B41" s="528" t="s">
        <v>554</v>
      </c>
      <c r="C41" s="600" t="s">
        <v>3018</v>
      </c>
      <c r="D41" s="541">
        <v>100</v>
      </c>
      <c r="E41" s="600" t="s">
        <v>3018</v>
      </c>
      <c r="F41" s="541">
        <f>SUMIF(121:121,E41,122:122)-SUMIF(121:121,C41,122:122)+100</f>
        <v>100</v>
      </c>
      <c r="G41" s="600" t="s">
        <v>3018</v>
      </c>
      <c r="H41" s="541">
        <f>SUMIF(121:121,G41,122:122)-SUMIF(121:121,C41,122:122)+100</f>
        <v>100</v>
      </c>
      <c r="I41" s="600" t="s">
        <v>3018</v>
      </c>
      <c r="J41" s="541">
        <f>SUMIF(121:121,I41,122:122)-SUMIF(121:121,C41,122:122)+100</f>
        <v>100</v>
      </c>
      <c r="K41" s="585">
        <v>1</v>
      </c>
      <c r="L41" s="2143"/>
      <c r="M41" s="2133"/>
      <c r="N41" s="2133"/>
      <c r="O41" s="2142"/>
      <c r="P41" s="3417"/>
      <c r="Q41" s="1572" t="str">
        <f t="shared" ref="Q41:Q47" si="14">B41</f>
        <v>宗地形状</v>
      </c>
      <c r="R41" s="1573" t="s">
        <v>8</v>
      </c>
      <c r="S41" s="1574">
        <f t="shared" si="10"/>
        <v>100</v>
      </c>
      <c r="T41" s="1573" t="s">
        <v>8</v>
      </c>
      <c r="U41" s="1574">
        <f t="shared" si="11"/>
        <v>100</v>
      </c>
      <c r="V41" s="1573" t="s">
        <v>8</v>
      </c>
      <c r="W41" s="1574">
        <f t="shared" si="12"/>
        <v>100</v>
      </c>
      <c r="X41" s="1567"/>
      <c r="Y41" s="3417"/>
      <c r="Z41" s="1575" t="str">
        <f t="shared" si="13"/>
        <v>宗地形状</v>
      </c>
      <c r="AA41" s="1576">
        <f t="shared" si="3"/>
        <v>1</v>
      </c>
      <c r="AB41" s="1576">
        <f t="shared" si="4"/>
        <v>1</v>
      </c>
      <c r="AC41" s="1576">
        <f t="shared" si="5"/>
        <v>1</v>
      </c>
    </row>
    <row r="42" spans="1:29" ht="20.25">
      <c r="A42" s="595"/>
      <c r="B42" s="528" t="s">
        <v>555</v>
      </c>
      <c r="C42" s="600" t="s">
        <v>3019</v>
      </c>
      <c r="D42" s="541">
        <v>100</v>
      </c>
      <c r="E42" s="600" t="s">
        <v>3019</v>
      </c>
      <c r="F42" s="541">
        <f>SUMIF(123:123,E42,124:124)-SUMIF(123:123,C42,124:124)+100</f>
        <v>100</v>
      </c>
      <c r="G42" s="600" t="s">
        <v>3019</v>
      </c>
      <c r="H42" s="541">
        <f>SUMIF(123:123,G42,124:124)-SUMIF(123:123,C42,124:124)+100</f>
        <v>100</v>
      </c>
      <c r="I42" s="600" t="s">
        <v>3019</v>
      </c>
      <c r="J42" s="541">
        <f>SUMIF(123:123,I42,124:124)-SUMIF(123:123,C42,124:124)+100</f>
        <v>100</v>
      </c>
      <c r="K42" s="585">
        <v>0</v>
      </c>
      <c r="L42" s="2143"/>
      <c r="M42" s="2133"/>
      <c r="N42" s="2133"/>
      <c r="O42" s="2142"/>
      <c r="P42" s="3417"/>
      <c r="Q42" s="1572" t="str">
        <f t="shared" si="14"/>
        <v>临街宽度及深度</v>
      </c>
      <c r="R42" s="1573" t="s">
        <v>8</v>
      </c>
      <c r="S42" s="1574">
        <f t="shared" si="10"/>
        <v>100</v>
      </c>
      <c r="T42" s="1573" t="s">
        <v>8</v>
      </c>
      <c r="U42" s="1574">
        <f t="shared" si="11"/>
        <v>100</v>
      </c>
      <c r="V42" s="1573" t="s">
        <v>8</v>
      </c>
      <c r="W42" s="1574">
        <f t="shared" si="12"/>
        <v>100</v>
      </c>
      <c r="X42" s="1567"/>
      <c r="Y42" s="3417"/>
      <c r="Z42" s="1575" t="str">
        <f t="shared" si="13"/>
        <v>临街宽度及深度</v>
      </c>
      <c r="AA42" s="1576">
        <f t="shared" si="3"/>
        <v>1</v>
      </c>
      <c r="AB42" s="1576">
        <f t="shared" si="4"/>
        <v>1</v>
      </c>
      <c r="AC42" s="1576">
        <f t="shared" si="5"/>
        <v>1</v>
      </c>
    </row>
    <row r="43" spans="1:29" s="1220" customFormat="1" ht="20.25">
      <c r="A43" s="601"/>
      <c r="B43" s="1896" t="s">
        <v>2429</v>
      </c>
      <c r="C43" s="602" t="s">
        <v>3099</v>
      </c>
      <c r="D43" s="253">
        <v>100</v>
      </c>
      <c r="E43" s="602" t="s">
        <v>3073</v>
      </c>
      <c r="F43" s="541">
        <f>SUMIF(125:125,E43,126:126)-SUMIF(125:125,C43,126:126)+100</f>
        <v>101</v>
      </c>
      <c r="G43" s="602" t="s">
        <v>3073</v>
      </c>
      <c r="H43" s="541">
        <f>SUMIF(125:125,G43,126:126)-SUMIF(125:125,C43,126:126)+100</f>
        <v>101</v>
      </c>
      <c r="I43" s="602" t="s">
        <v>3073</v>
      </c>
      <c r="J43" s="541">
        <f>SUMIF(125:125,I43,126:126)-SUMIF(125:125,C43,126:126)+100</f>
        <v>101</v>
      </c>
      <c r="K43" s="585">
        <v>1</v>
      </c>
      <c r="L43" s="2136"/>
      <c r="M43" s="2133"/>
      <c r="N43" s="2133"/>
      <c r="O43" s="2138"/>
      <c r="P43" s="3417"/>
      <c r="Q43" s="1572" t="str">
        <f t="shared" si="14"/>
        <v>宗地开发程度</v>
      </c>
      <c r="R43" s="1568" t="s">
        <v>8</v>
      </c>
      <c r="S43" s="1569">
        <f t="shared" si="10"/>
        <v>101</v>
      </c>
      <c r="T43" s="1568" t="s">
        <v>8</v>
      </c>
      <c r="U43" s="1569">
        <f t="shared" si="11"/>
        <v>101</v>
      </c>
      <c r="V43" s="1568" t="s">
        <v>8</v>
      </c>
      <c r="W43" s="1569">
        <f t="shared" si="12"/>
        <v>101</v>
      </c>
      <c r="X43" s="1570"/>
      <c r="Y43" s="3417"/>
      <c r="Z43" s="1150" t="str">
        <f t="shared" si="13"/>
        <v>宗地开发程度</v>
      </c>
      <c r="AA43" s="1571">
        <f t="shared" si="3"/>
        <v>0.99009900990099009</v>
      </c>
      <c r="AB43" s="1571">
        <f t="shared" si="4"/>
        <v>0.99009900990099009</v>
      </c>
      <c r="AC43" s="1571">
        <f t="shared" si="5"/>
        <v>0.99009900990099009</v>
      </c>
    </row>
    <row r="44" spans="1:29" ht="21" thickBot="1">
      <c r="A44" s="595"/>
      <c r="B44" s="528" t="s">
        <v>556</v>
      </c>
      <c r="C44" s="600" t="s">
        <v>3015</v>
      </c>
      <c r="D44" s="541">
        <v>100</v>
      </c>
      <c r="E44" s="600" t="s">
        <v>3015</v>
      </c>
      <c r="F44" s="541">
        <f>SUMIF(127:127,E44,128:128)-SUMIF(127:127,C44,128:128)+100</f>
        <v>100</v>
      </c>
      <c r="G44" s="600" t="s">
        <v>3015</v>
      </c>
      <c r="H44" s="541">
        <f>SUMIF(127:127,G44,128:128)-SUMIF(127:127,C44,128:128)+100</f>
        <v>100</v>
      </c>
      <c r="I44" s="600" t="s">
        <v>3015</v>
      </c>
      <c r="J44" s="541">
        <f>SUMIF(127:127,I44,128:128)-SUMIF(127:127,C44,128:128)+100</f>
        <v>100</v>
      </c>
      <c r="K44" s="585">
        <v>1</v>
      </c>
      <c r="L44" s="2143"/>
      <c r="M44" s="2133"/>
      <c r="N44" s="2133"/>
      <c r="O44" s="2142"/>
      <c r="P44" s="3417" t="s">
        <v>551</v>
      </c>
      <c r="Q44" s="1572" t="str">
        <f t="shared" si="14"/>
        <v>工程地质条件</v>
      </c>
      <c r="R44" s="1573" t="s">
        <v>8</v>
      </c>
      <c r="S44" s="1574">
        <f t="shared" si="10"/>
        <v>100</v>
      </c>
      <c r="T44" s="1573" t="s">
        <v>8</v>
      </c>
      <c r="U44" s="1574">
        <f t="shared" si="11"/>
        <v>100</v>
      </c>
      <c r="V44" s="1573" t="s">
        <v>8</v>
      </c>
      <c r="W44" s="1574">
        <f t="shared" si="12"/>
        <v>100</v>
      </c>
      <c r="X44" s="1567"/>
      <c r="Y44" s="3417" t="s">
        <v>551</v>
      </c>
      <c r="Z44" s="1575" t="str">
        <f t="shared" si="13"/>
        <v>工程地质条件</v>
      </c>
      <c r="AA44" s="1576">
        <f t="shared" si="3"/>
        <v>1</v>
      </c>
      <c r="AB44" s="1576">
        <f t="shared" si="4"/>
        <v>1</v>
      </c>
      <c r="AC44" s="1576">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417"/>
      <c r="Q45" s="1572">
        <f t="shared" si="14"/>
        <v>0</v>
      </c>
      <c r="R45" s="1573" t="s">
        <v>8</v>
      </c>
      <c r="S45" s="1574">
        <f t="shared" si="10"/>
        <v>100</v>
      </c>
      <c r="T45" s="1573" t="s">
        <v>8</v>
      </c>
      <c r="U45" s="1574">
        <f t="shared" si="11"/>
        <v>100</v>
      </c>
      <c r="V45" s="1573" t="s">
        <v>8</v>
      </c>
      <c r="W45" s="1574">
        <f t="shared" si="12"/>
        <v>100</v>
      </c>
      <c r="X45" s="1567"/>
      <c r="Y45" s="3417"/>
      <c r="Z45" s="1575">
        <f t="shared" si="13"/>
        <v>0</v>
      </c>
      <c r="AA45" s="1576">
        <f t="shared" si="3"/>
        <v>1</v>
      </c>
      <c r="AB45" s="1576">
        <f t="shared" si="4"/>
        <v>1</v>
      </c>
      <c r="AC45" s="1576">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417"/>
      <c r="Q46" s="1572">
        <f t="shared" si="14"/>
        <v>0</v>
      </c>
      <c r="R46" s="1573" t="s">
        <v>8</v>
      </c>
      <c r="S46" s="1574">
        <f t="shared" si="10"/>
        <v>100</v>
      </c>
      <c r="T46" s="1573" t="s">
        <v>8</v>
      </c>
      <c r="U46" s="1574">
        <f t="shared" si="11"/>
        <v>100</v>
      </c>
      <c r="V46" s="1573" t="s">
        <v>8</v>
      </c>
      <c r="W46" s="1574">
        <f t="shared" si="12"/>
        <v>100</v>
      </c>
      <c r="X46" s="1567"/>
      <c r="Y46" s="3417"/>
      <c r="Z46" s="1575">
        <f t="shared" si="13"/>
        <v>0</v>
      </c>
      <c r="AA46" s="1576">
        <f t="shared" si="3"/>
        <v>1</v>
      </c>
      <c r="AB46" s="1576">
        <f t="shared" si="4"/>
        <v>1</v>
      </c>
      <c r="AC46" s="1576">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417"/>
      <c r="Q47" s="1572">
        <f t="shared" si="14"/>
        <v>0</v>
      </c>
      <c r="R47" s="1577" t="s">
        <v>8</v>
      </c>
      <c r="S47" s="1578">
        <f t="shared" si="10"/>
        <v>100</v>
      </c>
      <c r="T47" s="1577" t="s">
        <v>8</v>
      </c>
      <c r="U47" s="1578">
        <f t="shared" si="11"/>
        <v>100</v>
      </c>
      <c r="V47" s="1577" t="s">
        <v>8</v>
      </c>
      <c r="W47" s="1578">
        <f t="shared" si="12"/>
        <v>100</v>
      </c>
      <c r="X47" s="1579"/>
      <c r="Y47" s="3417"/>
      <c r="Z47" s="1580">
        <f t="shared" si="13"/>
        <v>0</v>
      </c>
      <c r="AA47" s="1576">
        <f t="shared" si="3"/>
        <v>1</v>
      </c>
      <c r="AB47" s="1576">
        <f t="shared" si="4"/>
        <v>1</v>
      </c>
      <c r="AC47" s="1576">
        <f t="shared" si="5"/>
        <v>1</v>
      </c>
    </row>
    <row r="48" spans="1:29" ht="20.25">
      <c r="A48" s="608" t="s">
        <v>557</v>
      </c>
      <c r="B48" s="609" t="s">
        <v>3020</v>
      </c>
      <c r="C48" s="610" t="s">
        <v>1</v>
      </c>
      <c r="D48" s="611"/>
      <c r="E48" s="612">
        <f>ROUND(10824.57,0)</f>
        <v>10825</v>
      </c>
      <c r="F48" s="613"/>
      <c r="G48" s="614">
        <f>ROUND(9743.61,0)</f>
        <v>9744</v>
      </c>
      <c r="H48" s="615"/>
      <c r="I48" s="612">
        <f>ROUND(10987.21,0)</f>
        <v>10987</v>
      </c>
      <c r="J48" s="615"/>
      <c r="K48" s="1340"/>
      <c r="L48" s="2145"/>
      <c r="M48" s="2133"/>
      <c r="N48" s="2133"/>
      <c r="O48" s="2146"/>
      <c r="P48" s="3379" t="str">
        <f>A48</f>
        <v>成交单价</v>
      </c>
      <c r="Q48" s="3379"/>
      <c r="R48" s="3380">
        <f>E48</f>
        <v>10825</v>
      </c>
      <c r="S48" s="3380"/>
      <c r="T48" s="3380">
        <f>G48</f>
        <v>9744</v>
      </c>
      <c r="U48" s="3380"/>
      <c r="V48" s="3380">
        <f>I48</f>
        <v>10987</v>
      </c>
      <c r="W48" s="3380"/>
      <c r="X48" s="1559"/>
      <c r="Y48" s="1581"/>
      <c r="Z48" s="1559"/>
      <c r="AA48" s="1559"/>
      <c r="AB48" s="1559"/>
      <c r="AC48" s="1559"/>
    </row>
    <row r="49" spans="1:29" ht="21" thickBot="1">
      <c r="A49" s="616" t="s">
        <v>2701</v>
      </c>
      <c r="B49" s="617"/>
      <c r="C49" s="618">
        <f>R50</f>
        <v>10669</v>
      </c>
      <c r="D49" s="619"/>
      <c r="E49" s="618">
        <f>R49</f>
        <v>10891</v>
      </c>
      <c r="F49" s="620"/>
      <c r="G49" s="621">
        <f>T49</f>
        <v>10062</v>
      </c>
      <c r="H49" s="619"/>
      <c r="I49" s="618">
        <f>V49</f>
        <v>11054</v>
      </c>
      <c r="J49" s="619"/>
      <c r="K49" s="1341"/>
      <c r="L49" s="2145"/>
      <c r="M49" s="2133"/>
      <c r="N49" s="2133"/>
      <c r="O49" s="2146"/>
      <c r="P49" s="3379" t="str">
        <f>A49</f>
        <v>比较价格（元/平方米）</v>
      </c>
      <c r="Q49" s="3379"/>
      <c r="R49" s="3381">
        <f>ROUND(PRODUCT(R48,AA9:AA47),0)</f>
        <v>10891</v>
      </c>
      <c r="S49" s="3381"/>
      <c r="T49" s="3381">
        <f>ROUND(PRODUCT(T48,AB9:AB47),0)</f>
        <v>10062</v>
      </c>
      <c r="U49" s="3381"/>
      <c r="V49" s="3381">
        <f>ROUND(PRODUCT(V48,AC9:AC47),0)</f>
        <v>11054</v>
      </c>
      <c r="W49" s="3381"/>
      <c r="X49" s="1559"/>
      <c r="Y49" s="1559"/>
      <c r="Z49" s="1559"/>
      <c r="AA49" s="1559"/>
      <c r="AB49" s="1559"/>
      <c r="AC49" s="1559"/>
    </row>
    <row r="50" spans="1:29" ht="21" thickBot="1">
      <c r="A50" s="622" t="s">
        <v>2943</v>
      </c>
      <c r="B50" s="623"/>
      <c r="C50" s="624">
        <f>R50</f>
        <v>10669</v>
      </c>
      <c r="D50" s="624"/>
      <c r="E50" s="624"/>
      <c r="F50" s="624"/>
      <c r="G50" s="624"/>
      <c r="H50" s="624"/>
      <c r="I50" s="624"/>
      <c r="J50" s="624"/>
      <c r="K50" s="1342"/>
      <c r="L50" s="2145"/>
      <c r="M50" s="2133"/>
      <c r="N50" s="2133"/>
      <c r="O50" s="2146"/>
      <c r="P50" s="3376" t="str">
        <f>A50</f>
        <v>估价对象XX用房的比较价格（楼面单价，元/平方米）</v>
      </c>
      <c r="Q50" s="3377"/>
      <c r="R50" s="3378">
        <f>ROUND(AVERAGE(R49:V49),0)</f>
        <v>10669</v>
      </c>
      <c r="S50" s="3378"/>
      <c r="T50" s="3378"/>
      <c r="U50" s="3378"/>
      <c r="V50" s="3378"/>
      <c r="W50" s="337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6.0969976905311807E-3</v>
      </c>
      <c r="F53" s="628" t="str">
        <f>IF(OR(E53&gt;=0.3,E53&lt;=-0.3),"超过30%","")</f>
        <v/>
      </c>
      <c r="G53" s="627">
        <f>IF(G48&lt;G49,G49/G48-1,G48/G49-1)</f>
        <v>3.2635467980295596E-2</v>
      </c>
      <c r="H53" s="628" t="str">
        <f>IF(OR(G53&gt;=0.3,G53&lt;=-0.3),"超过30%","")</f>
        <v/>
      </c>
      <c r="I53" s="627">
        <f>IF(I48&lt;I49,I49/I48-1,I48/I49-1)</f>
        <v>6.0981159552198072E-3</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8.238918704034992E-2</v>
      </c>
      <c r="F54" s="628" t="str">
        <f>IF(OR(E54&gt;=0.2,E54&lt;=-0.2),"超过20%","")</f>
        <v/>
      </c>
      <c r="G54" s="627">
        <f>IF(G49&lt;I49,I49/G49-1,G49/I49-1)</f>
        <v>9.8588749751540528E-2</v>
      </c>
      <c r="H54" s="628" t="str">
        <f>IF(OR(G54&gt;=0.2,G54&lt;=-0.2),"超过20%","")</f>
        <v/>
      </c>
      <c r="I54" s="627">
        <f>IF(I49&lt;E49,E49/I49-1,I49/E49-1)</f>
        <v>1.496648608943163E-2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f>IF(E48&lt;G48,G48/E48-1,E48/G48-1)</f>
        <v>0.11094006568144499</v>
      </c>
      <c r="F55" s="628" t="str">
        <f>IF(OR(E55&gt;=0.3,E55&lt;=-0.3),"超过30%","")</f>
        <v/>
      </c>
      <c r="G55" s="627">
        <f>IF(G48&lt;I48,I48/G48-1,G48/I48-1)</f>
        <v>0.1275656814449917</v>
      </c>
      <c r="H55" s="628" t="str">
        <f>IF(OR(G55&gt;=0.3,G55&lt;=-0.3),"超过30%","")</f>
        <v/>
      </c>
      <c r="I55" s="627">
        <f>IF(I48&lt;E48,E48/I48-1,I48/E48-1)</f>
        <v>1.4965357967667403E-2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561</v>
      </c>
      <c r="B57" s="631" t="s">
        <v>562</v>
      </c>
      <c r="C57" s="1560" t="s">
        <v>1726</v>
      </c>
      <c r="D57" s="2228" t="s">
        <v>2297</v>
      </c>
      <c r="E57" s="632" t="s">
        <v>563</v>
      </c>
      <c r="F57" s="633" t="s">
        <v>564</v>
      </c>
      <c r="G57" s="3406" t="s">
        <v>2285</v>
      </c>
      <c r="H57" s="3407"/>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4" t="s">
        <v>565</v>
      </c>
      <c r="B58" s="635">
        <f>C50</f>
        <v>10669</v>
      </c>
      <c r="C58" s="636">
        <v>1</v>
      </c>
      <c r="D58" s="2229">
        <v>1</v>
      </c>
      <c r="E58" s="636">
        <f>'数据-汇总表'!E8+'数据-汇总表'!E9</f>
        <v>113662.12</v>
      </c>
      <c r="F58" s="637">
        <f t="shared" ref="F58:F67" si="15">ROUND(B58*E58/10000,0)</f>
        <v>121266</v>
      </c>
      <c r="G58" s="3408"/>
      <c r="H58" s="340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566</v>
      </c>
      <c r="B59" s="639">
        <f>ROUND($C$50*C59*D59,0)</f>
        <v>0</v>
      </c>
      <c r="C59" s="379">
        <f t="shared" ref="C59:C67" si="16">IF($C$57="北京市系数",I59,J59)</f>
        <v>0</v>
      </c>
      <c r="D59" s="2230">
        <v>0.25</v>
      </c>
      <c r="E59" s="640">
        <v>0</v>
      </c>
      <c r="F59" s="637">
        <f t="shared" si="15"/>
        <v>0</v>
      </c>
      <c r="G59" s="341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567</v>
      </c>
      <c r="B60" s="639">
        <f t="shared" ref="B60:B67" si="17">ROUND($C$50*C60*D60,0)</f>
        <v>0</v>
      </c>
      <c r="C60" s="379">
        <f t="shared" si="16"/>
        <v>0</v>
      </c>
      <c r="D60" s="2230">
        <v>0.25</v>
      </c>
      <c r="E60" s="640">
        <v>0</v>
      </c>
      <c r="F60" s="637">
        <f t="shared" si="15"/>
        <v>0</v>
      </c>
      <c r="G60" s="341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568</v>
      </c>
      <c r="B61" s="639">
        <f t="shared" si="17"/>
        <v>0</v>
      </c>
      <c r="C61" s="379">
        <f t="shared" si="16"/>
        <v>0</v>
      </c>
      <c r="D61" s="2230">
        <v>0.25</v>
      </c>
      <c r="E61" s="640">
        <v>0</v>
      </c>
      <c r="F61" s="637">
        <f t="shared" si="15"/>
        <v>0</v>
      </c>
      <c r="G61" s="341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8" t="s">
        <v>569</v>
      </c>
      <c r="B62" s="639">
        <f t="shared" si="17"/>
        <v>0</v>
      </c>
      <c r="C62" s="379">
        <f t="shared" si="16"/>
        <v>0</v>
      </c>
      <c r="D62" s="2230">
        <v>0.25</v>
      </c>
      <c r="E62" s="640">
        <v>0</v>
      </c>
      <c r="F62" s="637">
        <f t="shared" si="15"/>
        <v>0</v>
      </c>
      <c r="G62" s="341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9">
        <f t="shared" si="17"/>
        <v>0</v>
      </c>
      <c r="C63" s="379">
        <f t="shared" si="16"/>
        <v>0</v>
      </c>
      <c r="D63" s="2230">
        <v>0.25</v>
      </c>
      <c r="E63" s="642">
        <f>'数据-汇总表'!E11</f>
        <v>0</v>
      </c>
      <c r="F63" s="637">
        <f t="shared" si="15"/>
        <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8" t="s">
        <v>570</v>
      </c>
      <c r="B64" s="639">
        <f t="shared" si="17"/>
        <v>0</v>
      </c>
      <c r="C64" s="379">
        <f t="shared" si="16"/>
        <v>0</v>
      </c>
      <c r="D64" s="2230">
        <v>0.25</v>
      </c>
      <c r="E64" s="642">
        <f>'数据-汇总表'!E12</f>
        <v>0</v>
      </c>
      <c r="F64" s="637">
        <f t="shared" si="15"/>
        <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8" t="s">
        <v>571</v>
      </c>
      <c r="B65" s="639">
        <f t="shared" si="17"/>
        <v>0</v>
      </c>
      <c r="C65" s="379">
        <f t="shared" si="16"/>
        <v>0</v>
      </c>
      <c r="D65" s="2230">
        <v>0.25</v>
      </c>
      <c r="E65" s="642">
        <f>'数据-汇总表'!E13</f>
        <v>0</v>
      </c>
      <c r="F65" s="637">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8" t="s">
        <v>572</v>
      </c>
      <c r="B66" s="639">
        <f t="shared" si="17"/>
        <v>0</v>
      </c>
      <c r="C66" s="379">
        <f t="shared" si="16"/>
        <v>0</v>
      </c>
      <c r="D66" s="2230">
        <v>0.25</v>
      </c>
      <c r="E66" s="642">
        <f>'数据-汇总表'!E14</f>
        <v>0</v>
      </c>
      <c r="F66" s="637">
        <f t="shared" si="15"/>
        <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8" t="s">
        <v>573</v>
      </c>
      <c r="B67" s="639">
        <f t="shared" si="17"/>
        <v>0</v>
      </c>
      <c r="C67" s="379">
        <f t="shared" si="16"/>
        <v>0</v>
      </c>
      <c r="D67" s="2230">
        <v>0.25</v>
      </c>
      <c r="E67" s="642">
        <f>'数据-汇总表'!E15</f>
        <v>0</v>
      </c>
      <c r="F67" s="637">
        <f t="shared" si="15"/>
        <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3" t="s">
        <v>574</v>
      </c>
      <c r="B68" s="644" t="s">
        <v>17</v>
      </c>
      <c r="C68" s="644" t="s">
        <v>18</v>
      </c>
      <c r="D68" s="644" t="s">
        <v>2298</v>
      </c>
      <c r="E68" s="644">
        <f>IF(B48="楼面地价",SUM(E58:E67),'数据-汇总表'!D3)</f>
        <v>113662.12</v>
      </c>
      <c r="F68" s="645">
        <f>IF(B48="楼面地价",SUM(F58:F67),ROUND(C50*E68/10000,0))</f>
        <v>121266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2018-2-1</v>
      </c>
      <c r="D70" s="2826">
        <f>EDATE(C70,-3)</f>
        <v>43040</v>
      </c>
      <c r="E70" s="2826">
        <f t="shared" ref="E70:N70" si="18">EDATE(D70,-3)</f>
        <v>42948</v>
      </c>
      <c r="F70" s="2826">
        <f t="shared" si="18"/>
        <v>42856</v>
      </c>
      <c r="G70" s="2826">
        <f t="shared" si="18"/>
        <v>42767</v>
      </c>
      <c r="H70" s="2826">
        <f t="shared" si="18"/>
        <v>42675</v>
      </c>
      <c r="I70" s="2826">
        <f t="shared" si="18"/>
        <v>42583</v>
      </c>
      <c r="J70" s="2826">
        <f t="shared" si="18"/>
        <v>42491</v>
      </c>
      <c r="K70" s="2826">
        <f t="shared" si="18"/>
        <v>42401</v>
      </c>
      <c r="L70" s="2826">
        <f t="shared" si="18"/>
        <v>42309</v>
      </c>
      <c r="M70" s="2826">
        <f t="shared" si="18"/>
        <v>42217</v>
      </c>
      <c r="N70" s="2826">
        <f t="shared" si="18"/>
        <v>42125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924</v>
      </c>
      <c r="B73" s="480" t="str">
        <f>"北京市平均增长率"&amp;TEXT(SUMIF(基准地价!N21:N25,A73,基准地价!P21:P25),"0.00%")</f>
        <v>北京市平均增长率0.00%</v>
      </c>
      <c r="C73" s="894">
        <v>100</v>
      </c>
      <c r="D73" s="731">
        <v>98</v>
      </c>
      <c r="E73" s="731">
        <v>96</v>
      </c>
      <c r="F73" s="731">
        <v>94</v>
      </c>
      <c r="G73" s="731">
        <v>92</v>
      </c>
      <c r="H73" s="731">
        <v>90</v>
      </c>
      <c r="I73" s="731">
        <v>88</v>
      </c>
      <c r="J73" s="731">
        <v>86</v>
      </c>
      <c r="K73" s="731">
        <v>84</v>
      </c>
      <c r="L73" s="731">
        <v>82</v>
      </c>
      <c r="M73" s="2819">
        <v>80</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2655</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5" t="s">
        <v>2987</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0</v>
      </c>
      <c r="D82" s="542">
        <v>1</v>
      </c>
      <c r="E82" s="542">
        <v>2</v>
      </c>
      <c r="F82" s="542">
        <v>3</v>
      </c>
      <c r="G82" s="542">
        <v>4</v>
      </c>
      <c r="H82" s="542">
        <v>5</v>
      </c>
      <c r="I82" s="542"/>
      <c r="J82" s="542"/>
      <c r="K82" s="685"/>
      <c r="L82" s="686"/>
      <c r="M82" s="687"/>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8"/>
      <c r="B84" s="674" t="str">
        <f>B14</f>
        <v>配建</v>
      </c>
      <c r="C84" s="689"/>
      <c r="D84" s="1376"/>
      <c r="E84" s="1377"/>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97</v>
      </c>
      <c r="E97" s="680">
        <f>D97-$K23</f>
        <v>94</v>
      </c>
      <c r="F97" s="680">
        <f>E97-$K23</f>
        <v>91</v>
      </c>
      <c r="G97" s="680">
        <f>F97-$K23</f>
        <v>88</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8"/>
      <c r="B102" s="1897" t="s">
        <v>2555</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8"/>
      <c r="B104" s="2622" t="s">
        <v>2557</v>
      </c>
      <c r="C104" s="2623" t="s">
        <v>2558</v>
      </c>
      <c r="D104" s="2623" t="s">
        <v>2559</v>
      </c>
      <c r="E104" s="2623" t="s">
        <v>2560</v>
      </c>
      <c r="F104" s="2623" t="s">
        <v>2561</v>
      </c>
      <c r="G104" s="2623" t="s">
        <v>2562</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2988</v>
      </c>
      <c r="D108" s="689" t="s">
        <v>2989</v>
      </c>
      <c r="E108" s="689" t="s">
        <v>2990</v>
      </c>
      <c r="F108" s="689" t="s">
        <v>2991</v>
      </c>
      <c r="G108" s="689" t="s">
        <v>2992</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2993</v>
      </c>
      <c r="D110" s="719" t="s">
        <v>2994</v>
      </c>
      <c r="E110" s="719" t="s">
        <v>2995</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5">C119&amp;"(含)"&amp;"-"&amp;D119</f>
        <v>0(含)-20000</v>
      </c>
      <c r="D118" s="705" t="str">
        <f t="shared" si="25"/>
        <v>20000(含)-40000</v>
      </c>
      <c r="E118" s="705" t="str">
        <f t="shared" si="25"/>
        <v>40000(含)-60000</v>
      </c>
      <c r="F118" s="705" t="str">
        <f t="shared" si="25"/>
        <v>60000(含)-80000</v>
      </c>
      <c r="G118" s="705" t="str">
        <f t="shared" si="25"/>
        <v>80000(含)-100000</v>
      </c>
      <c r="H118" s="705" t="str">
        <f t="shared" si="25"/>
        <v>100000(含)-</v>
      </c>
      <c r="I118" s="705"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20000</v>
      </c>
      <c r="E119" s="731">
        <v>40000</v>
      </c>
      <c r="F119" s="731">
        <v>60000</v>
      </c>
      <c r="G119" s="731">
        <v>80000</v>
      </c>
      <c r="H119" s="731">
        <v>100000</v>
      </c>
      <c r="I119" s="731"/>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3199">
        <v>100</v>
      </c>
      <c r="D120" s="3200">
        <v>100.5</v>
      </c>
      <c r="E120" s="3200">
        <v>101</v>
      </c>
      <c r="F120" s="3199">
        <v>101.5</v>
      </c>
      <c r="G120" s="3200">
        <v>102</v>
      </c>
      <c r="H120" s="3200">
        <v>102.5</v>
      </c>
      <c r="I120" s="727"/>
      <c r="J120" s="727"/>
      <c r="K120" s="727"/>
      <c r="L120" s="727"/>
      <c r="M120" s="728"/>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2996</v>
      </c>
      <c r="D121" s="719" t="s">
        <v>2997</v>
      </c>
      <c r="E121" s="719" t="s">
        <v>2998</v>
      </c>
      <c r="F121" s="719" t="s">
        <v>2999</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3000</v>
      </c>
      <c r="D123" s="689" t="s">
        <v>3001</v>
      </c>
      <c r="E123" s="689" t="s">
        <v>3002</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9"/>
      <c r="B125" s="1897" t="s">
        <v>2430</v>
      </c>
      <c r="C125" s="1376" t="s">
        <v>3003</v>
      </c>
      <c r="D125" s="1376" t="s">
        <v>3004</v>
      </c>
      <c r="E125" s="1376" t="s">
        <v>3005</v>
      </c>
      <c r="F125" s="1376" t="s">
        <v>3006</v>
      </c>
      <c r="G125" s="1376" t="s">
        <v>3007</v>
      </c>
      <c r="H125" s="3166" t="s">
        <v>3008</v>
      </c>
      <c r="I125" s="3166" t="s">
        <v>3009</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3010</v>
      </c>
      <c r="D127" s="689" t="s">
        <v>3011</v>
      </c>
      <c r="E127" s="719" t="s">
        <v>3012</v>
      </c>
      <c r="F127" s="719" t="s">
        <v>3013</v>
      </c>
      <c r="G127" s="719" t="s">
        <v>3014</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2" t="str">
        <f>项目基本情况!B1</f>
        <v>出让国有建设用地使用权抵押价格预评估</v>
      </c>
      <c r="C37" s="3202"/>
      <c r="D37" s="3202"/>
      <c r="E37" s="3202"/>
      <c r="F37" s="3202"/>
      <c r="G37" s="3202"/>
      <c r="H37" s="3202"/>
      <c r="I37" s="3202"/>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王鹏、郑燚</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L7" sqref="L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3">
        <f>MATCH(B1,'数据-取费表'!A6:A16,0)+5</f>
        <v>7</v>
      </c>
    </row>
    <row r="2" spans="1:31" s="2042" customFormat="1" ht="18" customHeight="1">
      <c r="A2" s="2102" t="s">
        <v>467</v>
      </c>
      <c r="B2" s="2106">
        <f ca="1">C36</f>
        <v>138950</v>
      </c>
      <c r="C2" s="2105"/>
      <c r="D2" s="2105"/>
      <c r="E2" s="2105"/>
      <c r="F2" s="2105"/>
      <c r="G2" s="2105"/>
      <c r="H2" s="2105"/>
      <c r="I2" s="2105"/>
      <c r="J2" s="2105"/>
      <c r="K2" s="2105"/>
    </row>
    <row r="3" spans="1:31" s="2042" customFormat="1" ht="18" customHeight="1">
      <c r="A3" s="2107" t="s">
        <v>1686</v>
      </c>
      <c r="B3" s="2108">
        <f ca="1">ROUND(B2*10000/IF(B1="",'数据-汇总表'!E3,INDIRECT("'数据-取费表'!K"&amp;$K$1)),0)</f>
        <v>12225</v>
      </c>
      <c r="C3" s="2105"/>
      <c r="D3" s="2105"/>
      <c r="E3" s="2105"/>
      <c r="F3" s="2105"/>
      <c r="G3" s="2105"/>
      <c r="H3" s="2105"/>
      <c r="I3" s="2105"/>
      <c r="J3" s="2105"/>
      <c r="K3" s="2105"/>
    </row>
    <row r="4" spans="1:31" s="2042" customFormat="1" ht="18" customHeight="1">
      <c r="A4" s="427" t="s">
        <v>468</v>
      </c>
      <c r="B4" s="428">
        <f ca="1">ROUND(B2*10000/IF(B1="",'数据-汇总表'!D3,INDIRECT("'数据-取费表'!R"&amp;$K$1)),0)</f>
        <v>37897</v>
      </c>
      <c r="C4" s="429"/>
      <c r="D4" s="423"/>
      <c r="E4" s="423"/>
      <c r="F4" s="423"/>
      <c r="G4" s="423"/>
      <c r="H4" s="423"/>
      <c r="I4" s="423"/>
      <c r="J4" s="423"/>
      <c r="K4" s="423"/>
    </row>
    <row r="5" spans="1:31" s="2042" customFormat="1" ht="18" customHeight="1" thickBot="1">
      <c r="A5" s="430"/>
      <c r="B5" s="431">
        <f ca="1">ROUND(B2/(IF(B1="",'数据-汇总表'!D3,INDIRECT("'数据-取费表'!R"&amp;$K$1))/666.67),0)</f>
        <v>2526</v>
      </c>
      <c r="C5" s="432" t="s">
        <v>469</v>
      </c>
      <c r="D5" s="423"/>
      <c r="E5" s="423"/>
      <c r="F5" s="423"/>
      <c r="G5" s="423"/>
      <c r="H5" s="423"/>
      <c r="I5" s="423"/>
      <c r="J5" s="423"/>
      <c r="K5" s="423"/>
    </row>
    <row r="6" spans="1:31" s="2112" customFormat="1" ht="16.5" customHeight="1">
      <c r="A6" s="2855" t="s">
        <v>1844</v>
      </c>
      <c r="B6" s="2856"/>
      <c r="C6" s="2857">
        <f>SUM(C10:K10)</f>
        <v>200602</v>
      </c>
      <c r="D6" s="2856"/>
      <c r="E6" s="2856"/>
      <c r="F6" s="2856"/>
      <c r="G6" s="2856"/>
      <c r="H6" s="2856"/>
      <c r="I6" s="2856"/>
      <c r="J6" s="2856"/>
      <c r="K6" s="2858"/>
    </row>
    <row r="7" spans="1:31" s="2114" customFormat="1" ht="15">
      <c r="A7" s="2859" t="s">
        <v>470</v>
      </c>
      <c r="B7" s="2860" t="s">
        <v>471</v>
      </c>
      <c r="C7" s="437" t="s">
        <v>924</v>
      </c>
      <c r="D7" s="437"/>
      <c r="E7" s="437"/>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1847</v>
      </c>
      <c r="B8" s="259" t="s">
        <v>472</v>
      </c>
      <c r="C8" s="2861">
        <f>'不动产比较法-住宅'!B3</f>
        <v>17649</v>
      </c>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1848</v>
      </c>
      <c r="B9" s="259" t="s">
        <v>473</v>
      </c>
      <c r="C9" s="442">
        <f>SUMIF('数据-汇总表'!$C19:$C33,'剩余法-待开发'!C7,'数据-汇总表'!$E19:$E33)</f>
        <v>113662.12</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5">
        <f>'不动产比较法-住宅'!B2</f>
        <v>200602</v>
      </c>
      <c r="D10" s="3055"/>
      <c r="E10" s="3055"/>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1">
        <f ca="1">IF(B1="",'数据-取费表'!P16,INDIRECT("'数据-取费表'!p"&amp;$K$1)+INDIRECT("'数据-取费表'!t"&amp;$K$1))</f>
        <v>18186</v>
      </c>
      <c r="D13" s="2871"/>
      <c r="E13" s="2872"/>
      <c r="F13" s="2873"/>
      <c r="G13" s="2839"/>
      <c r="H13" s="2840"/>
      <c r="I13" s="2840"/>
      <c r="J13" s="2840"/>
      <c r="K13" s="2841"/>
    </row>
    <row r="14" spans="1:31" s="2117" customFormat="1" ht="13.5" customHeight="1">
      <c r="A14" s="2869" t="s">
        <v>1851</v>
      </c>
      <c r="B14" s="2870" t="s">
        <v>480</v>
      </c>
      <c r="C14" s="53">
        <f ca="1">ROUND(C13*F14,0)</f>
        <v>546</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909</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1705</v>
      </c>
      <c r="D16" s="2871">
        <f ca="1">IF(B1="",'数据-汇总表'!E3,INDIRECT("'数据-取费表'!K"&amp;$K$1)+INDIRECT("'数据-取费表'!S"&amp;$K$1))</f>
        <v>113662.12</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273</v>
      </c>
      <c r="D17" s="476"/>
      <c r="E17" s="2875"/>
      <c r="F17" s="2876">
        <f>'数据-取费表'!B36</f>
        <v>1.4999999999999999E-2</v>
      </c>
      <c r="G17" s="259" t="s">
        <v>486</v>
      </c>
      <c r="H17" s="2842"/>
      <c r="I17" s="2842"/>
      <c r="J17" s="2842"/>
      <c r="K17" s="277"/>
    </row>
    <row r="18" spans="1:14" s="2117" customFormat="1" ht="13.5" customHeight="1">
      <c r="A18" s="2877" t="s">
        <v>1855</v>
      </c>
      <c r="B18" s="2878" t="s">
        <v>487</v>
      </c>
      <c r="C18" s="2879">
        <f ca="1">SUM(C13:C17)</f>
        <v>21619</v>
      </c>
      <c r="D18" s="2880"/>
      <c r="E18" s="469"/>
      <c r="F18" s="469"/>
      <c r="G18" s="2843" t="s">
        <v>2435</v>
      </c>
      <c r="H18" s="2844"/>
      <c r="I18" s="2844"/>
      <c r="J18" s="2844"/>
      <c r="K18" s="2845"/>
    </row>
    <row r="19" spans="1:14" s="2117" customFormat="1" ht="13.5" customHeight="1">
      <c r="A19" s="2877" t="s">
        <v>1856</v>
      </c>
      <c r="B19" s="2878" t="s">
        <v>488</v>
      </c>
      <c r="C19" s="2835">
        <f ca="1">ROUND(D19*E19/10000,0)</f>
        <v>568</v>
      </c>
      <c r="D19" s="2881">
        <f ca="1">D16</f>
        <v>113662.12</v>
      </c>
      <c r="E19" s="2835">
        <f>'数据-取费表'!B32</f>
        <v>50</v>
      </c>
      <c r="F19" s="469"/>
      <c r="G19" s="2839" t="s">
        <v>489</v>
      </c>
      <c r="H19" s="2840"/>
      <c r="I19" s="2844"/>
      <c r="J19" s="2844"/>
      <c r="K19" s="2845"/>
    </row>
    <row r="20" spans="1:14" s="2117" customFormat="1" ht="13.5" customHeight="1">
      <c r="A20" s="2877" t="s">
        <v>1857</v>
      </c>
      <c r="B20" s="2878" t="s">
        <v>490</v>
      </c>
      <c r="C20" s="2835">
        <f ca="1">C21+C22-IF(B1="",'数据-取费表'!B29,IF(G20="已全部缴纳",C21+C22,H20))</f>
        <v>1705</v>
      </c>
      <c r="D20" s="2881"/>
      <c r="E20" s="2835"/>
      <c r="F20" s="2882"/>
      <c r="G20" s="3115"/>
      <c r="H20" s="2837"/>
      <c r="I20" s="2838" t="s">
        <v>2659</v>
      </c>
      <c r="J20" s="2844"/>
      <c r="K20" s="2845"/>
    </row>
    <row r="21" spans="1:14" s="2117" customFormat="1" ht="13.5" customHeight="1">
      <c r="A21" s="2869" t="s">
        <v>1858</v>
      </c>
      <c r="B21" s="2870" t="s">
        <v>491</v>
      </c>
      <c r="C21" s="53">
        <f ca="1">ROUND(D21*E21/10000,0)</f>
        <v>1705</v>
      </c>
      <c r="D21" s="2871">
        <f ca="1">IF(B1="",'数据-汇总表'!E5,IF(INDIRECT("'数据-取费表'!c"&amp;$K$1)="住宅",INDIRECT("'数据-取费表'!k"&amp;$K$1),0))</f>
        <v>113662.12</v>
      </c>
      <c r="E21" s="53">
        <f>'数据-取费表'!B27</f>
        <v>150</v>
      </c>
      <c r="F21" s="2874"/>
      <c r="G21" s="26"/>
      <c r="H21" s="51"/>
      <c r="I21" s="51"/>
      <c r="J21" s="51"/>
      <c r="K21" s="2846"/>
    </row>
    <row r="22" spans="1:14" s="2117" customFormat="1" ht="13.5" customHeight="1">
      <c r="A22" s="2869" t="s">
        <v>1859</v>
      </c>
      <c r="B22" s="2870" t="s">
        <v>492</v>
      </c>
      <c r="C22" s="53">
        <f ca="1">ROUND(D22*E22/10000,0)</f>
        <v>0</v>
      </c>
      <c r="D22" s="2871">
        <f ca="1">IF(B1="",'数据-汇总表'!E6,IF(INDIRECT("'数据-取费表'!c"&amp;$K$1)="住宅",INDIRECT("'数据-取费表'!s"&amp;$K$1),INDIRECT("'数据-取费表'!k"&amp;$K$1)+INDIRECT("'数据-取费表'!s"&amp;$K$1)))</f>
        <v>0</v>
      </c>
      <c r="E22" s="53">
        <f>'数据-取费表'!B28</f>
        <v>220</v>
      </c>
      <c r="F22" s="2874"/>
      <c r="G22" s="26"/>
      <c r="H22" s="51"/>
      <c r="I22" s="51"/>
      <c r="J22" s="51"/>
      <c r="K22" s="2846"/>
    </row>
    <row r="23" spans="1:14" s="2117" customFormat="1" ht="13.5" customHeight="1">
      <c r="A23" s="2877" t="s">
        <v>1860</v>
      </c>
      <c r="B23" s="3061" t="s">
        <v>2842</v>
      </c>
      <c r="C23" s="2879">
        <f ca="1">ROUND((C18+C19+C20)*F23,0)</f>
        <v>239</v>
      </c>
      <c r="D23" s="469"/>
      <c r="E23" s="469"/>
      <c r="F23" s="2883">
        <f>'数据-取费表'!B37</f>
        <v>0.01</v>
      </c>
      <c r="G23" s="2839" t="s">
        <v>2436</v>
      </c>
      <c r="H23" s="2840"/>
      <c r="I23" s="2840"/>
      <c r="J23" s="2840"/>
      <c r="K23" s="2841"/>
      <c r="L23" s="2119"/>
      <c r="M23" s="2119"/>
      <c r="N23" s="2119"/>
    </row>
    <row r="24" spans="1:14" s="2117" customFormat="1" ht="13.5" customHeight="1">
      <c r="A24" s="2877" t="s">
        <v>1861</v>
      </c>
      <c r="B24" s="3061" t="s">
        <v>2845</v>
      </c>
      <c r="C24" s="2879">
        <f>ROUND(C6*F24,0)</f>
        <v>3009</v>
      </c>
      <c r="D24" s="476"/>
      <c r="E24" s="474"/>
      <c r="F24" s="2883">
        <f>'数据-取费表'!B38</f>
        <v>1.4999999999999999E-2</v>
      </c>
      <c r="G24" s="2848" t="s">
        <v>499</v>
      </c>
      <c r="H24" s="2842"/>
      <c r="I24" s="2842"/>
      <c r="J24" s="2842"/>
      <c r="K24" s="277"/>
      <c r="L24" s="2119"/>
      <c r="M24" s="2119"/>
      <c r="N24" s="2119"/>
    </row>
    <row r="25" spans="1:14" s="2120" customFormat="1" ht="13.5" customHeight="1">
      <c r="A25" s="2877" t="s">
        <v>1862</v>
      </c>
      <c r="B25" s="3061" t="s">
        <v>2843</v>
      </c>
      <c r="C25" s="468">
        <f>ROUND(F25/(1+'数据-取费表'!C42),4)</f>
        <v>2.9000000000000001E-2</v>
      </c>
      <c r="D25" s="463" t="s">
        <v>2837</v>
      </c>
      <c r="E25" s="470"/>
      <c r="F25" s="2883">
        <f>'数据-取费表'!B48+'数据-取费表'!B49</f>
        <v>3.0499999999999999E-2</v>
      </c>
      <c r="G25" s="2847" t="s">
        <v>2293</v>
      </c>
      <c r="H25" s="2840"/>
      <c r="I25" s="2840"/>
      <c r="J25" s="2840"/>
      <c r="K25" s="2841"/>
    </row>
    <row r="26" spans="1:14" s="2119" customFormat="1" ht="13.5" customHeight="1">
      <c r="A26" s="2877" t="s">
        <v>1863</v>
      </c>
      <c r="B26" s="3062" t="s">
        <v>2844</v>
      </c>
      <c r="C26" s="2884">
        <f ca="1">C28</f>
        <v>961</v>
      </c>
      <c r="D26" s="468">
        <f ca="1">C27</f>
        <v>7.4200000000000002E-2</v>
      </c>
      <c r="E26" s="470" t="s">
        <v>495</v>
      </c>
      <c r="F26" s="472">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1858</v>
      </c>
      <c r="B27" s="2885" t="s">
        <v>496</v>
      </c>
      <c r="C27" s="2886">
        <f ca="1">ROUND(IF('数据-取费表'!B22&lt;=1,(1+C25)*F26*'数据-取费表'!B24,(1+C25)*(POWER((1+F26),'数据-取费表'!B24)-1)),4)</f>
        <v>7.4200000000000002E-2</v>
      </c>
      <c r="D27" s="473"/>
      <c r="E27" s="474"/>
      <c r="F27" s="475"/>
      <c r="G27" s="2597" t="str">
        <f>IF('数据-取费表'!B22&lt;=1,"（1+取得税费率/(1+5%)）×年利率×建设期","（1+取得税费率）/(1+5%)×((1+年利率)^建设期-1)")</f>
        <v>（1+取得税费率）/(1+5%)×((1+年利率)^建设期-1)</v>
      </c>
      <c r="H27" s="2842"/>
      <c r="I27" s="2842"/>
      <c r="J27" s="2842"/>
      <c r="K27" s="277"/>
    </row>
    <row r="28" spans="1:14" s="2121" customFormat="1" ht="13.5" customHeight="1">
      <c r="A28" s="804" t="s">
        <v>1859</v>
      </c>
      <c r="B28" s="2885" t="s">
        <v>2846</v>
      </c>
      <c r="C28" s="2887">
        <f ca="1">ROUND(IF('数据-取费表'!B22&lt;=1,(C18+C19+C20+C23+C24)*F26*'数据-取费表'!B24/2,(C18+C19+C20+C23+C24)*(POWER((1+F26),'数据-取费表'!B24/2)-1)),0)</f>
        <v>961</v>
      </c>
      <c r="D28" s="473"/>
      <c r="E28" s="474"/>
      <c r="F28" s="475"/>
      <c r="G28" s="2597" t="str">
        <f>IF('数据-取费表'!B22&lt;=1,"（1）-（4）项×年利率×建设期÷2","（1）-（4）项×((1+年利率)^(建设期÷2)-1)")</f>
        <v>（1）-（4）项×((1+年利率)^(建设期÷2)-1)</v>
      </c>
      <c r="H28" s="2842"/>
      <c r="I28" s="2842"/>
      <c r="J28" s="2842"/>
      <c r="K28" s="277"/>
    </row>
    <row r="29" spans="1:14" s="2121" customFormat="1" ht="13.5" customHeight="1">
      <c r="A29" s="2888" t="s">
        <v>1864</v>
      </c>
      <c r="B29" s="2878" t="s">
        <v>497</v>
      </c>
      <c r="C29" s="2879">
        <f>ROUND(C6*F29/(1+'数据-取费表'!C42),0)</f>
        <v>10699</v>
      </c>
      <c r="D29" s="469"/>
      <c r="E29" s="469"/>
      <c r="F29" s="3063">
        <f>'数据-取费表'!B41</f>
        <v>5.6000000000000001E-2</v>
      </c>
      <c r="G29" s="2848" t="s">
        <v>498</v>
      </c>
      <c r="H29" s="2840"/>
      <c r="I29" s="2840"/>
      <c r="J29" s="2840"/>
      <c r="K29" s="2841"/>
    </row>
    <row r="30" spans="1:14" s="2122" customFormat="1" ht="13.5" customHeight="1">
      <c r="A30" s="1635" t="s">
        <v>1865</v>
      </c>
      <c r="B30" s="2889" t="s">
        <v>500</v>
      </c>
      <c r="C30" s="2884">
        <f ca="1">C31</f>
        <v>38800</v>
      </c>
      <c r="D30" s="478">
        <f ca="1">C32</f>
        <v>0.1032</v>
      </c>
      <c r="E30" s="470" t="s">
        <v>495</v>
      </c>
      <c r="F30" s="472"/>
      <c r="G30" s="2839" t="s">
        <v>501</v>
      </c>
      <c r="H30" s="2840"/>
      <c r="I30" s="2840"/>
      <c r="J30" s="2840"/>
      <c r="K30" s="2841"/>
    </row>
    <row r="31" spans="1:14" s="2121" customFormat="1" ht="13.5" customHeight="1">
      <c r="A31" s="804" t="s">
        <v>1858</v>
      </c>
      <c r="B31" s="2885"/>
      <c r="C31" s="451">
        <f ca="1">C18+C19+C20+C23+C24+C26+C29</f>
        <v>38800</v>
      </c>
      <c r="D31" s="473"/>
      <c r="E31" s="474"/>
      <c r="F31" s="475"/>
      <c r="G31" s="259"/>
      <c r="H31" s="2842"/>
      <c r="I31" s="2842"/>
      <c r="J31" s="2842"/>
      <c r="K31" s="277"/>
    </row>
    <row r="32" spans="1:14" s="2121" customFormat="1" ht="13.5" customHeight="1">
      <c r="A32" s="804" t="s">
        <v>1859</v>
      </c>
      <c r="B32" s="2885"/>
      <c r="C32" s="53">
        <f ca="1">ROUND(C25+D26,4)</f>
        <v>0.1032</v>
      </c>
      <c r="D32" s="473"/>
      <c r="E32" s="474"/>
      <c r="F32" s="475"/>
      <c r="G32" s="259"/>
      <c r="H32" s="2842"/>
      <c r="I32" s="2842"/>
      <c r="J32" s="2842"/>
      <c r="K32" s="277"/>
    </row>
    <row r="33" spans="1:11" s="2123" customFormat="1" ht="13.5" customHeight="1">
      <c r="A33" s="3060" t="s">
        <v>2841</v>
      </c>
      <c r="B33" s="3058" t="s">
        <v>2839</v>
      </c>
      <c r="C33" s="479">
        <f ca="1">C35</f>
        <v>1357</v>
      </c>
      <c r="D33" s="468">
        <f ca="1">C34</f>
        <v>5.1499999999999997E-2</v>
      </c>
      <c r="E33" s="470" t="s">
        <v>495</v>
      </c>
      <c r="F33" s="480">
        <f ca="1">IF(B1="",'数据-取费表'!Q16,INDIRECT("'数据-取费表'!q"&amp;$K$1))</f>
        <v>0.05</v>
      </c>
      <c r="G33" s="2843"/>
      <c r="H33" s="2844"/>
      <c r="I33" s="2844"/>
      <c r="J33" s="2844"/>
      <c r="K33" s="2845"/>
    </row>
    <row r="34" spans="1:11" s="2124" customFormat="1" ht="13.5" customHeight="1">
      <c r="A34" s="376" t="s">
        <v>1858</v>
      </c>
      <c r="B34" s="2890" t="s">
        <v>502</v>
      </c>
      <c r="C34" s="473">
        <f ca="1">ROUND((1+C25)*F33,4)</f>
        <v>5.1499999999999997E-2</v>
      </c>
      <c r="D34" s="473"/>
      <c r="E34" s="474"/>
      <c r="F34" s="481"/>
      <c r="G34" s="259" t="s">
        <v>2294</v>
      </c>
      <c r="H34" s="2842"/>
      <c r="I34" s="2842"/>
      <c r="J34" s="2842"/>
      <c r="K34" s="277"/>
    </row>
    <row r="35" spans="1:11" s="2124" customFormat="1" ht="13.5" customHeight="1" thickBot="1">
      <c r="A35" s="1636" t="s">
        <v>1859</v>
      </c>
      <c r="B35" s="3059" t="s">
        <v>2847</v>
      </c>
      <c r="C35" s="1628">
        <f ca="1">ROUND((C18+C19+C20+C23+C24)*F33,0)</f>
        <v>1357</v>
      </c>
      <c r="D35" s="1629"/>
      <c r="E35" s="2891"/>
      <c r="F35" s="1630"/>
      <c r="G35" s="2849"/>
      <c r="H35" s="2850"/>
      <c r="I35" s="2850"/>
      <c r="J35" s="2850"/>
      <c r="K35" s="2851"/>
    </row>
    <row r="36" spans="1:11" s="2086" customFormat="1" ht="13.5" customHeight="1" thickBot="1">
      <c r="A36" s="282" t="s">
        <v>1846</v>
      </c>
      <c r="B36" s="2853"/>
      <c r="C36" s="2892">
        <f ca="1">ROUND((C6-C30-C33)/(1+D30+D33),0)</f>
        <v>138950</v>
      </c>
      <c r="D36" s="2853"/>
      <c r="E36" s="2853"/>
      <c r="F36" s="2853"/>
      <c r="G36" s="2852" t="s">
        <v>2848</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2" t="s">
        <v>466</v>
      </c>
      <c r="B1" s="2836"/>
      <c r="C1" s="2105"/>
      <c r="D1" s="2105"/>
      <c r="E1" s="2105"/>
      <c r="F1" s="2105"/>
      <c r="G1" s="2105"/>
      <c r="H1" s="2105"/>
      <c r="I1" s="2105"/>
      <c r="J1" s="2105"/>
      <c r="K1" s="423">
        <f>MATCH(B1,'数据-取费表'!A6:A16,0)+5</f>
        <v>7</v>
      </c>
    </row>
    <row r="2" spans="1:41" s="2042" customFormat="1" ht="18" customHeight="1">
      <c r="A2" s="424" t="s">
        <v>467</v>
      </c>
      <c r="B2" s="425">
        <f ca="1">C32</f>
        <v>0</v>
      </c>
      <c r="C2" s="2105"/>
      <c r="D2" s="2105"/>
      <c r="E2" s="2105"/>
      <c r="F2" s="2105"/>
      <c r="G2" s="2105"/>
      <c r="H2" s="2105"/>
      <c r="I2" s="2105"/>
      <c r="J2" s="2105"/>
      <c r="K2" s="2105"/>
    </row>
    <row r="3" spans="1:41" s="2042" customFormat="1" ht="18" customHeight="1">
      <c r="A3" s="1379" t="s">
        <v>1686</v>
      </c>
      <c r="B3" s="426">
        <f ca="1">ROUND(B2*10000/IF(B1="",'数据-汇总表'!E3,INDIRECT("'数据-取费表'!K"&amp;$K$1)),0)</f>
        <v>0</v>
      </c>
      <c r="C3" s="2105"/>
      <c r="D3" s="2105"/>
      <c r="E3" s="2105"/>
      <c r="F3" s="2105"/>
      <c r="G3" s="2105"/>
      <c r="H3" s="2105"/>
      <c r="I3" s="2105"/>
      <c r="J3" s="2105"/>
      <c r="K3" s="2105"/>
    </row>
    <row r="4" spans="1:41" s="2042" customFormat="1" ht="18" customHeight="1">
      <c r="A4" s="427" t="s">
        <v>468</v>
      </c>
      <c r="B4" s="428">
        <f ca="1">ROUND(B2*10000/IF(B1="",'数据-汇总表'!D3,INDIRECT("'数据-取费表'!R"&amp;$K$1)),0)</f>
        <v>0</v>
      </c>
      <c r="C4" s="2062"/>
      <c r="D4" s="2105"/>
      <c r="E4" s="2105"/>
      <c r="F4" s="2105"/>
      <c r="G4" s="2105"/>
      <c r="H4" s="2105"/>
      <c r="I4" s="2105"/>
      <c r="J4" s="2105"/>
      <c r="K4" s="2105"/>
    </row>
    <row r="5" spans="1:41" s="2042" customFormat="1" ht="18" customHeight="1" thickBot="1">
      <c r="A5" s="430"/>
      <c r="B5" s="431">
        <f ca="1">ROUND(B2/(IF(B1="",'数据-汇总表'!D3,INDIRECT("'数据-取费表'!R"&amp;$K$1))/666.67),0)</f>
        <v>0</v>
      </c>
      <c r="C5" s="432" t="s">
        <v>469</v>
      </c>
      <c r="D5" s="2105"/>
      <c r="E5" s="2105"/>
      <c r="F5" s="2105"/>
      <c r="G5" s="2105"/>
      <c r="H5" s="2105"/>
      <c r="I5" s="2105"/>
      <c r="J5" s="2105"/>
      <c r="K5" s="2105"/>
    </row>
    <row r="6" spans="1:41" s="2112" customFormat="1" ht="16.5" customHeight="1">
      <c r="A6" s="433" t="s">
        <v>2660</v>
      </c>
      <c r="B6" s="434"/>
      <c r="C6" s="1623">
        <f>SUM(C10:K10)</f>
        <v>0</v>
      </c>
      <c r="D6" s="2110"/>
      <c r="E6" s="2110"/>
      <c r="F6" s="2110"/>
      <c r="G6" s="2110"/>
      <c r="H6" s="2110"/>
      <c r="I6" s="2110"/>
      <c r="J6" s="2110"/>
      <c r="K6" s="2111"/>
    </row>
    <row r="7" spans="1:41" s="2114" customFormat="1" ht="15">
      <c r="A7" s="435" t="s">
        <v>470</v>
      </c>
      <c r="B7" s="436" t="s">
        <v>471</v>
      </c>
      <c r="C7" s="437"/>
      <c r="D7" s="437"/>
      <c r="E7" s="437"/>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9" t="s">
        <v>472</v>
      </c>
      <c r="C8" s="440"/>
      <c r="D8" s="440"/>
      <c r="E8" s="440"/>
      <c r="F8" s="440"/>
      <c r="G8" s="440"/>
      <c r="H8" s="440"/>
      <c r="I8" s="440"/>
      <c r="J8" s="440"/>
      <c r="K8" s="441"/>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5" t="s">
        <v>470</v>
      </c>
      <c r="B12" s="445" t="s">
        <v>471</v>
      </c>
      <c r="C12" s="446" t="s">
        <v>475</v>
      </c>
      <c r="D12" s="447" t="s">
        <v>476</v>
      </c>
      <c r="E12" s="447" t="s">
        <v>477</v>
      </c>
      <c r="F12" s="447" t="s">
        <v>478</v>
      </c>
      <c r="G12" s="445"/>
      <c r="H12" s="448"/>
      <c r="I12" s="448"/>
      <c r="J12" s="448"/>
      <c r="K12" s="449"/>
    </row>
    <row r="13" spans="1:41" s="2117" customFormat="1" ht="13.5" customHeight="1">
      <c r="A13" s="1633" t="s">
        <v>1850</v>
      </c>
      <c r="B13" s="450" t="s">
        <v>479</v>
      </c>
      <c r="C13" s="451">
        <f ca="1">IF(B1="",'数据-取费表'!M16,INDIRECT("'数据-取费表'!M"&amp;$K$1)+INDIRECT("'数据-取费表'!t"&amp;$K$1))</f>
        <v>18186</v>
      </c>
      <c r="D13" s="452"/>
      <c r="E13" s="366"/>
      <c r="F13" s="453"/>
      <c r="G13" s="445"/>
      <c r="H13" s="448"/>
      <c r="I13" s="448"/>
      <c r="J13" s="448"/>
      <c r="K13" s="449"/>
    </row>
    <row r="14" spans="1:41" s="2117" customFormat="1" ht="13.5" customHeight="1">
      <c r="A14" s="1633" t="s">
        <v>1851</v>
      </c>
      <c r="B14" s="450" t="s">
        <v>480</v>
      </c>
      <c r="C14" s="53">
        <f ca="1">ROUND(C13*F14,0)</f>
        <v>546</v>
      </c>
      <c r="D14" s="452"/>
      <c r="E14" s="366"/>
      <c r="F14" s="454">
        <f>'数据-取费表'!B33</f>
        <v>0.03</v>
      </c>
      <c r="G14" s="445" t="s">
        <v>503</v>
      </c>
      <c r="H14" s="448"/>
      <c r="I14" s="448"/>
      <c r="J14" s="448"/>
      <c r="K14" s="449"/>
    </row>
    <row r="15" spans="1:41" s="2117" customFormat="1" ht="13.5" customHeight="1">
      <c r="A15" s="1633" t="s">
        <v>1852</v>
      </c>
      <c r="B15" s="450" t="s">
        <v>482</v>
      </c>
      <c r="C15" s="53">
        <f ca="1">ROUND(IF(B1="",SUMIF('数据-取费表'!C:C,"住宅",'数据-取费表'!M:M)*F15,IF(INDIRECT("'数据-取费表'!c"&amp;$K$1)="住宅",INDIRECT("'数据-取费表'!M"&amp;$K$1)*F15,0)),0)</f>
        <v>909</v>
      </c>
      <c r="D15" s="452"/>
      <c r="E15" s="366"/>
      <c r="F15" s="454">
        <f>'数据-取费表'!B34</f>
        <v>0.05</v>
      </c>
      <c r="G15" s="445" t="s">
        <v>503</v>
      </c>
      <c r="H15" s="448"/>
      <c r="I15" s="448"/>
      <c r="J15" s="448"/>
      <c r="K15" s="449"/>
    </row>
    <row r="16" spans="1:41" s="2118" customFormat="1" ht="13.5" customHeight="1">
      <c r="A16" s="1633" t="s">
        <v>1853</v>
      </c>
      <c r="B16" s="450" t="s">
        <v>484</v>
      </c>
      <c r="C16" s="53">
        <f ca="1">ROUND(D16*E16/10000,0)</f>
        <v>1705</v>
      </c>
      <c r="D16" s="452">
        <f ca="1">IF(B1="",'数据-汇总表'!E3,INDIRECT("'数据-取费表'!K"&amp;$K$1)+INDIRECT("'数据-取费表'!S"&amp;$K$1))</f>
        <v>113662.12</v>
      </c>
      <c r="E16" s="53">
        <f>'数据-取费表'!B35</f>
        <v>150</v>
      </c>
      <c r="F16" s="454"/>
      <c r="G16" s="445"/>
      <c r="H16" s="448"/>
      <c r="I16" s="448"/>
      <c r="J16" s="448"/>
      <c r="K16" s="449"/>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50" t="s">
        <v>485</v>
      </c>
      <c r="C17" s="455">
        <f ca="1">ROUND(C13*F17,0)</f>
        <v>273</v>
      </c>
      <c r="D17" s="456"/>
      <c r="E17" s="455"/>
      <c r="F17" s="457">
        <f>'数据-取费表'!B36</f>
        <v>1.4999999999999999E-2</v>
      </c>
      <c r="G17" s="445" t="s">
        <v>503</v>
      </c>
      <c r="H17" s="458"/>
      <c r="I17" s="458"/>
      <c r="J17" s="458"/>
      <c r="K17" s="459"/>
    </row>
    <row r="18" spans="1:14" s="2120" customFormat="1" ht="13.5" customHeight="1">
      <c r="A18" s="1634" t="s">
        <v>1855</v>
      </c>
      <c r="B18" s="460" t="s">
        <v>487</v>
      </c>
      <c r="C18" s="461">
        <f ca="1">SUM(C13:C17)</f>
        <v>21619</v>
      </c>
      <c r="D18" s="462"/>
      <c r="E18" s="463"/>
      <c r="F18" s="463"/>
      <c r="G18" s="1327" t="s">
        <v>2437</v>
      </c>
      <c r="H18" s="448"/>
      <c r="I18" s="448"/>
      <c r="J18" s="448"/>
      <c r="K18" s="449"/>
    </row>
    <row r="19" spans="1:14" s="2120" customFormat="1" ht="13.5" customHeight="1">
      <c r="A19" s="1634" t="s">
        <v>1856</v>
      </c>
      <c r="B19" s="460" t="s">
        <v>493</v>
      </c>
      <c r="C19" s="461">
        <f ca="1">ROUND(C18*F19,0)</f>
        <v>216</v>
      </c>
      <c r="D19" s="463"/>
      <c r="E19" s="463"/>
      <c r="F19" s="467">
        <f>'数据-取费表'!B37</f>
        <v>0.01</v>
      </c>
      <c r="G19" s="445" t="s">
        <v>504</v>
      </c>
      <c r="H19" s="448"/>
      <c r="I19" s="448"/>
      <c r="J19" s="448"/>
      <c r="K19" s="449"/>
      <c r="L19" s="2122"/>
      <c r="M19" s="2122"/>
      <c r="N19" s="2122"/>
    </row>
    <row r="20" spans="1:14" s="2120" customFormat="1" ht="13.5" customHeight="1">
      <c r="A20" s="1634" t="s">
        <v>1857</v>
      </c>
      <c r="B20" s="460" t="s">
        <v>505</v>
      </c>
      <c r="C20" s="3056">
        <f>F20</f>
        <v>1.4999999999999999E-2</v>
      </c>
      <c r="D20" s="470" t="s">
        <v>506</v>
      </c>
      <c r="E20" s="470"/>
      <c r="F20" s="487">
        <f>'数据-取费表'!B38</f>
        <v>1.4999999999999999E-2</v>
      </c>
      <c r="G20" s="1327" t="s">
        <v>507</v>
      </c>
      <c r="H20" s="448"/>
      <c r="I20" s="448"/>
      <c r="J20" s="448"/>
      <c r="K20" s="449"/>
      <c r="L20" s="2122"/>
      <c r="M20" s="2122"/>
      <c r="N20" s="2122"/>
    </row>
    <row r="21" spans="1:14" s="2122" customFormat="1" ht="13.5" customHeight="1">
      <c r="A21" s="1634" t="s">
        <v>1860</v>
      </c>
      <c r="B21" s="462" t="s">
        <v>494</v>
      </c>
      <c r="C21" s="471">
        <f ca="1">C22</f>
        <v>773</v>
      </c>
      <c r="D21" s="468">
        <f ca="1">C23</f>
        <v>5.0000000000000001E-4</v>
      </c>
      <c r="E21" s="470" t="s">
        <v>508</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19" t="s">
        <v>2459</v>
      </c>
    </row>
    <row r="22" spans="1:14" s="2121" customFormat="1" ht="13.5" customHeight="1">
      <c r="A22" s="1633" t="s">
        <v>1850</v>
      </c>
      <c r="B22" s="1328" t="s">
        <v>2440</v>
      </c>
      <c r="C22" s="488">
        <f ca="1">ROUND(IF('数据-取费表'!B22&lt;=1,(C18+C19)*F21*'数据-取费表'!B20/2,(C18+C19)*(POWER((1+F21),'数据-取费表'!B20/2)-1)),0)</f>
        <v>773</v>
      </c>
      <c r="D22" s="473"/>
      <c r="E22" s="474"/>
      <c r="F22" s="475"/>
      <c r="G22" s="2592" t="str">
        <f>IF('数据-取费表'!B22&lt;=1,"((1)+(2))×年利率×建设期÷2","((1)+(2))×((1+年利率)^(建设期÷2)-1)")</f>
        <v>((1)+(2))×((1+年利率)^(建设期÷2)-1)</v>
      </c>
      <c r="H22" s="458"/>
      <c r="I22" s="458"/>
      <c r="J22" s="458"/>
      <c r="K22" s="459"/>
    </row>
    <row r="23" spans="1:14" s="2121" customFormat="1" ht="13.5" customHeight="1">
      <c r="A23" s="1633" t="s">
        <v>1851</v>
      </c>
      <c r="B23" s="1328" t="s">
        <v>509</v>
      </c>
      <c r="C23" s="489">
        <f ca="1">ROUND(IF('数据-取费表'!B22&lt;=1,F20*F21*'数据-取费表'!B20/2,F20*(POWER((1+F21),'数据-取费表'!B20/2)-1)),4)</f>
        <v>5.0000000000000001E-4</v>
      </c>
      <c r="D23" s="473"/>
      <c r="E23" s="474"/>
      <c r="F23" s="475"/>
      <c r="G23" s="2592" t="str">
        <f>IF('数据-取费表'!B22&lt;=1,"销售费用率×年利率×建设期÷2","销售费用率×((1+年利率)^(建设期÷2)-1)")</f>
        <v>销售费用率×((1+年利率)^(建设期÷2)-1)</v>
      </c>
      <c r="H23" s="458"/>
      <c r="I23" s="458"/>
      <c r="J23" s="458"/>
      <c r="K23" s="459"/>
    </row>
    <row r="24" spans="1:14" s="2121" customFormat="1" ht="13.5" customHeight="1">
      <c r="A24" s="1634" t="s">
        <v>1861</v>
      </c>
      <c r="B24" s="3058" t="s">
        <v>2840</v>
      </c>
      <c r="C24" s="479">
        <f ca="1">C25</f>
        <v>1092</v>
      </c>
      <c r="D24" s="490">
        <f ca="1">C26</f>
        <v>8.0000000000000004E-4</v>
      </c>
      <c r="E24" s="470" t="s">
        <v>508</v>
      </c>
      <c r="F24" s="480">
        <f ca="1">IF(B1="",'数据-取费表'!Q16,INDIRECT("'数据-取费表'!q"&amp;$K$1))</f>
        <v>0.05</v>
      </c>
      <c r="G24" s="445"/>
      <c r="H24" s="448"/>
      <c r="I24" s="448"/>
      <c r="J24" s="448"/>
      <c r="K24" s="449"/>
    </row>
    <row r="25" spans="1:14" s="2121" customFormat="1" ht="13.5" customHeight="1">
      <c r="A25" s="1633" t="s">
        <v>1850</v>
      </c>
      <c r="B25" s="1328" t="s">
        <v>2441</v>
      </c>
      <c r="C25" s="491">
        <f ca="1">ROUND((C18+C19)*F24,0)</f>
        <v>1092</v>
      </c>
      <c r="D25" s="473"/>
      <c r="E25" s="474"/>
      <c r="F25" s="481"/>
      <c r="G25" s="1326" t="s">
        <v>2438</v>
      </c>
      <c r="H25" s="458"/>
      <c r="I25" s="458"/>
      <c r="J25" s="458"/>
      <c r="K25" s="459"/>
    </row>
    <row r="26" spans="1:14" s="2121" customFormat="1" ht="13.5" customHeight="1">
      <c r="A26" s="1633" t="s">
        <v>1851</v>
      </c>
      <c r="B26" s="1328" t="s">
        <v>510</v>
      </c>
      <c r="C26" s="492">
        <f ca="1">ROUND(F20*F24,4)</f>
        <v>8.0000000000000004E-4</v>
      </c>
      <c r="D26" s="473"/>
      <c r="E26" s="482"/>
      <c r="F26" s="481"/>
      <c r="G26" s="1326" t="s">
        <v>511</v>
      </c>
      <c r="H26" s="458"/>
      <c r="I26" s="458"/>
      <c r="J26" s="458"/>
      <c r="K26" s="459"/>
    </row>
    <row r="27" spans="1:14" s="2121" customFormat="1" ht="13.5" customHeight="1">
      <c r="A27" s="1637" t="s">
        <v>1869</v>
      </c>
      <c r="B27" s="460" t="s">
        <v>512</v>
      </c>
      <c r="C27" s="3057">
        <f>ROUND(F27/(1+'数据-取费表'!C42),4)</f>
        <v>5.33E-2</v>
      </c>
      <c r="D27" s="463" t="s">
        <v>2838</v>
      </c>
      <c r="E27" s="463"/>
      <c r="F27" s="467">
        <f>'数据-取费表'!B41</f>
        <v>5.6000000000000001E-2</v>
      </c>
      <c r="G27" s="1961" t="s">
        <v>2295</v>
      </c>
      <c r="H27" s="448"/>
      <c r="I27" s="448"/>
      <c r="J27" s="448"/>
      <c r="K27" s="449"/>
    </row>
    <row r="28" spans="1:14" s="2122" customFormat="1" ht="13.5" customHeight="1">
      <c r="A28" s="1637" t="s">
        <v>1870</v>
      </c>
      <c r="B28" s="477" t="s">
        <v>513</v>
      </c>
      <c r="C28" s="471">
        <f ca="1">ROUND((C18+C19+C21+C24)/(1-C20-D21-D24-C27),0)</f>
        <v>25473</v>
      </c>
      <c r="D28" s="478"/>
      <c r="E28" s="470"/>
      <c r="F28" s="472"/>
      <c r="G28" s="1327" t="s">
        <v>2439</v>
      </c>
      <c r="H28" s="448"/>
      <c r="I28" s="448"/>
      <c r="J28" s="448"/>
      <c r="K28" s="449"/>
    </row>
    <row r="29" spans="1:14" s="2122" customFormat="1" ht="13.5" customHeight="1">
      <c r="A29" s="1637" t="s">
        <v>1871</v>
      </c>
      <c r="B29" s="477" t="s">
        <v>514</v>
      </c>
      <c r="C29" s="493">
        <f ca="1">IF(B1="",'数据-取费表'!N16,INDIRECT("'数据-取费表'!N"&amp;$K$1))</f>
        <v>0</v>
      </c>
      <c r="D29" s="494"/>
      <c r="E29" s="495"/>
      <c r="F29" s="496"/>
      <c r="G29" s="445"/>
      <c r="H29" s="448"/>
      <c r="I29" s="448"/>
      <c r="J29" s="448"/>
      <c r="K29" s="449"/>
    </row>
    <row r="30" spans="1:14" s="2122" customFormat="1" ht="13.5" customHeight="1">
      <c r="A30" s="444">
        <v>2</v>
      </c>
      <c r="B30" s="477" t="s">
        <v>515</v>
      </c>
      <c r="C30" s="498">
        <f ca="1">ROUND(C28*C29,0)</f>
        <v>0</v>
      </c>
      <c r="D30" s="494"/>
      <c r="E30" s="499"/>
      <c r="F30" s="500"/>
      <c r="G30" s="1329" t="s">
        <v>516</v>
      </c>
      <c r="H30" s="497"/>
      <c r="I30" s="497"/>
      <c r="J30" s="448"/>
      <c r="K30" s="449"/>
    </row>
    <row r="31" spans="1:14" s="2127" customFormat="1" ht="13.5" customHeight="1">
      <c r="A31" s="2507" t="s">
        <v>1867</v>
      </c>
      <c r="B31" s="1330"/>
      <c r="C31" s="501">
        <f>ROUND(C6*F31/(1+'数据-取费表'!C42),0)</f>
        <v>0</v>
      </c>
      <c r="D31" s="1331"/>
      <c r="E31" s="1331"/>
      <c r="F31" s="502">
        <f>'数据-取费表'!B41</f>
        <v>5.6000000000000001E-2</v>
      </c>
      <c r="G31" s="1332"/>
      <c r="H31" s="1332"/>
      <c r="I31" s="1332"/>
      <c r="J31" s="1333"/>
      <c r="K31" s="1334"/>
    </row>
    <row r="32" spans="1:14" s="2086"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8"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509"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1"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9"/>
      <c r="AC3" s="429"/>
    </row>
    <row r="4" spans="1:29" s="1336" customFormat="1" ht="28.5" customHeight="1">
      <c r="A4" s="512" t="s">
        <v>521</v>
      </c>
      <c r="B4" s="428"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9"/>
    </row>
    <row r="5" spans="1:29" s="1336" customFormat="1" ht="28.5" customHeight="1" thickBot="1">
      <c r="A5" s="430"/>
      <c r="B5" s="431" t="e">
        <f>ROUND(B2/('数据-汇总表'!D3/666.67),0)</f>
        <v>#DIV/0!</v>
      </c>
      <c r="C5" s="432"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9"/>
    </row>
    <row r="6" spans="1:29" ht="15">
      <c r="A6" s="513" t="s">
        <v>522</v>
      </c>
      <c r="B6" s="514"/>
      <c r="C6" s="3385" t="s">
        <v>523</v>
      </c>
      <c r="D6" s="3386"/>
      <c r="E6" s="3420" t="s">
        <v>524</v>
      </c>
      <c r="F6" s="3421"/>
      <c r="G6" s="3385" t="s">
        <v>525</v>
      </c>
      <c r="H6" s="3386"/>
      <c r="I6" s="3385" t="s">
        <v>526</v>
      </c>
      <c r="J6" s="3386"/>
      <c r="K6" s="515" t="s">
        <v>527</v>
      </c>
      <c r="L6" s="2134"/>
      <c r="M6" s="2135"/>
      <c r="N6" s="2135"/>
      <c r="O6" s="2135"/>
      <c r="P6" s="3387" t="s">
        <v>528</v>
      </c>
      <c r="Q6" s="3388"/>
      <c r="R6" s="3393" t="s">
        <v>524</v>
      </c>
      <c r="S6" s="3394"/>
      <c r="T6" s="3393" t="s">
        <v>525</v>
      </c>
      <c r="U6" s="3394"/>
      <c r="V6" s="3380" t="s">
        <v>526</v>
      </c>
      <c r="W6" s="3380"/>
      <c r="X6" s="1567"/>
      <c r="Y6" s="3393" t="s">
        <v>528</v>
      </c>
      <c r="Z6" s="3394"/>
      <c r="AA6" s="3382" t="s">
        <v>524</v>
      </c>
      <c r="AB6" s="3383" t="s">
        <v>525</v>
      </c>
      <c r="AC6" s="3382" t="s">
        <v>526</v>
      </c>
    </row>
    <row r="7" spans="1:29" ht="15">
      <c r="A7" s="516"/>
      <c r="B7" s="517"/>
      <c r="C7" s="3403" t="s">
        <v>2937</v>
      </c>
      <c r="D7" s="3402"/>
      <c r="E7" s="3422" t="s">
        <v>2938</v>
      </c>
      <c r="F7" s="3423"/>
      <c r="G7" s="3403" t="s">
        <v>2939</v>
      </c>
      <c r="H7" s="3402"/>
      <c r="I7" s="3403" t="s">
        <v>2940</v>
      </c>
      <c r="J7" s="3402"/>
      <c r="K7" s="515"/>
      <c r="L7" s="2134"/>
      <c r="M7" s="2135"/>
      <c r="N7" s="2135"/>
      <c r="O7" s="2135"/>
      <c r="P7" s="3389"/>
      <c r="Q7" s="3390"/>
      <c r="R7" s="3395"/>
      <c r="S7" s="3396"/>
      <c r="T7" s="3395"/>
      <c r="U7" s="3396"/>
      <c r="V7" s="3380"/>
      <c r="W7" s="3380"/>
      <c r="X7" s="1567"/>
      <c r="Y7" s="3395"/>
      <c r="Z7" s="3396"/>
      <c r="AA7" s="3383"/>
      <c r="AB7" s="3383"/>
      <c r="AC7" s="3383"/>
    </row>
    <row r="8" spans="1:29" ht="15.75" thickBot="1">
      <c r="A8" s="518"/>
      <c r="B8" s="519"/>
      <c r="C8" s="3399" t="s">
        <v>2941</v>
      </c>
      <c r="D8" s="3400"/>
      <c r="E8" s="3418" t="s">
        <v>2941</v>
      </c>
      <c r="F8" s="3419"/>
      <c r="G8" s="3399" t="s">
        <v>2941</v>
      </c>
      <c r="H8" s="3400"/>
      <c r="I8" s="3399" t="s">
        <v>2941</v>
      </c>
      <c r="J8" s="3400"/>
      <c r="K8" s="515" t="s">
        <v>529</v>
      </c>
      <c r="L8" s="2134"/>
      <c r="M8" s="2135"/>
      <c r="N8" s="2135"/>
      <c r="O8" s="2135"/>
      <c r="P8" s="3391"/>
      <c r="Q8" s="3392"/>
      <c r="R8" s="3395"/>
      <c r="S8" s="3396"/>
      <c r="T8" s="3397"/>
      <c r="U8" s="3398"/>
      <c r="V8" s="3380"/>
      <c r="W8" s="3380"/>
      <c r="X8" s="1567"/>
      <c r="Y8" s="3397"/>
      <c r="Z8" s="3398"/>
      <c r="AA8" s="3384"/>
      <c r="AB8" s="3384"/>
      <c r="AC8" s="3384"/>
    </row>
    <row r="9" spans="1:29" s="1220" customFormat="1" ht="15.75" thickBot="1">
      <c r="A9" s="2939"/>
      <c r="B9" s="2946" t="s">
        <v>530</v>
      </c>
      <c r="C9" s="520">
        <f>'数据-取费表'!B2</f>
        <v>43138</v>
      </c>
      <c r="D9" s="521">
        <v>100</v>
      </c>
      <c r="E9" s="522"/>
      <c r="F9" s="523">
        <f>SUMIF(67:67,YEAR(E9)&amp;"-"&amp;INT((MONTH(E9)+2)/3),68:68)</f>
        <v>0</v>
      </c>
      <c r="G9" s="524"/>
      <c r="H9" s="521">
        <f>SUMIF(67:67,YEAR(G9)&amp;"-"&amp;INT((MONTH(G9)+2)/3),68:68)</f>
        <v>0</v>
      </c>
      <c r="I9" s="524"/>
      <c r="J9" s="521">
        <f>SUMIF(67:67,YEAR(I9)&amp;"-"&amp;INT((MONTH(I9)+2)/3),68:68)</f>
        <v>0</v>
      </c>
      <c r="K9" s="525"/>
      <c r="L9" s="2136"/>
      <c r="M9" s="2137"/>
      <c r="N9" s="2137"/>
      <c r="O9" s="2137"/>
      <c r="P9" s="3411" t="s">
        <v>531</v>
      </c>
      <c r="Q9" s="3413"/>
      <c r="R9" s="1568" t="s">
        <v>8</v>
      </c>
      <c r="S9" s="1569">
        <f t="shared" ref="S9:S17" si="0">F9</f>
        <v>0</v>
      </c>
      <c r="T9" s="1568" t="s">
        <v>8</v>
      </c>
      <c r="U9" s="1569">
        <f t="shared" ref="U9:U17" si="1">H9</f>
        <v>0</v>
      </c>
      <c r="V9" s="1568" t="s">
        <v>8</v>
      </c>
      <c r="W9" s="1569">
        <f t="shared" ref="W9:W17" si="2">J9</f>
        <v>0</v>
      </c>
      <c r="X9" s="1570"/>
      <c r="Y9" s="3411" t="s">
        <v>531</v>
      </c>
      <c r="Z9" s="3412"/>
      <c r="AA9" s="1571" t="e">
        <f>D9/F9</f>
        <v>#DIV/0!</v>
      </c>
      <c r="AB9" s="1571" t="e">
        <f>D9/H9</f>
        <v>#DIV/0!</v>
      </c>
      <c r="AC9" s="1571" t="e">
        <f>D9/J9</f>
        <v>#DIV/0!</v>
      </c>
    </row>
    <row r="10" spans="1:29" s="1220" customFormat="1" ht="15.75" thickBot="1">
      <c r="A10" s="2940"/>
      <c r="B10" s="2947"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6"/>
      <c r="M10" s="2137"/>
      <c r="N10" s="2137"/>
      <c r="O10" s="2137"/>
      <c r="P10" s="3411" t="s">
        <v>534</v>
      </c>
      <c r="Q10" s="3412"/>
      <c r="R10" s="1568" t="s">
        <v>8</v>
      </c>
      <c r="S10" s="1569">
        <f t="shared" si="0"/>
        <v>0</v>
      </c>
      <c r="T10" s="1568" t="s">
        <v>8</v>
      </c>
      <c r="U10" s="1569">
        <f t="shared" si="1"/>
        <v>0</v>
      </c>
      <c r="V10" s="1568" t="s">
        <v>8</v>
      </c>
      <c r="W10" s="1569">
        <f t="shared" si="2"/>
        <v>0</v>
      </c>
      <c r="X10" s="1570"/>
      <c r="Y10" s="3411" t="s">
        <v>534</v>
      </c>
      <c r="Z10" s="3412"/>
      <c r="AA10" s="1571" t="e">
        <f t="shared" ref="AA10:AA42" si="3">D10/F10</f>
        <v>#DIV/0!</v>
      </c>
      <c r="AB10" s="1571" t="e">
        <f t="shared" ref="AB10:AB42" si="4">D10/H10</f>
        <v>#DIV/0!</v>
      </c>
      <c r="AC10" s="1571" t="e">
        <f t="shared" ref="AC10:AC42" si="5">D10/J10</f>
        <v>#DIV/0!</v>
      </c>
    </row>
    <row r="11" spans="1:29" s="1220" customFormat="1" ht="15">
      <c r="A11" s="2941"/>
      <c r="B11" s="2948" t="s">
        <v>2764</v>
      </c>
      <c r="C11" s="527"/>
      <c r="D11" s="252">
        <v>100</v>
      </c>
      <c r="E11" s="527"/>
      <c r="F11" s="252">
        <f>SUMIF(72:72,E11,73:73)-SUMIF(72:72,C11,73:73)+100</f>
        <v>100</v>
      </c>
      <c r="G11" s="527"/>
      <c r="H11" s="252">
        <f>SUMIF(72:72,G11,73:73)-SUMIF(72:72,C11,73:73)+100</f>
        <v>100</v>
      </c>
      <c r="I11" s="527"/>
      <c r="J11" s="252">
        <f>SUMIF(72:72,I11,73:73)-SUMIF(72:72,C11,73:73)+100</f>
        <v>100</v>
      </c>
      <c r="K11" s="525"/>
      <c r="L11" s="2136"/>
      <c r="M11" s="2137"/>
      <c r="N11" s="2137"/>
      <c r="O11" s="2138"/>
      <c r="P11" s="3379" t="s">
        <v>536</v>
      </c>
      <c r="Q11" s="1151" t="str">
        <f t="shared" ref="Q11:Q17" si="6">B11</f>
        <v>用途</v>
      </c>
      <c r="R11" s="1568" t="s">
        <v>8</v>
      </c>
      <c r="S11" s="1569">
        <f t="shared" si="0"/>
        <v>100</v>
      </c>
      <c r="T11" s="1568" t="s">
        <v>8</v>
      </c>
      <c r="U11" s="1569">
        <f t="shared" si="1"/>
        <v>100</v>
      </c>
      <c r="V11" s="1568" t="s">
        <v>8</v>
      </c>
      <c r="W11" s="1569">
        <f t="shared" si="2"/>
        <v>100</v>
      </c>
      <c r="X11" s="1570"/>
      <c r="Y11" s="3325" t="s">
        <v>537</v>
      </c>
      <c r="Z11" s="1150" t="str">
        <f t="shared" ref="Z11:Z17" si="7">Q11</f>
        <v>用途</v>
      </c>
      <c r="AA11" s="1571">
        <f t="shared" si="3"/>
        <v>1</v>
      </c>
      <c r="AB11" s="1571">
        <f t="shared" si="4"/>
        <v>1</v>
      </c>
      <c r="AC11" s="1571">
        <f t="shared" si="5"/>
        <v>1</v>
      </c>
    </row>
    <row r="12" spans="1:29" s="1338" customFormat="1" ht="27">
      <c r="A12" s="2942"/>
      <c r="B12" s="2947" t="s">
        <v>2765</v>
      </c>
      <c r="C12" s="529"/>
      <c r="D12" s="253">
        <v>100</v>
      </c>
      <c r="E12" s="529"/>
      <c r="F12" s="253">
        <f>ROUND(100/'数据-取费表'!G16,0)</f>
        <v>100</v>
      </c>
      <c r="G12" s="529"/>
      <c r="H12" s="253">
        <f>ROUND(100/'数据-取费表'!G16,0)</f>
        <v>100</v>
      </c>
      <c r="I12" s="529"/>
      <c r="J12" s="253">
        <f>ROUND(100/'数据-取费表'!G16,0)</f>
        <v>100</v>
      </c>
      <c r="K12" s="532"/>
      <c r="L12" s="2139"/>
      <c r="M12" s="2179"/>
      <c r="N12" s="2179"/>
      <c r="O12" s="2140"/>
      <c r="P12" s="3379"/>
      <c r="Q12" s="1151" t="str">
        <f t="shared" si="6"/>
        <v>土地使用年限（年）</v>
      </c>
      <c r="R12" s="1568" t="s">
        <v>8</v>
      </c>
      <c r="S12" s="1569">
        <f t="shared" si="0"/>
        <v>100</v>
      </c>
      <c r="T12" s="1568" t="s">
        <v>8</v>
      </c>
      <c r="U12" s="1569">
        <f t="shared" si="1"/>
        <v>100</v>
      </c>
      <c r="V12" s="1568" t="s">
        <v>8</v>
      </c>
      <c r="W12" s="1569">
        <f t="shared" si="2"/>
        <v>100</v>
      </c>
      <c r="X12" s="1570"/>
      <c r="Y12" s="3325"/>
      <c r="Z12" s="1150" t="str">
        <f t="shared" si="7"/>
        <v>土地使用年限（年）</v>
      </c>
      <c r="AA12" s="1571">
        <f t="shared" si="3"/>
        <v>1</v>
      </c>
      <c r="AB12" s="1571">
        <f t="shared" si="4"/>
        <v>1</v>
      </c>
      <c r="AC12" s="1571">
        <f t="shared" si="5"/>
        <v>1</v>
      </c>
    </row>
    <row r="13" spans="1:29" ht="15">
      <c r="A13" s="2943"/>
      <c r="B13" s="2947" t="s">
        <v>2766</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1"/>
      <c r="M13" s="2135"/>
      <c r="N13" s="2135"/>
      <c r="O13" s="2142"/>
      <c r="P13" s="3379"/>
      <c r="Q13" s="1151" t="str">
        <f t="shared" si="6"/>
        <v>容积率</v>
      </c>
      <c r="R13" s="1568" t="s">
        <v>8</v>
      </c>
      <c r="S13" s="1569" t="e">
        <f t="shared" si="0"/>
        <v>#N/A</v>
      </c>
      <c r="T13" s="1568" t="s">
        <v>8</v>
      </c>
      <c r="U13" s="1569" t="e">
        <f t="shared" si="1"/>
        <v>#N/A</v>
      </c>
      <c r="V13" s="1568" t="s">
        <v>8</v>
      </c>
      <c r="W13" s="1569" t="e">
        <f t="shared" si="2"/>
        <v>#N/A</v>
      </c>
      <c r="X13" s="1570"/>
      <c r="Y13" s="3325"/>
      <c r="Z13" s="1150" t="str">
        <f t="shared" si="7"/>
        <v>容积率</v>
      </c>
      <c r="AA13" s="1571" t="e">
        <f t="shared" si="3"/>
        <v>#N/A</v>
      </c>
      <c r="AB13" s="1571" t="e">
        <f t="shared" si="4"/>
        <v>#N/A</v>
      </c>
      <c r="AC13" s="1571" t="e">
        <f t="shared" si="5"/>
        <v>#N/A</v>
      </c>
    </row>
    <row r="14" spans="1:29" s="1220" customFormat="1" ht="15">
      <c r="A14" s="2944"/>
      <c r="B14" s="2950">
        <v>111</v>
      </c>
      <c r="C14" s="529"/>
      <c r="D14" s="539">
        <v>100</v>
      </c>
      <c r="E14" s="542"/>
      <c r="F14" s="253">
        <f>SUMIF(79:79,E14,80:80)-SUMIF(79:79,C14,80:80)+100</f>
        <v>100</v>
      </c>
      <c r="G14" s="543"/>
      <c r="H14" s="253">
        <f>SUMIF(79:79,G14,80:80)-SUMIF(79:79,C14,80:80)+100</f>
        <v>100</v>
      </c>
      <c r="I14" s="542"/>
      <c r="J14" s="253">
        <f>SUMIF(79:79,I14,80:80)-SUMIF(79:79,C14,80:80)+100</f>
        <v>100</v>
      </c>
      <c r="K14" s="532"/>
      <c r="L14" s="2136"/>
      <c r="M14" s="2137"/>
      <c r="N14" s="2137"/>
      <c r="O14" s="2138"/>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D14/F14</f>
        <v>1</v>
      </c>
      <c r="AB14" s="1571">
        <f>D14/H14</f>
        <v>1</v>
      </c>
      <c r="AC14" s="1571">
        <f>D14/J14</f>
        <v>1</v>
      </c>
    </row>
    <row r="15" spans="1:29" ht="15">
      <c r="A15" s="2944"/>
      <c r="B15" s="2950">
        <v>111</v>
      </c>
      <c r="C15" s="540"/>
      <c r="D15" s="541">
        <v>100</v>
      </c>
      <c r="E15" s="542"/>
      <c r="F15" s="253">
        <f>SUMIF(81:81,E15,82:82)-SUMIF(81:81,C15,82:82)+100</f>
        <v>100</v>
      </c>
      <c r="G15" s="543"/>
      <c r="H15" s="541">
        <f>SUMIF(81:81,G15,82:82)-SUMIF(81:81,C15,82:82)+100</f>
        <v>100</v>
      </c>
      <c r="I15" s="542"/>
      <c r="J15" s="541">
        <f>SUMIF(81:81,I15,82:82)-SUMIF(81:81,C15,82:82)+100</f>
        <v>100</v>
      </c>
      <c r="K15" s="532"/>
      <c r="L15" s="2143"/>
      <c r="M15" s="2135"/>
      <c r="N15" s="2135"/>
      <c r="O15" s="2142"/>
      <c r="P15" s="3379"/>
      <c r="Q15" s="1151">
        <f t="shared" si="6"/>
        <v>111</v>
      </c>
      <c r="R15" s="1568" t="s">
        <v>8</v>
      </c>
      <c r="S15" s="1569">
        <f t="shared" si="0"/>
        <v>100</v>
      </c>
      <c r="T15" s="1568" t="s">
        <v>8</v>
      </c>
      <c r="U15" s="1569">
        <f t="shared" si="1"/>
        <v>100</v>
      </c>
      <c r="V15" s="1568" t="s">
        <v>8</v>
      </c>
      <c r="W15" s="1569">
        <f t="shared" si="2"/>
        <v>100</v>
      </c>
      <c r="X15" s="1570"/>
      <c r="Y15" s="3325"/>
      <c r="Z15" s="1150">
        <f t="shared" si="7"/>
        <v>111</v>
      </c>
      <c r="AA15" s="1571">
        <f t="shared" si="3"/>
        <v>1</v>
      </c>
      <c r="AB15" s="1571">
        <f t="shared" si="4"/>
        <v>1</v>
      </c>
      <c r="AC15" s="1571">
        <f t="shared" si="5"/>
        <v>1</v>
      </c>
    </row>
    <row r="16" spans="1:29" ht="15.75" thickBot="1">
      <c r="A16" s="2945"/>
      <c r="B16" s="2951">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379"/>
      <c r="Q16" s="1151">
        <f t="shared" si="6"/>
        <v>111</v>
      </c>
      <c r="R16" s="1568" t="s">
        <v>8</v>
      </c>
      <c r="S16" s="1569">
        <f t="shared" si="0"/>
        <v>100</v>
      </c>
      <c r="T16" s="1568" t="s">
        <v>8</v>
      </c>
      <c r="U16" s="1569">
        <f t="shared" si="1"/>
        <v>100</v>
      </c>
      <c r="V16" s="1568" t="s">
        <v>8</v>
      </c>
      <c r="W16" s="1569">
        <f t="shared" si="2"/>
        <v>100</v>
      </c>
      <c r="X16" s="1570"/>
      <c r="Y16" s="3325"/>
      <c r="Z16" s="1150">
        <f t="shared" si="7"/>
        <v>111</v>
      </c>
      <c r="AA16" s="1571">
        <f t="shared" si="3"/>
        <v>1</v>
      </c>
      <c r="AB16" s="1571">
        <f t="shared" si="4"/>
        <v>1</v>
      </c>
      <c r="AC16" s="1571">
        <f t="shared" si="5"/>
        <v>1</v>
      </c>
    </row>
    <row r="17" spans="1:29" ht="57">
      <c r="A17" s="2937" t="s">
        <v>2762</v>
      </c>
      <c r="B17" s="165"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414" t="s">
        <v>541</v>
      </c>
      <c r="Q17" s="1572" t="str">
        <f t="shared" si="6"/>
        <v>产业集聚程度</v>
      </c>
      <c r="R17" s="1573" t="s">
        <v>8</v>
      </c>
      <c r="S17" s="1574">
        <f t="shared" si="0"/>
        <v>100</v>
      </c>
      <c r="T17" s="1573" t="s">
        <v>8</v>
      </c>
      <c r="U17" s="1574">
        <f t="shared" si="1"/>
        <v>100</v>
      </c>
      <c r="V17" s="1573" t="s">
        <v>8</v>
      </c>
      <c r="W17" s="1574">
        <f t="shared" si="2"/>
        <v>100</v>
      </c>
      <c r="X17" s="1567"/>
      <c r="Y17" s="3414" t="s">
        <v>541</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415"/>
      <c r="Q18" s="1572"/>
      <c r="R18" s="1573"/>
      <c r="S18" s="1574"/>
      <c r="T18" s="1573"/>
      <c r="U18" s="1574"/>
      <c r="V18" s="1573"/>
      <c r="W18" s="1574"/>
      <c r="X18" s="1567"/>
      <c r="Y18" s="3415"/>
      <c r="Z18" s="1575"/>
      <c r="AA18" s="1576">
        <v>1</v>
      </c>
      <c r="AB18" s="1576">
        <v>1</v>
      </c>
      <c r="AC18" s="1576">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415"/>
      <c r="Q19" s="1572" t="str">
        <f>B19</f>
        <v>交通便捷度</v>
      </c>
      <c r="R19" s="1573" t="s">
        <v>8</v>
      </c>
      <c r="S19" s="1574">
        <f>F19</f>
        <v>100</v>
      </c>
      <c r="T19" s="1573" t="s">
        <v>8</v>
      </c>
      <c r="U19" s="1574">
        <f>H19</f>
        <v>100</v>
      </c>
      <c r="V19" s="1573" t="s">
        <v>8</v>
      </c>
      <c r="W19" s="1574">
        <f>J19</f>
        <v>100</v>
      </c>
      <c r="X19" s="1567"/>
      <c r="Y19" s="3415"/>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3"/>
      <c r="M20" s="2135"/>
      <c r="N20" s="2135"/>
      <c r="O20" s="2142"/>
      <c r="P20" s="3415"/>
      <c r="Q20" s="1572"/>
      <c r="R20" s="1573"/>
      <c r="S20" s="1574"/>
      <c r="T20" s="1573"/>
      <c r="U20" s="1574"/>
      <c r="V20" s="1573"/>
      <c r="W20" s="1574"/>
      <c r="X20" s="1567"/>
      <c r="Y20" s="3415"/>
      <c r="Z20" s="1575"/>
      <c r="AA20" s="1576">
        <v>1</v>
      </c>
      <c r="AB20" s="1576">
        <v>1</v>
      </c>
      <c r="AC20" s="1576">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3"/>
      <c r="M21" s="2135"/>
      <c r="N21" s="2135"/>
      <c r="O21" s="2142"/>
      <c r="P21" s="3415"/>
      <c r="Q21" s="1572" t="str">
        <f t="shared" ref="Q21:Q35" si="8">B21</f>
        <v>区域土地利用方向</v>
      </c>
      <c r="R21" s="1573" t="s">
        <v>8</v>
      </c>
      <c r="S21" s="1574">
        <f>F21</f>
        <v>100</v>
      </c>
      <c r="T21" s="1573" t="s">
        <v>8</v>
      </c>
      <c r="U21" s="1574">
        <f>H21</f>
        <v>100</v>
      </c>
      <c r="V21" s="1573" t="s">
        <v>8</v>
      </c>
      <c r="W21" s="1574">
        <f>J21</f>
        <v>100</v>
      </c>
      <c r="X21" s="1567"/>
      <c r="Y21" s="3415"/>
      <c r="Z21" s="1575" t="str">
        <f>Q21</f>
        <v>区域土地利用方向</v>
      </c>
      <c r="AA21" s="1576">
        <f t="shared" si="3"/>
        <v>1</v>
      </c>
      <c r="AB21" s="1576">
        <f t="shared" si="4"/>
        <v>1</v>
      </c>
      <c r="AC21" s="1576">
        <f t="shared" si="5"/>
        <v>1</v>
      </c>
    </row>
    <row r="22" spans="1:29" ht="15">
      <c r="A22" s="516"/>
      <c r="B22" s="596"/>
      <c r="C22" s="577"/>
      <c r="D22" s="556"/>
      <c r="E22" s="557"/>
      <c r="F22" s="558"/>
      <c r="G22" s="559"/>
      <c r="H22" s="558"/>
      <c r="I22" s="559"/>
      <c r="J22" s="558"/>
      <c r="K22" s="1348"/>
      <c r="L22" s="2143"/>
      <c r="M22" s="2135"/>
      <c r="N22" s="2135"/>
      <c r="O22" s="2142"/>
      <c r="P22" s="3415"/>
      <c r="Q22" s="1572"/>
      <c r="R22" s="1573"/>
      <c r="S22" s="1574"/>
      <c r="T22" s="1573"/>
      <c r="U22" s="1574"/>
      <c r="V22" s="1573"/>
      <c r="W22" s="1574"/>
      <c r="X22" s="1567"/>
      <c r="Y22" s="3415"/>
      <c r="Z22" s="1575"/>
      <c r="AA22" s="1576"/>
      <c r="AB22" s="1576"/>
      <c r="AC22" s="1576"/>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415"/>
      <c r="Q23" s="1572" t="str">
        <f t="shared" si="8"/>
        <v>环境状况</v>
      </c>
      <c r="R23" s="1573" t="s">
        <v>8</v>
      </c>
      <c r="S23" s="1574">
        <f>F23</f>
        <v>100</v>
      </c>
      <c r="T23" s="1573" t="s">
        <v>8</v>
      </c>
      <c r="U23" s="1574">
        <f>H23</f>
        <v>100</v>
      </c>
      <c r="V23" s="1573" t="s">
        <v>8</v>
      </c>
      <c r="W23" s="1574">
        <f>J23</f>
        <v>100</v>
      </c>
      <c r="X23" s="1567"/>
      <c r="Y23" s="3415"/>
      <c r="Z23" s="1575" t="str">
        <f>Q23</f>
        <v>环境状况</v>
      </c>
      <c r="AA23" s="1576">
        <f t="shared" si="3"/>
        <v>1</v>
      </c>
      <c r="AB23" s="1576">
        <f t="shared" si="4"/>
        <v>1</v>
      </c>
      <c r="AC23" s="1576">
        <f t="shared" si="5"/>
        <v>1</v>
      </c>
    </row>
    <row r="24" spans="1:29" ht="15">
      <c r="A24" s="516"/>
      <c r="B24" s="596"/>
      <c r="C24" s="577"/>
      <c r="D24" s="556"/>
      <c r="E24" s="555"/>
      <c r="F24" s="556"/>
      <c r="G24" s="555"/>
      <c r="H24" s="556"/>
      <c r="I24" s="577"/>
      <c r="J24" s="556"/>
      <c r="K24" s="532"/>
      <c r="L24" s="2143"/>
      <c r="M24" s="2135"/>
      <c r="N24" s="2135"/>
      <c r="O24" s="2142"/>
      <c r="P24" s="3415"/>
      <c r="Q24" s="1572"/>
      <c r="R24" s="1573"/>
      <c r="S24" s="1574"/>
      <c r="T24" s="1573"/>
      <c r="U24" s="1574"/>
      <c r="V24" s="1573"/>
      <c r="W24" s="1574"/>
      <c r="X24" s="1567"/>
      <c r="Y24" s="3415"/>
      <c r="Z24" s="1575"/>
      <c r="AA24" s="1576">
        <v>1</v>
      </c>
      <c r="AB24" s="1576">
        <v>1</v>
      </c>
      <c r="AC24" s="1576">
        <v>1</v>
      </c>
    </row>
    <row r="25" spans="1:29" s="1220" customFormat="1" ht="42.75">
      <c r="A25" s="578"/>
      <c r="B25" s="2618"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415"/>
      <c r="Q25" s="1151" t="str">
        <f t="shared" si="8"/>
        <v>公共配套设施</v>
      </c>
      <c r="R25" s="1568" t="s">
        <v>8</v>
      </c>
      <c r="S25" s="1569">
        <f>F25</f>
        <v>100</v>
      </c>
      <c r="T25" s="1568" t="s">
        <v>8</v>
      </c>
      <c r="U25" s="1569">
        <f>H25</f>
        <v>100</v>
      </c>
      <c r="V25" s="1568" t="s">
        <v>8</v>
      </c>
      <c r="W25" s="1569">
        <f>J25</f>
        <v>100</v>
      </c>
      <c r="X25" s="1570"/>
      <c r="Y25" s="3415"/>
      <c r="Z25" s="1150" t="str">
        <f>Q25</f>
        <v>公共配套设施</v>
      </c>
      <c r="AA25" s="1576">
        <f>D25/F25</f>
        <v>1</v>
      </c>
      <c r="AB25" s="1576">
        <f>D25/H25</f>
        <v>1</v>
      </c>
      <c r="AC25" s="1576">
        <f>D25/J25</f>
        <v>1</v>
      </c>
    </row>
    <row r="26" spans="1:29" s="1220" customFormat="1" ht="15">
      <c r="A26" s="578"/>
      <c r="B26" s="596"/>
      <c r="C26" s="2617"/>
      <c r="D26" s="556"/>
      <c r="E26" s="555"/>
      <c r="F26" s="556"/>
      <c r="G26" s="555"/>
      <c r="H26" s="556"/>
      <c r="I26" s="577"/>
      <c r="J26" s="556"/>
      <c r="K26" s="532"/>
      <c r="L26" s="2136"/>
      <c r="M26" s="2137"/>
      <c r="N26" s="2137"/>
      <c r="O26" s="2138"/>
      <c r="P26" s="3415"/>
      <c r="Q26" s="1151"/>
      <c r="R26" s="1568"/>
      <c r="S26" s="1569"/>
      <c r="T26" s="1568"/>
      <c r="U26" s="1569"/>
      <c r="V26" s="1568"/>
      <c r="W26" s="1569"/>
      <c r="X26" s="1570"/>
      <c r="Y26" s="3415"/>
      <c r="Z26" s="1150"/>
      <c r="AA26" s="1571">
        <v>1</v>
      </c>
      <c r="AB26" s="1571">
        <v>1</v>
      </c>
      <c r="AC26" s="1571">
        <v>1</v>
      </c>
    </row>
    <row r="27" spans="1:29" s="1220" customFormat="1" ht="28.5">
      <c r="A27" s="578"/>
      <c r="B27" s="2618"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415"/>
      <c r="Q27" s="2603" t="str">
        <f t="shared" ref="Q27" si="9">B27</f>
        <v>基础设施水平</v>
      </c>
      <c r="R27" s="1568" t="s">
        <v>8</v>
      </c>
      <c r="S27" s="1569">
        <f>F27</f>
        <v>100</v>
      </c>
      <c r="T27" s="1568" t="s">
        <v>8</v>
      </c>
      <c r="U27" s="1569">
        <f>H27</f>
        <v>100</v>
      </c>
      <c r="V27" s="1568" t="s">
        <v>8</v>
      </c>
      <c r="W27" s="1569">
        <f>J27</f>
        <v>100</v>
      </c>
      <c r="X27" s="1570"/>
      <c r="Y27" s="3415"/>
      <c r="Z27" s="2600" t="str">
        <f>Q27</f>
        <v>基础设施水平</v>
      </c>
      <c r="AA27" s="1576">
        <f>D27/F27</f>
        <v>1</v>
      </c>
      <c r="AB27" s="1576">
        <f>D27/H27</f>
        <v>1</v>
      </c>
      <c r="AC27" s="1576">
        <f>D27/J27</f>
        <v>1</v>
      </c>
    </row>
    <row r="28" spans="1:29" s="1220" customFormat="1" ht="15">
      <c r="A28" s="578"/>
      <c r="B28" s="596"/>
      <c r="C28" s="2617"/>
      <c r="D28" s="556"/>
      <c r="E28" s="580"/>
      <c r="F28" s="556"/>
      <c r="G28" s="580"/>
      <c r="H28" s="556"/>
      <c r="I28" s="580"/>
      <c r="J28" s="556"/>
      <c r="K28" s="532"/>
      <c r="L28" s="2136"/>
      <c r="M28" s="2137"/>
      <c r="N28" s="2137"/>
      <c r="O28" s="2138"/>
      <c r="P28" s="3415"/>
      <c r="Q28" s="2603"/>
      <c r="R28" s="1568"/>
      <c r="S28" s="1569"/>
      <c r="T28" s="1568"/>
      <c r="U28" s="1569"/>
      <c r="V28" s="1568"/>
      <c r="W28" s="1569"/>
      <c r="X28" s="1570"/>
      <c r="Y28" s="3415"/>
      <c r="Z28" s="2600"/>
      <c r="AA28" s="1571">
        <v>1</v>
      </c>
      <c r="AB28" s="1571">
        <v>1</v>
      </c>
      <c r="AC28" s="1571">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41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5"/>
      <c r="Z29" s="1575" t="str">
        <f t="shared" ref="Z29:Z42" si="13">Q29</f>
        <v>临街状况</v>
      </c>
      <c r="AA29" s="1576">
        <f t="shared" si="3"/>
        <v>1</v>
      </c>
      <c r="AB29" s="1576">
        <f t="shared" si="4"/>
        <v>1</v>
      </c>
      <c r="AC29" s="1576">
        <f t="shared" si="5"/>
        <v>1</v>
      </c>
    </row>
    <row r="30" spans="1:29" ht="27">
      <c r="A30" s="533"/>
      <c r="B30" s="922" t="s">
        <v>549</v>
      </c>
      <c r="C30" s="2620">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415"/>
      <c r="Q30" s="1572" t="str">
        <f t="shared" si="8"/>
        <v>毗邻道路的类型与等级</v>
      </c>
      <c r="R30" s="1573" t="s">
        <v>8</v>
      </c>
      <c r="S30" s="1574">
        <f t="shared" si="10"/>
        <v>100</v>
      </c>
      <c r="T30" s="1573" t="s">
        <v>8</v>
      </c>
      <c r="U30" s="1574">
        <f t="shared" si="11"/>
        <v>100</v>
      </c>
      <c r="V30" s="1573" t="s">
        <v>8</v>
      </c>
      <c r="W30" s="1574">
        <f t="shared" si="12"/>
        <v>100</v>
      </c>
      <c r="X30" s="1567"/>
      <c r="Y30" s="3415"/>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415"/>
      <c r="Q31" s="1572"/>
      <c r="R31" s="1573"/>
      <c r="S31" s="1574"/>
      <c r="T31" s="1573"/>
      <c r="U31" s="1574"/>
      <c r="V31" s="1573"/>
      <c r="W31" s="1574"/>
      <c r="X31" s="1567"/>
      <c r="Y31" s="3415"/>
      <c r="Z31" s="1575"/>
      <c r="AA31" s="1576">
        <v>1</v>
      </c>
      <c r="AB31" s="1576">
        <v>1</v>
      </c>
      <c r="AC31" s="1576">
        <v>1</v>
      </c>
    </row>
    <row r="32" spans="1:29" ht="15">
      <c r="A32" s="533"/>
      <c r="B32" s="528" t="s">
        <v>550</v>
      </c>
      <c r="C32" s="2621">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415"/>
      <c r="Q32" s="1572" t="str">
        <f t="shared" si="8"/>
        <v>土地级别</v>
      </c>
      <c r="R32" s="1573" t="s">
        <v>8</v>
      </c>
      <c r="S32" s="1574">
        <f t="shared" si="10"/>
        <v>100</v>
      </c>
      <c r="T32" s="1573" t="s">
        <v>8</v>
      </c>
      <c r="U32" s="1574">
        <f t="shared" si="11"/>
        <v>100</v>
      </c>
      <c r="V32" s="1573" t="s">
        <v>8</v>
      </c>
      <c r="W32" s="1574">
        <f t="shared" si="12"/>
        <v>100</v>
      </c>
      <c r="X32" s="1567"/>
      <c r="Y32" s="3415"/>
      <c r="Z32" s="1575" t="str">
        <f t="shared" si="13"/>
        <v>土地级别</v>
      </c>
      <c r="AA32" s="1576">
        <f t="shared" si="3"/>
        <v>1</v>
      </c>
      <c r="AB32" s="1576">
        <f t="shared" si="4"/>
        <v>1</v>
      </c>
      <c r="AC32" s="1576">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415"/>
      <c r="Q33" s="1572">
        <f t="shared" si="8"/>
        <v>111</v>
      </c>
      <c r="R33" s="1573" t="s">
        <v>8</v>
      </c>
      <c r="S33" s="1574">
        <f t="shared" si="10"/>
        <v>100</v>
      </c>
      <c r="T33" s="1573" t="s">
        <v>8</v>
      </c>
      <c r="U33" s="1574">
        <f t="shared" si="11"/>
        <v>100</v>
      </c>
      <c r="V33" s="1573" t="s">
        <v>8</v>
      </c>
      <c r="W33" s="1574">
        <f t="shared" si="12"/>
        <v>100</v>
      </c>
      <c r="X33" s="1567"/>
      <c r="Y33" s="3415"/>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416" t="s">
        <v>551</v>
      </c>
      <c r="Q34" s="1572">
        <f t="shared" si="8"/>
        <v>111</v>
      </c>
      <c r="R34" s="1573" t="s">
        <v>8</v>
      </c>
      <c r="S34" s="1574">
        <f t="shared" si="10"/>
        <v>100</v>
      </c>
      <c r="T34" s="1573" t="s">
        <v>8</v>
      </c>
      <c r="U34" s="1574">
        <f t="shared" si="11"/>
        <v>100</v>
      </c>
      <c r="V34" s="1573" t="s">
        <v>8</v>
      </c>
      <c r="W34" s="1574">
        <f t="shared" si="12"/>
        <v>100</v>
      </c>
      <c r="X34" s="1567"/>
      <c r="Y34" s="3417" t="s">
        <v>551</v>
      </c>
      <c r="Z34" s="1575">
        <f t="shared" si="13"/>
        <v>111</v>
      </c>
      <c r="AA34" s="1576">
        <f t="shared" si="3"/>
        <v>1</v>
      </c>
      <c r="AB34" s="1576">
        <f t="shared" si="4"/>
        <v>1</v>
      </c>
      <c r="AC34" s="1576">
        <f t="shared" si="5"/>
        <v>1</v>
      </c>
    </row>
    <row r="35" spans="1:29" s="1339" customFormat="1" ht="15.75" thickBot="1">
      <c r="A35" s="590"/>
      <c r="B35" s="2619">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417"/>
      <c r="Q35" s="1572">
        <f t="shared" si="8"/>
        <v>111</v>
      </c>
      <c r="R35" s="1577" t="s">
        <v>8</v>
      </c>
      <c r="S35" s="1578">
        <f t="shared" si="10"/>
        <v>100</v>
      </c>
      <c r="T35" s="1577" t="s">
        <v>8</v>
      </c>
      <c r="U35" s="1578">
        <f t="shared" si="11"/>
        <v>100</v>
      </c>
      <c r="V35" s="1577" t="s">
        <v>8</v>
      </c>
      <c r="W35" s="1578">
        <f t="shared" si="12"/>
        <v>100</v>
      </c>
      <c r="X35" s="1579"/>
      <c r="Y35" s="3417"/>
      <c r="Z35" s="1580">
        <f t="shared" si="13"/>
        <v>111</v>
      </c>
      <c r="AA35" s="1576">
        <f t="shared" si="3"/>
        <v>1</v>
      </c>
      <c r="AB35" s="1576">
        <f t="shared" si="4"/>
        <v>1</v>
      </c>
      <c r="AC35" s="1576">
        <f t="shared" si="5"/>
        <v>1</v>
      </c>
    </row>
    <row r="36" spans="1:29" ht="15">
      <c r="A36" s="2934" t="s">
        <v>2763</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417"/>
      <c r="Q36" s="1572" t="str">
        <f>B36</f>
        <v>宗地面积</v>
      </c>
      <c r="R36" s="1573" t="s">
        <v>8</v>
      </c>
      <c r="S36" s="1574" t="e">
        <f t="shared" si="10"/>
        <v>#N/A</v>
      </c>
      <c r="T36" s="1573" t="s">
        <v>8</v>
      </c>
      <c r="U36" s="1574" t="e">
        <f t="shared" si="11"/>
        <v>#N/A</v>
      </c>
      <c r="V36" s="1573" t="s">
        <v>8</v>
      </c>
      <c r="W36" s="1574" t="e">
        <f t="shared" si="12"/>
        <v>#N/A</v>
      </c>
      <c r="X36" s="1567"/>
      <c r="Y36" s="3417"/>
      <c r="Z36" s="1575" t="str">
        <f t="shared" si="13"/>
        <v>宗地面积</v>
      </c>
      <c r="AA36" s="1576" t="e">
        <f t="shared" si="3"/>
        <v>#N/A</v>
      </c>
      <c r="AB36" s="1576" t="e">
        <f t="shared" si="4"/>
        <v>#N/A</v>
      </c>
      <c r="AC36" s="1576"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417"/>
      <c r="Q37" s="1572" t="str">
        <f t="shared" ref="Q37:Q42" si="14">B37</f>
        <v>宗地形状</v>
      </c>
      <c r="R37" s="1573" t="s">
        <v>8</v>
      </c>
      <c r="S37" s="1574">
        <f t="shared" si="10"/>
        <v>100</v>
      </c>
      <c r="T37" s="1573" t="s">
        <v>8</v>
      </c>
      <c r="U37" s="1574">
        <f t="shared" si="11"/>
        <v>100</v>
      </c>
      <c r="V37" s="1573" t="s">
        <v>8</v>
      </c>
      <c r="W37" s="1574">
        <f t="shared" si="12"/>
        <v>100</v>
      </c>
      <c r="X37" s="1567"/>
      <c r="Y37" s="3417"/>
      <c r="Z37" s="1575" t="str">
        <f t="shared" si="13"/>
        <v>宗地形状</v>
      </c>
      <c r="AA37" s="1576">
        <f t="shared" si="3"/>
        <v>1</v>
      </c>
      <c r="AB37" s="1576">
        <f t="shared" si="4"/>
        <v>1</v>
      </c>
      <c r="AC37" s="1576">
        <f t="shared" si="5"/>
        <v>1</v>
      </c>
    </row>
    <row r="38" spans="1:29" s="1220" customFormat="1" ht="15">
      <c r="A38" s="601"/>
      <c r="B38" s="1896"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417"/>
      <c r="Q38" s="1572" t="str">
        <f t="shared" si="14"/>
        <v>宗地开发程度</v>
      </c>
      <c r="R38" s="1568" t="s">
        <v>8</v>
      </c>
      <c r="S38" s="1569">
        <f t="shared" si="10"/>
        <v>100</v>
      </c>
      <c r="T38" s="1568" t="s">
        <v>8</v>
      </c>
      <c r="U38" s="1569">
        <f t="shared" si="11"/>
        <v>100</v>
      </c>
      <c r="V38" s="1568" t="s">
        <v>8</v>
      </c>
      <c r="W38" s="1569">
        <f t="shared" si="12"/>
        <v>100</v>
      </c>
      <c r="X38" s="1570"/>
      <c r="Y38" s="3417"/>
      <c r="Z38" s="1150" t="str">
        <f t="shared" si="13"/>
        <v>宗地开发程度</v>
      </c>
      <c r="AA38" s="1571">
        <f t="shared" si="3"/>
        <v>1</v>
      </c>
      <c r="AB38" s="1571">
        <f t="shared" si="4"/>
        <v>1</v>
      </c>
      <c r="AC38" s="1571">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417" t="s">
        <v>602</v>
      </c>
      <c r="Q39" s="1572" t="str">
        <f t="shared" si="14"/>
        <v>工程地质条件</v>
      </c>
      <c r="R39" s="1573" t="s">
        <v>8</v>
      </c>
      <c r="S39" s="1574">
        <f t="shared" si="10"/>
        <v>100</v>
      </c>
      <c r="T39" s="1573" t="s">
        <v>8</v>
      </c>
      <c r="U39" s="1574">
        <f t="shared" si="11"/>
        <v>100</v>
      </c>
      <c r="V39" s="1573" t="s">
        <v>8</v>
      </c>
      <c r="W39" s="1574">
        <f t="shared" si="12"/>
        <v>100</v>
      </c>
      <c r="X39" s="1567"/>
      <c r="Y39" s="3417" t="s">
        <v>602</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417"/>
      <c r="Q40" s="1572">
        <f t="shared" si="14"/>
        <v>111</v>
      </c>
      <c r="R40" s="1573" t="s">
        <v>8</v>
      </c>
      <c r="S40" s="1574">
        <f t="shared" si="10"/>
        <v>100</v>
      </c>
      <c r="T40" s="1573" t="s">
        <v>8</v>
      </c>
      <c r="U40" s="1574">
        <f t="shared" si="11"/>
        <v>100</v>
      </c>
      <c r="V40" s="1573" t="s">
        <v>8</v>
      </c>
      <c r="W40" s="1574">
        <f t="shared" si="12"/>
        <v>100</v>
      </c>
      <c r="X40" s="1567"/>
      <c r="Y40" s="3417"/>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417"/>
      <c r="Q41" s="1572">
        <f t="shared" si="14"/>
        <v>111</v>
      </c>
      <c r="R41" s="1573" t="s">
        <v>8</v>
      </c>
      <c r="S41" s="1574">
        <f t="shared" si="10"/>
        <v>100</v>
      </c>
      <c r="T41" s="1573" t="s">
        <v>8</v>
      </c>
      <c r="U41" s="1574">
        <f t="shared" si="11"/>
        <v>100</v>
      </c>
      <c r="V41" s="1573" t="s">
        <v>8</v>
      </c>
      <c r="W41" s="1574">
        <f t="shared" si="12"/>
        <v>100</v>
      </c>
      <c r="X41" s="1567"/>
      <c r="Y41" s="3417"/>
      <c r="Z41" s="1575">
        <f t="shared" si="13"/>
        <v>111</v>
      </c>
      <c r="AA41" s="1576">
        <f t="shared" si="3"/>
        <v>1</v>
      </c>
      <c r="AB41" s="1576">
        <f t="shared" si="4"/>
        <v>1</v>
      </c>
      <c r="AC41" s="1576">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417"/>
      <c r="Q42" s="1572">
        <f t="shared" si="14"/>
        <v>111</v>
      </c>
      <c r="R42" s="1577" t="s">
        <v>8</v>
      </c>
      <c r="S42" s="1578">
        <f t="shared" si="10"/>
        <v>100</v>
      </c>
      <c r="T42" s="1577" t="s">
        <v>8</v>
      </c>
      <c r="U42" s="1578">
        <f t="shared" si="11"/>
        <v>100</v>
      </c>
      <c r="V42" s="1577" t="s">
        <v>8</v>
      </c>
      <c r="W42" s="1578">
        <f t="shared" si="12"/>
        <v>100</v>
      </c>
      <c r="X42" s="1579"/>
      <c r="Y42" s="3417"/>
      <c r="Z42" s="1580">
        <f t="shared" si="13"/>
        <v>111</v>
      </c>
      <c r="AA42" s="1576">
        <f t="shared" si="3"/>
        <v>1</v>
      </c>
      <c r="AB42" s="1576">
        <f t="shared" si="4"/>
        <v>1</v>
      </c>
      <c r="AC42" s="1576">
        <f t="shared" si="5"/>
        <v>1</v>
      </c>
    </row>
    <row r="43" spans="1:29" ht="15">
      <c r="A43" s="608" t="s">
        <v>557</v>
      </c>
      <c r="B43" s="609" t="s">
        <v>2942</v>
      </c>
      <c r="C43" s="610" t="s">
        <v>1</v>
      </c>
      <c r="D43" s="611"/>
      <c r="E43" s="612"/>
      <c r="F43" s="613"/>
      <c r="G43" s="614"/>
      <c r="H43" s="615"/>
      <c r="I43" s="612"/>
      <c r="J43" s="615"/>
      <c r="K43" s="1340"/>
      <c r="L43" s="2145"/>
      <c r="M43" s="2135"/>
      <c r="N43" s="2135"/>
      <c r="O43" s="2146"/>
      <c r="P43" s="3379" t="str">
        <f>A43</f>
        <v>成交单价</v>
      </c>
      <c r="Q43" s="3379"/>
      <c r="R43" s="3380">
        <f>E43</f>
        <v>0</v>
      </c>
      <c r="S43" s="3380"/>
      <c r="T43" s="3380">
        <f>G43</f>
        <v>0</v>
      </c>
      <c r="U43" s="3380"/>
      <c r="V43" s="3380">
        <f>I43</f>
        <v>0</v>
      </c>
      <c r="W43" s="3380"/>
      <c r="X43" s="1559"/>
      <c r="Y43" s="1581"/>
      <c r="Z43" s="1559"/>
      <c r="AA43" s="1559"/>
      <c r="AB43" s="1559"/>
      <c r="AC43" s="1559"/>
    </row>
    <row r="44" spans="1:29" ht="15.75" thickBot="1">
      <c r="A44" s="616" t="s">
        <v>2701</v>
      </c>
      <c r="B44" s="617"/>
      <c r="C44" s="618" t="e">
        <f>R45</f>
        <v>#DIV/0!</v>
      </c>
      <c r="D44" s="619"/>
      <c r="E44" s="618" t="e">
        <f>R44</f>
        <v>#DIV/0!</v>
      </c>
      <c r="F44" s="620"/>
      <c r="G44" s="621" t="e">
        <f>T44</f>
        <v>#DIV/0!</v>
      </c>
      <c r="H44" s="619"/>
      <c r="I44" s="618" t="e">
        <f>V44</f>
        <v>#DIV/0!</v>
      </c>
      <c r="J44" s="619"/>
      <c r="K44" s="1341"/>
      <c r="L44" s="2145"/>
      <c r="M44" s="2135"/>
      <c r="N44" s="2135"/>
      <c r="O44" s="2146"/>
      <c r="P44" s="3379" t="str">
        <f>A44</f>
        <v>比较价格（元/平方米）</v>
      </c>
      <c r="Q44" s="3379"/>
      <c r="R44" s="3381" t="e">
        <f>ROUND(PRODUCT(R43,AA9:AA42),0)</f>
        <v>#DIV/0!</v>
      </c>
      <c r="S44" s="3381"/>
      <c r="T44" s="3381" t="e">
        <f>ROUND(PRODUCT(T43,AB9:AB42),0)</f>
        <v>#DIV/0!</v>
      </c>
      <c r="U44" s="3381"/>
      <c r="V44" s="3381" t="e">
        <f>ROUND(PRODUCT(V43,AC9:AC42),0)</f>
        <v>#DIV/0!</v>
      </c>
      <c r="W44" s="3381"/>
      <c r="X44" s="1559"/>
      <c r="Y44" s="1559"/>
      <c r="Z44" s="1559"/>
      <c r="AA44" s="1559"/>
      <c r="AB44" s="1559"/>
      <c r="AC44" s="1559"/>
    </row>
    <row r="45" spans="1:29" ht="15.75" thickBot="1">
      <c r="A45" s="622" t="s">
        <v>2943</v>
      </c>
      <c r="B45" s="623"/>
      <c r="C45" s="624" t="e">
        <f>R45</f>
        <v>#DIV/0!</v>
      </c>
      <c r="D45" s="624"/>
      <c r="E45" s="624"/>
      <c r="F45" s="624"/>
      <c r="G45" s="624"/>
      <c r="H45" s="624"/>
      <c r="I45" s="624"/>
      <c r="J45" s="624"/>
      <c r="K45" s="1342"/>
      <c r="L45" s="2145"/>
      <c r="M45" s="2135"/>
      <c r="N45" s="2135"/>
      <c r="O45" s="2146"/>
      <c r="P45" s="3376" t="str">
        <f>A45</f>
        <v>估价对象XX用房的比较价格（楼面单价，元/平方米）</v>
      </c>
      <c r="Q45" s="3377"/>
      <c r="R45" s="3378" t="e">
        <f>ROUND(AVERAGE(R44:V44),0)</f>
        <v>#DIV/0!</v>
      </c>
      <c r="S45" s="3378"/>
      <c r="T45" s="3378"/>
      <c r="U45" s="3378"/>
      <c r="V45" s="3378"/>
      <c r="W45" s="337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561</v>
      </c>
      <c r="B52" s="631" t="s">
        <v>562</v>
      </c>
      <c r="C52" s="1560" t="s">
        <v>1726</v>
      </c>
      <c r="D52" s="2228" t="s">
        <v>2297</v>
      </c>
      <c r="E52" s="632" t="s">
        <v>563</v>
      </c>
      <c r="F52" s="1952" t="s">
        <v>564</v>
      </c>
      <c r="G52" s="3424" t="s">
        <v>2288</v>
      </c>
      <c r="H52" s="3425"/>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4" t="s">
        <v>565</v>
      </c>
      <c r="B53" s="635" t="e">
        <f>C45</f>
        <v>#DIV/0!</v>
      </c>
      <c r="C53" s="636">
        <v>1</v>
      </c>
      <c r="D53" s="2229">
        <v>1</v>
      </c>
      <c r="E53" s="636">
        <f>'数据-汇总表'!E8+'数据-汇总表'!E9</f>
        <v>113662.12</v>
      </c>
      <c r="F53" s="1951" t="e">
        <f t="shared" ref="F53:F62" si="15">ROUND(B53*E53/10000,0)</f>
        <v>#DIV/0!</v>
      </c>
      <c r="G53" s="3426"/>
      <c r="H53" s="3427"/>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8" t="s">
        <v>566</v>
      </c>
      <c r="B54" s="639" t="e">
        <f>ROUND($C$45*C54*D54,0)</f>
        <v>#DIV/0!</v>
      </c>
      <c r="C54" s="379">
        <f t="shared" ref="C54:C62" si="16">IF($C$52="北京市系数",I54,J54)</f>
        <v>0</v>
      </c>
      <c r="D54" s="2230">
        <v>0.25</v>
      </c>
      <c r="E54" s="640"/>
      <c r="F54" s="1951" t="e">
        <f t="shared" si="15"/>
        <v>#DIV/0!</v>
      </c>
      <c r="G54" s="3428"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8" t="s">
        <v>567</v>
      </c>
      <c r="B55" s="639" t="e">
        <f t="shared" ref="B55:B62" si="17">ROUND($C$45*C55*D55,0)</f>
        <v>#DIV/0!</v>
      </c>
      <c r="C55" s="379">
        <f t="shared" si="16"/>
        <v>0</v>
      </c>
      <c r="D55" s="2230">
        <v>0.25</v>
      </c>
      <c r="E55" s="640"/>
      <c r="F55" s="1951" t="e">
        <f t="shared" si="15"/>
        <v>#DIV/0!</v>
      </c>
      <c r="G55" s="3428"/>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8" t="s">
        <v>568</v>
      </c>
      <c r="B56" s="639" t="e">
        <f t="shared" si="17"/>
        <v>#DIV/0!</v>
      </c>
      <c r="C56" s="379">
        <f t="shared" si="16"/>
        <v>0</v>
      </c>
      <c r="D56" s="2230">
        <v>0.25</v>
      </c>
      <c r="E56" s="640"/>
      <c r="F56" s="1951" t="e">
        <f t="shared" si="15"/>
        <v>#DIV/0!</v>
      </c>
      <c r="G56" s="3428"/>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8" t="s">
        <v>569</v>
      </c>
      <c r="B57" s="639" t="e">
        <f t="shared" si="17"/>
        <v>#DIV/0!</v>
      </c>
      <c r="C57" s="379">
        <f t="shared" si="16"/>
        <v>0</v>
      </c>
      <c r="D57" s="2230">
        <v>0.25</v>
      </c>
      <c r="E57" s="640"/>
      <c r="F57" s="1951" t="e">
        <f t="shared" si="15"/>
        <v>#DIV/0!</v>
      </c>
      <c r="G57" s="3428"/>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9" t="e">
        <f t="shared" si="17"/>
        <v>#DIV/0!</v>
      </c>
      <c r="C58" s="379">
        <f t="shared" si="16"/>
        <v>0</v>
      </c>
      <c r="D58" s="2230">
        <v>0.25</v>
      </c>
      <c r="E58" s="642">
        <f>'数据-汇总表'!E11</f>
        <v>0</v>
      </c>
      <c r="F58" s="1951" t="e">
        <f t="shared" si="15"/>
        <v>#DIV/0!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570</v>
      </c>
      <c r="B59" s="639" t="e">
        <f t="shared" si="17"/>
        <v>#DIV/0!</v>
      </c>
      <c r="C59" s="379">
        <f t="shared" si="16"/>
        <v>0</v>
      </c>
      <c r="D59" s="2230">
        <v>0.25</v>
      </c>
      <c r="E59" s="642">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571</v>
      </c>
      <c r="B60" s="639" t="e">
        <f t="shared" si="17"/>
        <v>#DIV/0!</v>
      </c>
      <c r="C60" s="379">
        <f t="shared" si="16"/>
        <v>0</v>
      </c>
      <c r="D60" s="2230">
        <v>0.25</v>
      </c>
      <c r="E60" s="642">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572</v>
      </c>
      <c r="B61" s="639" t="e">
        <f t="shared" si="17"/>
        <v>#DIV/0!</v>
      </c>
      <c r="C61" s="379">
        <f t="shared" si="16"/>
        <v>0</v>
      </c>
      <c r="D61" s="2230">
        <v>0.25</v>
      </c>
      <c r="E61" s="642">
        <f>'数据-汇总表'!E14</f>
        <v>0</v>
      </c>
      <c r="F61" s="1951" t="e">
        <f t="shared" si="15"/>
        <v>#DIV/0!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8" t="s">
        <v>573</v>
      </c>
      <c r="B62" s="639" t="e">
        <f t="shared" si="17"/>
        <v>#DIV/0!</v>
      </c>
      <c r="C62" s="379">
        <f t="shared" si="16"/>
        <v>0</v>
      </c>
      <c r="D62" s="2230">
        <v>0.25</v>
      </c>
      <c r="E62" s="642">
        <f>'数据-汇总表'!E15</f>
        <v>0</v>
      </c>
      <c r="F62" s="1951" t="e">
        <f t="shared" si="15"/>
        <v>#DIV/0!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3" t="s">
        <v>574</v>
      </c>
      <c r="B63" s="644" t="s">
        <v>17</v>
      </c>
      <c r="C63" s="644" t="s">
        <v>18</v>
      </c>
      <c r="D63" s="644" t="s">
        <v>2298</v>
      </c>
      <c r="E63" s="644">
        <f>IF(B43="楼面地价",SUM(E53:E62),'数据-汇总表'!D3)</f>
        <v>36665.199999999997</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2018-2-1</v>
      </c>
      <c r="D65" s="2826">
        <f>EDATE(C65,-3)</f>
        <v>43040</v>
      </c>
      <c r="E65" s="2826">
        <f t="shared" ref="E65:N65" si="18">EDATE(D65,-3)</f>
        <v>42948</v>
      </c>
      <c r="F65" s="2826">
        <f t="shared" si="18"/>
        <v>42856</v>
      </c>
      <c r="G65" s="2826">
        <f t="shared" si="18"/>
        <v>42767</v>
      </c>
      <c r="H65" s="2826">
        <f t="shared" si="18"/>
        <v>42675</v>
      </c>
      <c r="I65" s="2826">
        <f t="shared" si="18"/>
        <v>42583</v>
      </c>
      <c r="J65" s="2826">
        <f t="shared" si="18"/>
        <v>42491</v>
      </c>
      <c r="K65" s="2826">
        <f t="shared" si="18"/>
        <v>42401</v>
      </c>
      <c r="L65" s="2826">
        <f t="shared" si="18"/>
        <v>42309</v>
      </c>
      <c r="M65" s="2826">
        <f t="shared" si="18"/>
        <v>42217</v>
      </c>
      <c r="N65" s="2826">
        <f t="shared" si="18"/>
        <v>42125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7"/>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2657</v>
      </c>
      <c r="B68" s="480" t="str">
        <f>"北京市平均增长率"&amp;TEXT(基准地价!P24,"0.00%")</f>
        <v>北京市平均增长率0.00%</v>
      </c>
      <c r="C68" s="894">
        <v>100</v>
      </c>
      <c r="D68" s="731"/>
      <c r="E68" s="731"/>
      <c r="F68" s="731"/>
      <c r="G68" s="731"/>
      <c r="H68" s="731"/>
      <c r="I68" s="731"/>
      <c r="J68" s="731"/>
      <c r="K68" s="731"/>
      <c r="L68" s="731"/>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4" t="s">
        <v>576</v>
      </c>
      <c r="B69" s="655"/>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0" t="s">
        <v>532</v>
      </c>
      <c r="B70" s="649"/>
      <c r="C70" s="661" t="s">
        <v>577</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538</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540</v>
      </c>
      <c r="B85" s="666" t="s">
        <v>603</v>
      </c>
      <c r="C85" s="704" t="s">
        <v>580</v>
      </c>
      <c r="D85" s="704" t="s">
        <v>581</v>
      </c>
      <c r="E85" s="704" t="s">
        <v>582</v>
      </c>
      <c r="F85" s="704" t="s">
        <v>583</v>
      </c>
      <c r="G85" s="704" t="s">
        <v>584</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587</v>
      </c>
      <c r="C87" s="709" t="s">
        <v>580</v>
      </c>
      <c r="D87" s="709" t="s">
        <v>581</v>
      </c>
      <c r="E87" s="709" t="s">
        <v>582</v>
      </c>
      <c r="F87" s="709" t="s">
        <v>583</v>
      </c>
      <c r="G87" s="709" t="s">
        <v>584</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8"/>
      <c r="B93" s="1897" t="s">
        <v>2555</v>
      </c>
      <c r="C93" s="704" t="s">
        <v>580</v>
      </c>
      <c r="D93" s="704" t="s">
        <v>581</v>
      </c>
      <c r="E93" s="704" t="s">
        <v>582</v>
      </c>
      <c r="F93" s="704" t="s">
        <v>583</v>
      </c>
      <c r="G93" s="704" t="s">
        <v>584</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8"/>
      <c r="B95" s="2622" t="s">
        <v>2557</v>
      </c>
      <c r="C95" s="2623" t="s">
        <v>2558</v>
      </c>
      <c r="D95" s="2623" t="s">
        <v>2559</v>
      </c>
      <c r="E95" s="2623" t="s">
        <v>2560</v>
      </c>
      <c r="F95" s="2623" t="s">
        <v>2561</v>
      </c>
      <c r="G95" s="2623" t="s">
        <v>2562</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5"/>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590</v>
      </c>
      <c r="D97" s="675" t="s">
        <v>591</v>
      </c>
      <c r="E97" s="675" t="s">
        <v>592</v>
      </c>
      <c r="F97" s="675" t="s">
        <v>593</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549</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550</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595</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9"/>
      <c r="B114" s="1897" t="s">
        <v>2430</v>
      </c>
      <c r="C114" s="1376"/>
      <c r="D114" s="1376"/>
      <c r="E114" s="1376"/>
      <c r="F114" s="1376"/>
      <c r="G114" s="1376"/>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597</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7"/>
      <c r="G1" s="1401"/>
      <c r="H1" s="1401"/>
      <c r="I1" s="1401"/>
      <c r="J1" s="1401"/>
      <c r="K1" s="1401"/>
      <c r="L1" s="1883" t="s">
        <v>2242</v>
      </c>
      <c r="M1" s="1884">
        <f>SUMPRODUCT((区片价!B5:B9=I2)*(区片价!C3:F3=E2)*(区片价!C5:F9))</f>
        <v>0</v>
      </c>
      <c r="N1" s="1885">
        <f>SUMPRODUCT((因素修正幅度!B5:B9=I2)*(因素修正幅度!C3:F3=E2)*(因素修正幅度!C5:F9))</f>
        <v>0</v>
      </c>
      <c r="O1" s="2190"/>
      <c r="P1" s="2190"/>
      <c r="Q1" s="2190"/>
      <c r="R1" s="2963" t="s">
        <v>2770</v>
      </c>
      <c r="S1" s="2963" t="s">
        <v>2771</v>
      </c>
      <c r="T1" s="2963" t="s">
        <v>2792</v>
      </c>
      <c r="U1" s="2963" t="s">
        <v>2793</v>
      </c>
      <c r="V1" s="2963" t="s">
        <v>2794</v>
      </c>
      <c r="W1" s="2190"/>
      <c r="X1" s="2190"/>
      <c r="Y1" s="2190"/>
      <c r="Z1" s="2190"/>
      <c r="AA1" s="2190"/>
      <c r="AB1" s="2190"/>
      <c r="AC1" s="2191"/>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1689</v>
      </c>
      <c r="B3" s="1038" t="e">
        <f>ROUND(B2*10000/D1,0)</f>
        <v>#DIV/0!</v>
      </c>
      <c r="C3" s="1407" t="s">
        <v>928</v>
      </c>
      <c r="D3" s="1408" t="s">
        <v>929</v>
      </c>
      <c r="E3" s="1412"/>
      <c r="F3" s="1413" t="s">
        <v>2944</v>
      </c>
      <c r="G3" s="1039">
        <f>IF(F3="宗地容积率",'数据-汇总表'!I4,IF(F3="估价对象容积率",'数据-汇总表'!I6,'数据-汇总表'!I7))</f>
        <v>3.1</v>
      </c>
      <c r="H3" s="1414" t="s">
        <v>930</v>
      </c>
      <c r="I3" s="1040">
        <v>8</v>
      </c>
      <c r="J3" s="1410" t="s">
        <v>931</v>
      </c>
      <c r="K3" s="1401"/>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1825</v>
      </c>
      <c r="B5" s="1415" t="s">
        <v>932</v>
      </c>
      <c r="C5" s="1041" t="e">
        <f>ROUND(IF(E2="商业",IF(F16="增加",C6*C7+C16,C6*C7-C16),IF(E2="住宅",IF(F16="增加",C6*C12+C16,C6*C12-C16),IF(F16="增加",C6+C16,C6-C16))),0)</f>
        <v>#DIV/0!</v>
      </c>
      <c r="D5" s="3151">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438" t="str">
        <f>IF(E2="商业",IF(C8="不临58条商业街","",2),"")</f>
        <v/>
      </c>
      <c r="B7" s="1427" t="s">
        <v>933</v>
      </c>
      <c r="C7" s="1043" t="e">
        <f>IF(C8="不临58条商业街",1,ROUND(1+(1.6*E8+1.2*E9+0.8*E10+0.4*E11)*C9,4))</f>
        <v>#DIV/0!</v>
      </c>
      <c r="D7" s="1428" t="s">
        <v>934</v>
      </c>
      <c r="E7" s="1044"/>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2773</v>
      </c>
      <c r="X7" s="2954">
        <f>G2</f>
        <v>0</v>
      </c>
      <c r="Y7" s="2954" t="s">
        <v>2774</v>
      </c>
      <c r="Z7" s="2955">
        <f>G3</f>
        <v>3.1</v>
      </c>
      <c r="AA7" s="2193"/>
      <c r="AB7" s="2193"/>
      <c r="AC7" s="2194"/>
      <c r="AD7" s="2956"/>
      <c r="AE7" s="2956"/>
      <c r="AF7" s="2956"/>
      <c r="AG7" s="2956"/>
      <c r="AH7" s="2956"/>
      <c r="AI7" s="2956"/>
      <c r="AJ7" s="2957"/>
    </row>
    <row r="8" spans="1:39" ht="15">
      <c r="A8" s="3439"/>
      <c r="B8" s="1414" t="s">
        <v>935</v>
      </c>
      <c r="C8" s="1529"/>
      <c r="D8" s="1045" t="s">
        <v>936</v>
      </c>
      <c r="E8" s="1046"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30" t="s">
        <v>2791</v>
      </c>
      <c r="X8" s="3431"/>
      <c r="Y8" s="1850" t="s">
        <v>2775</v>
      </c>
      <c r="Z8" s="1850" t="s">
        <v>2776</v>
      </c>
      <c r="AA8" s="1850" t="s">
        <v>2777</v>
      </c>
      <c r="AB8" s="1850" t="s">
        <v>2778</v>
      </c>
      <c r="AC8" s="1850" t="s">
        <v>2779</v>
      </c>
      <c r="AD8" s="1850" t="s">
        <v>2780</v>
      </c>
      <c r="AE8" s="1850" t="s">
        <v>2781</v>
      </c>
      <c r="AF8" s="1850" t="s">
        <v>2782</v>
      </c>
      <c r="AG8" s="1850" t="s">
        <v>2783</v>
      </c>
      <c r="AH8" s="1850" t="s">
        <v>2784</v>
      </c>
      <c r="AI8" s="1850" t="s">
        <v>2785</v>
      </c>
      <c r="AJ8" s="1850" t="s">
        <v>2786</v>
      </c>
    </row>
    <row r="9" spans="1:39" ht="15">
      <c r="A9" s="3439"/>
      <c r="B9" s="1414" t="s">
        <v>938</v>
      </c>
      <c r="C9" s="1047">
        <f>SUMIF(修正!C59:C119,C8,修正!E59:E119)</f>
        <v>0</v>
      </c>
      <c r="D9" s="1048" t="s">
        <v>939</v>
      </c>
      <c r="E9" s="1048"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29" t="s">
        <v>2787</v>
      </c>
      <c r="X9" s="2958" t="s">
        <v>2788</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39"/>
      <c r="B10" s="1414" t="s">
        <v>941</v>
      </c>
      <c r="C10" s="1048">
        <f>SUMIF(修正!C59:C119,C8,修正!F59:F119)</f>
        <v>0</v>
      </c>
      <c r="D10" s="1048" t="s">
        <v>942</v>
      </c>
      <c r="E10" s="1048"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29"/>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39"/>
      <c r="B11" s="1435" t="s">
        <v>944</v>
      </c>
      <c r="C11" s="1049">
        <f>C10/4</f>
        <v>0</v>
      </c>
      <c r="D11" s="1049" t="s">
        <v>945</v>
      </c>
      <c r="E11" s="1049"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29" t="s">
        <v>2789</v>
      </c>
      <c r="X11" s="1048" t="s">
        <v>2774</v>
      </c>
      <c r="Y11" s="1653">
        <f>$G$3</f>
        <v>3.1</v>
      </c>
      <c r="Z11" s="1653">
        <f t="shared" ref="Z11:AJ11" si="3">$G$3</f>
        <v>3.1</v>
      </c>
      <c r="AA11" s="1653">
        <f t="shared" si="3"/>
        <v>3.1</v>
      </c>
      <c r="AB11" s="1653">
        <f t="shared" si="3"/>
        <v>3.1</v>
      </c>
      <c r="AC11" s="1653">
        <f t="shared" si="3"/>
        <v>3.1</v>
      </c>
      <c r="AD11" s="1653">
        <f t="shared" si="3"/>
        <v>3.1</v>
      </c>
      <c r="AE11" s="1653">
        <f t="shared" si="3"/>
        <v>3.1</v>
      </c>
      <c r="AF11" s="1653">
        <f t="shared" si="3"/>
        <v>3.1</v>
      </c>
      <c r="AG11" s="1653">
        <f t="shared" si="3"/>
        <v>3.1</v>
      </c>
      <c r="AH11" s="1653">
        <f t="shared" si="3"/>
        <v>3.1</v>
      </c>
      <c r="AI11" s="1653">
        <f t="shared" si="3"/>
        <v>3.1</v>
      </c>
      <c r="AJ11" s="1653">
        <f t="shared" si="3"/>
        <v>3.1</v>
      </c>
    </row>
    <row r="12" spans="1:39" ht="25.5" thickBot="1">
      <c r="A12" s="3438" t="s">
        <v>1873</v>
      </c>
      <c r="B12" s="1439" t="s">
        <v>947</v>
      </c>
      <c r="C12" s="1043">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29"/>
      <c r="X12" s="2961" t="s">
        <v>2790</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40"/>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4">
        <v>12</v>
      </c>
      <c r="S13" s="2953"/>
      <c r="T13" s="2964" t="e">
        <f t="shared" si="0"/>
        <v>#DIV/0!</v>
      </c>
      <c r="U13" s="2953"/>
      <c r="V13" s="2964" t="e">
        <f t="shared" si="1"/>
        <v>#DIV/0!</v>
      </c>
      <c r="W13" s="3429"/>
      <c r="X13" s="2961"/>
      <c r="Y13" s="2960">
        <f>(-0.163*(Y12^2)-0.59*Y12+7617)*(10^(-4))/Y11</f>
        <v>0.24570967741935484</v>
      </c>
      <c r="Z13" s="2960">
        <f t="shared" ref="Z13:AJ13" si="5">(-0.163*(Z12^2)-0.59*Z12+7617)*(10^(-4))/Z11</f>
        <v>0.24570967741935484</v>
      </c>
      <c r="AA13" s="2960">
        <f t="shared" si="5"/>
        <v>0.24570967741935484</v>
      </c>
      <c r="AB13" s="2960">
        <f t="shared" si="5"/>
        <v>0.24570967741935484</v>
      </c>
      <c r="AC13" s="2960">
        <f t="shared" si="5"/>
        <v>0.24570967741935484</v>
      </c>
      <c r="AD13" s="2960">
        <f t="shared" si="5"/>
        <v>0.24570967741935484</v>
      </c>
      <c r="AE13" s="2960">
        <f t="shared" si="5"/>
        <v>0.24570967741935484</v>
      </c>
      <c r="AF13" s="2960">
        <f t="shared" si="5"/>
        <v>0.24570967741935484</v>
      </c>
      <c r="AG13" s="2960">
        <f t="shared" si="5"/>
        <v>0.24570967741935484</v>
      </c>
      <c r="AH13" s="2960">
        <f t="shared" si="5"/>
        <v>0.24570967741935484</v>
      </c>
      <c r="AI13" s="2960">
        <f t="shared" si="5"/>
        <v>0.24570967741935484</v>
      </c>
      <c r="AJ13" s="2960">
        <f t="shared" si="5"/>
        <v>0.24570967741935484</v>
      </c>
    </row>
    <row r="14" spans="1:39" ht="12.75" customHeight="1" thickBot="1">
      <c r="A14" s="3440"/>
      <c r="B14" s="1451"/>
      <c r="C14" s="1452"/>
      <c r="D14" s="1453"/>
      <c r="E14" s="1453"/>
      <c r="F14" s="1454"/>
      <c r="G14" s="1455" t="s">
        <v>950</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41"/>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90"/>
      <c r="R15" s="2964">
        <v>14</v>
      </c>
      <c r="S15" s="2953"/>
      <c r="T15" s="2964" t="e">
        <f t="shared" si="0"/>
        <v>#DIV/0!</v>
      </c>
      <c r="U15" s="2953"/>
      <c r="V15" s="2964" t="e">
        <f t="shared" si="1"/>
        <v>#DIV/0!</v>
      </c>
      <c r="W15" s="2190"/>
      <c r="X15" s="2190"/>
      <c r="Y15" s="2190"/>
      <c r="Z15" s="2190"/>
      <c r="AA15" s="2190"/>
      <c r="AB15" s="2190"/>
      <c r="AC15" s="2191"/>
    </row>
    <row r="16" spans="1:39" ht="24">
      <c r="A16" s="3438"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39"/>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ROUND(IF(H19="按公示增长率计算",SUMPRODUCT((地价!A3:A20=YEAR(G19)&amp;"-"&amp;ROUNDUP(MONTH(G19)/3,0))*(地价!X2:AB2=E2)*(地价!X3:AB20)),IF(H19="地价指数",M20/M19,(1+I19)^O19)),4)</f>
        <v>#DIV/0!</v>
      </c>
      <c r="D19" s="1474" t="s">
        <v>959</v>
      </c>
      <c r="E19" s="1058">
        <v>41640</v>
      </c>
      <c r="F19" s="1474" t="s">
        <v>960</v>
      </c>
      <c r="G19" s="1059">
        <f>'数据-取费表'!B2</f>
        <v>43138</v>
      </c>
      <c r="H19" s="1475" t="s">
        <v>2945</v>
      </c>
      <c r="I19" s="2811" t="str">
        <f>IF(H19="季度增幅（自定义）",SUMIF(N21:N24,E2,O21:O24),"")</f>
        <v/>
      </c>
      <c r="J19" s="1471"/>
      <c r="K19" s="1481"/>
      <c r="L19" s="3066" t="s">
        <v>2849</v>
      </c>
      <c r="M19" s="3067">
        <f>ROUND(SUMIF(地价!B2:F2,E2,地价!B20:F20),0)</f>
        <v>0</v>
      </c>
      <c r="N19" s="2813" t="s">
        <v>1678</v>
      </c>
      <c r="O19" s="2812">
        <f>ROUNDDOWN(DATEDIF(E19,G19,"M")/3,0)</f>
        <v>16</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t="e">
        <f>ROUND(POWER(1+G20,J20-I20)*(POWER(1+G20,I20)-1)/(POWER(1+G20,J20)-1),4)</f>
        <v>#DIV/0!</v>
      </c>
      <c r="D20" s="2808" t="s">
        <v>974</v>
      </c>
      <c r="E20" s="3122">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1"/>
      <c r="L20" s="3068" t="s">
        <v>2850</v>
      </c>
      <c r="M20" s="3069">
        <f>ROUND(SUMPRODUCT((地价!A5:A20=YEAR(G19)&amp;"-"&amp;ROUNDUP(MONTH(G19)/3,0))*(地价!B2:F2=E2)*(地价!B5:F20)),0)</f>
        <v>0</v>
      </c>
      <c r="N20" s="2816" t="s">
        <v>2654</v>
      </c>
      <c r="O20" s="2814" t="s">
        <v>2653</v>
      </c>
      <c r="P20" s="2815" t="s">
        <v>2658</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1839</v>
      </c>
      <c r="B21" s="1480" t="s">
        <v>2769</v>
      </c>
      <c r="C21" s="1158">
        <f>IF(B21="容积率修正",IF(G3&lt;=10,D22,J22),C23)</f>
        <v>0</v>
      </c>
      <c r="D21" s="1481"/>
      <c r="E21" s="1481"/>
      <c r="F21" s="1481"/>
      <c r="G21" s="1481"/>
      <c r="H21" s="1481"/>
      <c r="I21" s="1481"/>
      <c r="J21" s="1482"/>
      <c r="K21" s="1481"/>
      <c r="L21" s="1481"/>
      <c r="M21" s="1481"/>
      <c r="N21" s="1478" t="s">
        <v>977</v>
      </c>
      <c r="O21" s="1542"/>
      <c r="P21" s="2796">
        <f>SUMPRODUCT((地价!A3:A20=YEAR(G19)&amp;"-"&amp;ROUNDUP(MONTH(G19)/3,0))*(地价!AD2:AH2=N21)*(地价!AD3:AH20))</f>
        <v>0</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6">
        <f>SUMPRODUCT((地价!A3:A20=YEAR(G19)&amp;"-"&amp;ROUNDUP(MONTH(G19)/3,0))*(地价!AD2:AH2=N22)*(地价!AD3:AH20))</f>
        <v>0</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6">
        <f>SUMPRODUCT((地价!A3:A20=YEAR(G19)&amp;"-"&amp;ROUNDUP(MONTH(G19)/3,0))*(地价!AD2:AH2=N23)*(地价!AD3:AH20))</f>
        <v>0</v>
      </c>
      <c r="R23" s="2952"/>
      <c r="S23" s="2952"/>
      <c r="T23" s="2952"/>
      <c r="U23" s="2952"/>
      <c r="V23" s="2952"/>
      <c r="W23" s="2196"/>
      <c r="X23" s="2196"/>
      <c r="Y23" s="2196"/>
      <c r="Z23" s="2196"/>
      <c r="AA23" s="2196"/>
      <c r="AB23" s="2196"/>
      <c r="AC23" s="2196"/>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2656</v>
      </c>
      <c r="O25" s="2196"/>
      <c r="P25" s="1541">
        <f>SUMPRODUCT((地价!A3:A20=YEAR(G19)&amp;"-"&amp;ROUNDUP(MONTH(G19)/3,0))*(地价!AD2:AH2=N25)*(地价!AD3:AH20))</f>
        <v>0</v>
      </c>
      <c r="R25" s="2952"/>
      <c r="S25" s="2952"/>
      <c r="T25" s="2952"/>
      <c r="U25" s="2952"/>
      <c r="V25" s="2952"/>
      <c r="W25" s="2196"/>
      <c r="X25" s="2196"/>
      <c r="Y25" s="2196"/>
      <c r="Z25" s="2196"/>
      <c r="AA25" s="2196"/>
      <c r="AB25" s="2196"/>
      <c r="AC25" s="2196"/>
    </row>
    <row r="26" spans="1:40" ht="14.25">
      <c r="A26" s="1489"/>
      <c r="B26" s="1483" t="s">
        <v>988</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995</v>
      </c>
      <c r="C29" s="1063" t="e">
        <f>ROUND(C5*C18*C19*C20*C21*C24,0)</f>
        <v>#DIV/0!</v>
      </c>
      <c r="D29" s="1504"/>
      <c r="E29" s="1850" t="e">
        <f>ROUND(C29*D29/10000,0)</f>
        <v>#DIV/0!</v>
      </c>
      <c r="F29" s="1505" t="s">
        <v>1703</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996</v>
      </c>
      <c r="C30" s="1051" t="e">
        <f>ROUND(IF(E2="工业",C29*M39,C29*M38),0)</f>
        <v>#DIV/0!</v>
      </c>
      <c r="D30" s="1510"/>
      <c r="E30" s="1850" t="e">
        <f>ROUND(C30*D30/10000,0)</f>
        <v>#DIV/0!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4" t="s">
        <v>2972</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5"/>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5"/>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6"/>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4" t="s">
        <v>2947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3" t="s">
        <v>2946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4" t="s">
        <v>2948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3" t="s">
        <v>2946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3" t="s">
        <v>2946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3" t="s">
        <v>2946</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42" t="s">
        <v>1635</v>
      </c>
      <c r="B90" s="3442"/>
      <c r="C90" s="3442"/>
      <c r="D90" s="3442"/>
      <c r="E90" s="3442"/>
      <c r="F90" s="3442"/>
      <c r="G90" s="3442"/>
      <c r="H90" s="3442"/>
      <c r="I90" s="3442"/>
      <c r="J90" s="3442"/>
      <c r="K90" s="2475"/>
      <c r="L90" s="2475"/>
      <c r="M90" s="2475"/>
      <c r="N90" s="2475"/>
    </row>
    <row r="91" spans="1:40">
      <c r="A91" s="3443" t="s">
        <v>1445</v>
      </c>
      <c r="B91" s="3443" t="s">
        <v>1636</v>
      </c>
      <c r="C91" s="1140" t="s">
        <v>1637</v>
      </c>
      <c r="D91" s="1141"/>
      <c r="E91" s="1141"/>
      <c r="F91" s="1141"/>
      <c r="G91" s="1141"/>
      <c r="H91" s="1141"/>
      <c r="I91" s="1141"/>
      <c r="J91" s="1142"/>
      <c r="K91" s="1134"/>
      <c r="L91" s="1134"/>
      <c r="M91" s="1134"/>
      <c r="N91" s="1134"/>
    </row>
    <row r="92" spans="1:40">
      <c r="A92" s="3443"/>
      <c r="B92" s="3443"/>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32" t="s">
        <v>2772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2" t="s">
        <v>1639</v>
      </c>
      <c r="B101" s="1147" t="s">
        <v>907</v>
      </c>
      <c r="C101" s="1148">
        <f>$G$3</f>
        <v>3.1</v>
      </c>
      <c r="D101" s="1148">
        <f t="shared" ref="D101:N101" si="31">$G$3</f>
        <v>3.1</v>
      </c>
      <c r="E101" s="1148">
        <f t="shared" si="31"/>
        <v>3.1</v>
      </c>
      <c r="F101" s="1148">
        <f t="shared" si="31"/>
        <v>3.1</v>
      </c>
      <c r="G101" s="1148">
        <f t="shared" si="31"/>
        <v>3.1</v>
      </c>
      <c r="H101" s="1148">
        <f t="shared" si="31"/>
        <v>3.1</v>
      </c>
      <c r="I101" s="1148">
        <f t="shared" si="31"/>
        <v>3.1</v>
      </c>
      <c r="J101" s="1148">
        <f t="shared" si="31"/>
        <v>3.1</v>
      </c>
      <c r="K101" s="1148">
        <f t="shared" si="31"/>
        <v>3.1</v>
      </c>
      <c r="L101" s="1148">
        <f t="shared" si="31"/>
        <v>3.1</v>
      </c>
      <c r="M101" s="1148">
        <f t="shared" si="31"/>
        <v>3.1</v>
      </c>
      <c r="N101" s="1148">
        <f t="shared" si="31"/>
        <v>3.1</v>
      </c>
    </row>
    <row r="102" spans="1:14">
      <c r="A102" s="3433"/>
      <c r="B102" s="1143">
        <v>1</v>
      </c>
      <c r="C102" s="1144">
        <f>1.9362/C101</f>
        <v>0.6245806451612903</v>
      </c>
      <c r="D102" s="1144">
        <f>1.9362/D101</f>
        <v>0.6245806451612903</v>
      </c>
      <c r="E102" s="1144">
        <f>1.8629/E101</f>
        <v>0.60093548387096773</v>
      </c>
      <c r="F102" s="1144">
        <f>1.8629/F101</f>
        <v>0.60093548387096773</v>
      </c>
      <c r="G102" s="1144">
        <f>1.8629/G101</f>
        <v>0.60093548387096773</v>
      </c>
      <c r="H102" s="1144">
        <f>1.8629/H101</f>
        <v>0.60093548387096773</v>
      </c>
      <c r="I102" s="1144">
        <f>1.8629/I101</f>
        <v>0.60093548387096773</v>
      </c>
      <c r="J102" s="1144">
        <f>1.942/J101</f>
        <v>0.62645161290322582</v>
      </c>
      <c r="K102" s="1144">
        <f>1.942/K101</f>
        <v>0.62645161290322582</v>
      </c>
      <c r="L102" s="1144">
        <f>1.942/L101</f>
        <v>0.62645161290322582</v>
      </c>
      <c r="M102" s="1144">
        <f>1.942/M101</f>
        <v>0.62645161290322582</v>
      </c>
      <c r="N102" s="1144">
        <f>1.942/N101</f>
        <v>0.62645161290322582</v>
      </c>
    </row>
    <row r="103" spans="1:14">
      <c r="A103" s="3433"/>
      <c r="B103" s="1143">
        <v>2</v>
      </c>
      <c r="C103" s="1144">
        <f>1.4198/C101</f>
        <v>0.45799999999999996</v>
      </c>
      <c r="D103" s="1144">
        <f>1.4198/D101</f>
        <v>0.45799999999999996</v>
      </c>
      <c r="E103" s="1144">
        <f>1.3372/E101</f>
        <v>0.43135483870967739</v>
      </c>
      <c r="F103" s="1144">
        <f>1.3372/F101</f>
        <v>0.43135483870967739</v>
      </c>
      <c r="G103" s="1144">
        <f>1.3372/G101</f>
        <v>0.43135483870967739</v>
      </c>
      <c r="H103" s="1144">
        <f>1.3372/H101</f>
        <v>0.43135483870967739</v>
      </c>
      <c r="I103" s="1144">
        <f>1.3372/I101</f>
        <v>0.43135483870967739</v>
      </c>
      <c r="J103" s="1144">
        <f>1.2799/J101</f>
        <v>0.41287096774193549</v>
      </c>
      <c r="K103" s="1144">
        <f>1.2799/K101</f>
        <v>0.41287096774193549</v>
      </c>
      <c r="L103" s="1144">
        <f>1.2799/L101</f>
        <v>0.41287096774193549</v>
      </c>
      <c r="M103" s="1144">
        <f>1.2799/M101</f>
        <v>0.41287096774193549</v>
      </c>
      <c r="N103" s="1144">
        <f>1.2799/N101</f>
        <v>0.41287096774193549</v>
      </c>
    </row>
    <row r="104" spans="1:14">
      <c r="A104" s="3433"/>
      <c r="B104" s="1143">
        <v>3</v>
      </c>
      <c r="C104" s="1144">
        <f>1.1594/C101</f>
        <v>0.374</v>
      </c>
      <c r="D104" s="1144">
        <f>1.1594/D101</f>
        <v>0.374</v>
      </c>
      <c r="E104" s="1144">
        <f>1.0788/E101</f>
        <v>0.34799999999999998</v>
      </c>
      <c r="F104" s="1144">
        <f>1.0788/F101</f>
        <v>0.34799999999999998</v>
      </c>
      <c r="G104" s="1144">
        <f>1.0788/G101</f>
        <v>0.34799999999999998</v>
      </c>
      <c r="H104" s="1144">
        <f>1.0788/H101</f>
        <v>0.34799999999999998</v>
      </c>
      <c r="I104" s="1144">
        <f>1.0788/I101</f>
        <v>0.34799999999999998</v>
      </c>
      <c r="J104" s="1144">
        <f>1.0072/J101</f>
        <v>0.32490322580645165</v>
      </c>
      <c r="K104" s="1144">
        <f>1.0072/K101</f>
        <v>0.32490322580645165</v>
      </c>
      <c r="L104" s="1144">
        <f>1.0072/L101</f>
        <v>0.32490322580645165</v>
      </c>
      <c r="M104" s="1144">
        <f>1.0072/M101</f>
        <v>0.32490322580645165</v>
      </c>
      <c r="N104" s="1144">
        <f>1.0072/N101</f>
        <v>0.32490322580645165</v>
      </c>
    </row>
    <row r="105" spans="1:14">
      <c r="A105" s="3433"/>
      <c r="B105" s="1143">
        <v>4</v>
      </c>
      <c r="C105" s="1144">
        <f>0.9622/C101</f>
        <v>0.31038709677419357</v>
      </c>
      <c r="D105" s="1144">
        <f>0.9622/D101</f>
        <v>0.31038709677419357</v>
      </c>
      <c r="E105" s="1144">
        <f>0.8656/E101</f>
        <v>0.27922580645161293</v>
      </c>
      <c r="F105" s="1144">
        <f>0.8656/F101</f>
        <v>0.27922580645161293</v>
      </c>
      <c r="G105" s="1144">
        <f>0.8656/G101</f>
        <v>0.27922580645161293</v>
      </c>
      <c r="H105" s="1144">
        <f>0.8656/H101</f>
        <v>0.27922580645161293</v>
      </c>
      <c r="I105" s="1144">
        <f>0.8656/I101</f>
        <v>0.27922580645161293</v>
      </c>
      <c r="J105" s="1144">
        <f>0.7525/J101</f>
        <v>0.24274193548387094</v>
      </c>
      <c r="K105" s="1144">
        <f>0.7525/K101</f>
        <v>0.24274193548387094</v>
      </c>
      <c r="L105" s="1144">
        <f>0.7525/L101</f>
        <v>0.24274193548387094</v>
      </c>
      <c r="M105" s="1144">
        <f>0.7525/M101</f>
        <v>0.24274193548387094</v>
      </c>
      <c r="N105" s="1144">
        <f>0.7525/N101</f>
        <v>0.24274193548387094</v>
      </c>
    </row>
    <row r="106" spans="1:14">
      <c r="A106" s="3433"/>
      <c r="B106" s="1143">
        <v>5</v>
      </c>
      <c r="C106" s="1144">
        <f>0.8417/C101</f>
        <v>0.27151612903225808</v>
      </c>
      <c r="D106" s="1144">
        <f>0.8417/D101</f>
        <v>0.27151612903225808</v>
      </c>
      <c r="E106" s="1144">
        <f>0.7371/E101</f>
        <v>0.23777419354838708</v>
      </c>
      <c r="F106" s="1144">
        <f>0.7371/F101</f>
        <v>0.23777419354838708</v>
      </c>
      <c r="G106" s="1144">
        <f>0.7371/G101</f>
        <v>0.23777419354838708</v>
      </c>
      <c r="H106" s="1144">
        <f>0.7371/H101</f>
        <v>0.23777419354838708</v>
      </c>
      <c r="I106" s="1144">
        <f>0.7371/I101</f>
        <v>0.23777419354838708</v>
      </c>
      <c r="J106" s="1144">
        <f>0.5659/J101</f>
        <v>0.18254838709677418</v>
      </c>
      <c r="K106" s="1144">
        <f>0.5659/K101</f>
        <v>0.18254838709677418</v>
      </c>
      <c r="L106" s="1144">
        <f>0.5659/L101</f>
        <v>0.18254838709677418</v>
      </c>
      <c r="M106" s="1144">
        <f>0.5659/M101</f>
        <v>0.18254838709677418</v>
      </c>
      <c r="N106" s="1144">
        <f>0.5659/N101</f>
        <v>0.18254838709677418</v>
      </c>
    </row>
    <row r="107" spans="1:14">
      <c r="A107" s="3433"/>
      <c r="B107" s="1143">
        <v>6</v>
      </c>
      <c r="C107" s="1144">
        <f>0.7608/C101</f>
        <v>0.24541935483870969</v>
      </c>
      <c r="D107" s="1144">
        <f>0.7608/D101</f>
        <v>0.24541935483870969</v>
      </c>
      <c r="E107" s="1144">
        <f>0.6482/E101</f>
        <v>0.20909677419354838</v>
      </c>
      <c r="F107" s="1144">
        <f>0.6482/F101</f>
        <v>0.20909677419354838</v>
      </c>
      <c r="G107" s="1144">
        <f>0.6482/G101</f>
        <v>0.20909677419354838</v>
      </c>
      <c r="H107" s="1144">
        <f>0.6482/H101</f>
        <v>0.20909677419354838</v>
      </c>
      <c r="I107" s="1144">
        <f>0.6482/I101</f>
        <v>0.20909677419354838</v>
      </c>
      <c r="J107" s="1144">
        <f>0.4525/J101</f>
        <v>0.14596774193548387</v>
      </c>
      <c r="K107" s="1144">
        <f>0.4525/K101</f>
        <v>0.14596774193548387</v>
      </c>
      <c r="L107" s="1144">
        <f>0.4525/L101</f>
        <v>0.14596774193548387</v>
      </c>
      <c r="M107" s="1144">
        <f>0.4525/M101</f>
        <v>0.14596774193548387</v>
      </c>
      <c r="N107" s="1144">
        <f>0.4525/N101</f>
        <v>0.14596774193548387</v>
      </c>
    </row>
    <row r="108" spans="1:14">
      <c r="A108" s="3433"/>
      <c r="B108" s="343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4"/>
      <c r="B109" s="3436"/>
      <c r="C109" s="1146">
        <f>(-0.163*(C108^2)-0.59*C108+7617)*(10^(-4))/C101</f>
        <v>0.24522090322580645</v>
      </c>
      <c r="D109" s="1146">
        <f>(-0.163*(D108^2)-0.59*D108+7617)*(10^(-4))/D101</f>
        <v>0.24522090322580645</v>
      </c>
      <c r="E109" s="1146">
        <f>(-0.161*(E108^2)-7.509*E108+6533)*(10^(-4))/E101</f>
        <v>0.20847174193548387</v>
      </c>
      <c r="F109" s="1146">
        <f>(-0.161*(F108^2)-7.509*F108+6533)*(10^(-4))/F101</f>
        <v>0.20847174193548387</v>
      </c>
      <c r="G109" s="1146">
        <f>(-0.161*(G108^2)-7.509*G108+6533)*(10^(-4))/G101</f>
        <v>0.20847174193548387</v>
      </c>
      <c r="H109" s="1146">
        <f>(-0.161*(H108^2)-7.509*H108+6533)*(10^(-4))/H101</f>
        <v>0.20847174193548387</v>
      </c>
      <c r="I109" s="1146">
        <f>(-0.161*(I108^2)-7.509*I108+6533)*(10^(-4))/I101</f>
        <v>0.20847174193548387</v>
      </c>
      <c r="J109" s="1146">
        <f>(-0.214*(J108^2)-21.991*J108+4665)*(10^(-4))/J101</f>
        <v>0.1443669677419355</v>
      </c>
      <c r="K109" s="1146">
        <f>(-0.214*(K108^2)-21.991*K108+4665)*(10^(-4))/K101</f>
        <v>0.1443669677419355</v>
      </c>
      <c r="L109" s="1146">
        <f>(-0.214*(L108^2)-21.991*L108+4665)*(10^(-4))/L101</f>
        <v>0.1443669677419355</v>
      </c>
      <c r="M109" s="1146">
        <f>(-0.214*(M108^2)-21.991*M108+4665)*(10^(-4))/M101</f>
        <v>0.1443669677419355</v>
      </c>
      <c r="N109" s="1146">
        <f>(-0.214*(N108^2)-21.991*N108+4665)*(10^(-4))/N101</f>
        <v>0.1443669677419355</v>
      </c>
    </row>
    <row r="110" spans="1:14">
      <c r="A110" s="3437" t="s">
        <v>1641</v>
      </c>
      <c r="B110" s="3437"/>
      <c r="C110" s="3437"/>
      <c r="D110" s="3437"/>
      <c r="E110" s="3437"/>
      <c r="F110" s="3437"/>
      <c r="G110" s="3437"/>
      <c r="H110" s="3437"/>
      <c r="I110" s="3437"/>
      <c r="J110" s="3437"/>
      <c r="K110" s="2473"/>
      <c r="L110" s="2473"/>
      <c r="M110" s="2473"/>
      <c r="N110" s="2473"/>
    </row>
    <row r="112" spans="1:14" ht="12.75" thickBot="1"/>
    <row r="113" spans="1:13" ht="25.5" thickBot="1">
      <c r="A113" s="1016" t="s">
        <v>897</v>
      </c>
      <c r="B113" s="2476">
        <f>G3</f>
        <v>3.1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0.90439999999999998</v>
      </c>
      <c r="C115" s="1030">
        <f>B115</f>
        <v>0.90439999999999998</v>
      </c>
      <c r="D115" s="1030">
        <f>ROUND(0.8331-0.0109*B113,4)</f>
        <v>0.79930000000000001</v>
      </c>
      <c r="E115" s="1030">
        <f>D115</f>
        <v>0.79930000000000001</v>
      </c>
      <c r="F115" s="1030">
        <f>E115</f>
        <v>0.79930000000000001</v>
      </c>
      <c r="G115" s="1030">
        <f>F115</f>
        <v>0.79930000000000001</v>
      </c>
      <c r="H115" s="1030">
        <f>G115</f>
        <v>0.79930000000000001</v>
      </c>
      <c r="I115" s="1030">
        <f>ROUND(0.689-0.0155*B113,4)</f>
        <v>0.64100000000000001</v>
      </c>
      <c r="J115" s="1030">
        <f t="shared" ref="J115:M118" si="33">I115</f>
        <v>0.64100000000000001</v>
      </c>
      <c r="K115" s="1030">
        <f t="shared" si="33"/>
        <v>0.64100000000000001</v>
      </c>
      <c r="L115" s="1030">
        <f t="shared" si="33"/>
        <v>0.64100000000000001</v>
      </c>
      <c r="M115" s="1031">
        <f t="shared" si="33"/>
        <v>0.64100000000000001</v>
      </c>
    </row>
    <row r="116" spans="1:13" ht="12.75">
      <c r="A116" s="1029" t="s">
        <v>902</v>
      </c>
      <c r="B116" s="1030">
        <f>ROUND(0.949-0.012*B113,4)</f>
        <v>0.91180000000000005</v>
      </c>
      <c r="C116" s="1030">
        <f>B116</f>
        <v>0.91180000000000005</v>
      </c>
      <c r="D116" s="1030">
        <f>ROUND(0.8567-0.013*B113,4)</f>
        <v>0.81640000000000001</v>
      </c>
      <c r="E116" s="1030">
        <f t="shared" ref="E116:H117" si="34">D116</f>
        <v>0.81640000000000001</v>
      </c>
      <c r="F116" s="1030">
        <f t="shared" si="34"/>
        <v>0.81640000000000001</v>
      </c>
      <c r="G116" s="1030">
        <f t="shared" si="34"/>
        <v>0.81640000000000001</v>
      </c>
      <c r="H116" s="1030">
        <f t="shared" si="34"/>
        <v>0.81640000000000001</v>
      </c>
      <c r="I116" s="1030">
        <f>ROUND(0.7694-0.014*B113,4)</f>
        <v>0.72599999999999998</v>
      </c>
      <c r="J116" s="1030">
        <f t="shared" si="33"/>
        <v>0.72599999999999998</v>
      </c>
      <c r="K116" s="1030">
        <f t="shared" si="33"/>
        <v>0.72599999999999998</v>
      </c>
      <c r="L116" s="1030">
        <f t="shared" si="33"/>
        <v>0.72599999999999998</v>
      </c>
      <c r="M116" s="1031">
        <f t="shared" si="33"/>
        <v>0.72599999999999998</v>
      </c>
    </row>
    <row r="117" spans="1:13" ht="12.75">
      <c r="A117" s="1032" t="s">
        <v>903</v>
      </c>
      <c r="B117" s="1030">
        <f>ROUND(0.8808-0.006*B113,4)</f>
        <v>0.86219999999999997</v>
      </c>
      <c r="C117" s="1030">
        <f>B117</f>
        <v>0.86219999999999997</v>
      </c>
      <c r="D117" s="1030">
        <f>ROUND(0.8748-0.008*B113,4)</f>
        <v>0.85</v>
      </c>
      <c r="E117" s="1030">
        <f t="shared" si="34"/>
        <v>0.85</v>
      </c>
      <c r="F117" s="1030">
        <f t="shared" si="34"/>
        <v>0.85</v>
      </c>
      <c r="G117" s="1030">
        <f t="shared" si="34"/>
        <v>0.85</v>
      </c>
      <c r="H117" s="1030">
        <f t="shared" si="34"/>
        <v>0.85</v>
      </c>
      <c r="I117" s="1030">
        <f>ROUND(0.7412-0.0095*B113,4)</f>
        <v>0.71179999999999999</v>
      </c>
      <c r="J117" s="1030">
        <f t="shared" si="33"/>
        <v>0.71179999999999999</v>
      </c>
      <c r="K117" s="1030">
        <f t="shared" si="33"/>
        <v>0.71179999999999999</v>
      </c>
      <c r="L117" s="1030">
        <f t="shared" si="33"/>
        <v>0.71179999999999999</v>
      </c>
      <c r="M117" s="1031">
        <f t="shared" si="33"/>
        <v>0.71179999999999999</v>
      </c>
    </row>
    <row r="118" spans="1:13" ht="13.5" thickBot="1">
      <c r="A118" s="1033" t="s">
        <v>904</v>
      </c>
      <c r="B118" s="1034">
        <f>ROUND(0.7275-0.01*B113,4)</f>
        <v>0.69650000000000001</v>
      </c>
      <c r="C118" s="1034">
        <f>B118</f>
        <v>0.69650000000000001</v>
      </c>
      <c r="D118" s="1034">
        <f>ROUND(0.7043-0.012*B113,4)</f>
        <v>0.66710000000000003</v>
      </c>
      <c r="E118" s="1034">
        <f>D118</f>
        <v>0.66710000000000003</v>
      </c>
      <c r="F118" s="1034">
        <f>E118</f>
        <v>0.66710000000000003</v>
      </c>
      <c r="G118" s="1034">
        <f>ROUND(0.6299-0.0122*B113,4)</f>
        <v>0.59209999999999996</v>
      </c>
      <c r="H118" s="1034">
        <f>G118</f>
        <v>0.59209999999999996</v>
      </c>
      <c r="I118" s="1034">
        <f>ROUND(0.5667-0.0136*B113,4)</f>
        <v>0.52449999999999997</v>
      </c>
      <c r="J118" s="1034">
        <f t="shared" si="33"/>
        <v>0.52449999999999997</v>
      </c>
      <c r="K118" s="1034">
        <f t="shared" si="33"/>
        <v>0.52449999999999997</v>
      </c>
      <c r="L118" s="1034">
        <f t="shared" si="33"/>
        <v>0.52449999999999997</v>
      </c>
      <c r="M118" s="1035">
        <f t="shared" si="33"/>
        <v>0.52449999999999997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43" t="s">
        <v>1009</v>
      </c>
      <c r="B18" s="1154" t="s">
        <v>1448</v>
      </c>
      <c r="C18" s="1131" t="s">
        <v>1449</v>
      </c>
      <c r="D18" s="1132"/>
      <c r="E18" s="1154">
        <v>1</v>
      </c>
      <c r="F18" s="1133" t="s">
        <v>1450</v>
      </c>
      <c r="G18" s="1134"/>
      <c r="H18" s="1105"/>
      <c r="I18" s="1105"/>
    </row>
    <row r="19" spans="1:9" s="1599" customFormat="1" ht="19.5" customHeight="1">
      <c r="A19" s="3443"/>
      <c r="B19" s="3443" t="s">
        <v>1451</v>
      </c>
      <c r="C19" s="1131" t="s">
        <v>1452</v>
      </c>
      <c r="D19" s="1132"/>
      <c r="E19" s="1154">
        <v>0.9</v>
      </c>
      <c r="F19" s="1133" t="s">
        <v>1453</v>
      </c>
      <c r="G19" s="1134"/>
      <c r="H19" s="1105"/>
      <c r="I19" s="1105"/>
    </row>
    <row r="20" spans="1:9" s="1599" customFormat="1" ht="19.5" customHeight="1">
      <c r="A20" s="3443"/>
      <c r="B20" s="3443"/>
      <c r="C20" s="1131" t="s">
        <v>1454</v>
      </c>
      <c r="D20" s="1132"/>
      <c r="E20" s="1154">
        <v>1.1000000000000001</v>
      </c>
      <c r="F20" s="1133" t="s">
        <v>1455</v>
      </c>
      <c r="G20" s="1134"/>
      <c r="H20" s="1105"/>
      <c r="I20" s="1105"/>
    </row>
    <row r="21" spans="1:9" s="1599" customFormat="1" ht="19.5" customHeight="1">
      <c r="A21" s="3443"/>
      <c r="B21" s="3443"/>
      <c r="C21" s="1131" t="s">
        <v>1456</v>
      </c>
      <c r="D21" s="1132"/>
      <c r="E21" s="1154">
        <v>0.8</v>
      </c>
      <c r="F21" s="1133" t="s">
        <v>1457</v>
      </c>
      <c r="G21" s="1134"/>
      <c r="H21" s="1105"/>
      <c r="I21" s="1105"/>
    </row>
    <row r="22" spans="1:9" s="1599" customFormat="1" ht="19.5" customHeight="1">
      <c r="A22" s="3443"/>
      <c r="B22" s="3443"/>
      <c r="C22" s="1131" t="s">
        <v>1458</v>
      </c>
      <c r="D22" s="1132"/>
      <c r="E22" s="1154">
        <v>0.5</v>
      </c>
      <c r="F22" s="1133"/>
      <c r="G22" s="1134"/>
      <c r="H22" s="1105"/>
      <c r="I22" s="1105"/>
    </row>
    <row r="23" spans="1:9" s="1599" customFormat="1" ht="19.5" customHeight="1">
      <c r="A23" s="3443" t="s">
        <v>1031</v>
      </c>
      <c r="B23" s="1154" t="s">
        <v>1448</v>
      </c>
      <c r="C23" s="1131" t="s">
        <v>1459</v>
      </c>
      <c r="D23" s="1132"/>
      <c r="E23" s="1154">
        <v>1</v>
      </c>
      <c r="F23" s="1133" t="s">
        <v>1460</v>
      </c>
      <c r="G23" s="1134"/>
      <c r="H23" s="1105"/>
      <c r="I23" s="1105"/>
    </row>
    <row r="24" spans="1:9" s="1599" customFormat="1" ht="19.5" customHeight="1">
      <c r="A24" s="3443"/>
      <c r="B24" s="3443" t="s">
        <v>1451</v>
      </c>
      <c r="C24" s="1131" t="s">
        <v>1461</v>
      </c>
      <c r="D24" s="1132"/>
      <c r="E24" s="1154">
        <v>0.5</v>
      </c>
      <c r="F24" s="1133"/>
      <c r="G24" s="1134"/>
      <c r="H24" s="1105"/>
      <c r="I24" s="1105"/>
    </row>
    <row r="25" spans="1:9" s="1599" customFormat="1" ht="19.5" customHeight="1">
      <c r="A25" s="3443"/>
      <c r="B25" s="3443"/>
      <c r="C25" s="1131" t="s">
        <v>1462</v>
      </c>
      <c r="D25" s="1132"/>
      <c r="E25" s="1154">
        <v>1.1000000000000001</v>
      </c>
      <c r="F25" s="1133"/>
      <c r="G25" s="1134"/>
      <c r="H25" s="1105"/>
      <c r="I25" s="1105"/>
    </row>
    <row r="26" spans="1:9" s="1599" customFormat="1" ht="19.5" customHeight="1">
      <c r="A26" s="3443"/>
      <c r="B26" s="3443"/>
      <c r="C26" s="1131" t="s">
        <v>1463</v>
      </c>
      <c r="D26" s="1132"/>
      <c r="E26" s="1154">
        <v>1.1000000000000001</v>
      </c>
      <c r="F26" s="1133"/>
      <c r="G26" s="1134"/>
      <c r="H26" s="1105"/>
      <c r="I26" s="1105"/>
    </row>
    <row r="27" spans="1:9" s="1599" customFormat="1" ht="19.5" customHeight="1">
      <c r="A27" s="3443"/>
      <c r="B27" s="3443"/>
      <c r="C27" s="1131" t="s">
        <v>1464</v>
      </c>
      <c r="D27" s="1132"/>
      <c r="E27" s="1154">
        <v>0.9</v>
      </c>
      <c r="F27" s="1133" t="s">
        <v>1465</v>
      </c>
      <c r="G27" s="1134"/>
      <c r="H27" s="1105"/>
      <c r="I27" s="1105"/>
    </row>
    <row r="28" spans="1:9" s="1599" customFormat="1" ht="19.5" customHeight="1">
      <c r="A28" s="3443"/>
      <c r="B28" s="3443"/>
      <c r="C28" s="1131" t="s">
        <v>1466</v>
      </c>
      <c r="D28" s="1132"/>
      <c r="E28" s="1154">
        <v>0.9</v>
      </c>
      <c r="F28" s="1133" t="s">
        <v>1467</v>
      </c>
      <c r="G28" s="1134"/>
      <c r="H28" s="1105"/>
      <c r="I28" s="1105"/>
    </row>
    <row r="29" spans="1:9" s="1599" customFormat="1" ht="19.5" customHeight="1">
      <c r="A29" s="3443"/>
      <c r="B29" s="3443"/>
      <c r="C29" s="1131" t="s">
        <v>1468</v>
      </c>
      <c r="D29" s="1132"/>
      <c r="E29" s="1154">
        <v>0.9</v>
      </c>
      <c r="F29" s="1133" t="s">
        <v>1469</v>
      </c>
      <c r="G29" s="1134"/>
      <c r="H29" s="1105"/>
      <c r="I29" s="1105"/>
    </row>
    <row r="30" spans="1:9" s="1599" customFormat="1" ht="19.5" customHeight="1">
      <c r="A30" s="3443"/>
      <c r="B30" s="3443"/>
      <c r="C30" s="1131" t="s">
        <v>1470</v>
      </c>
      <c r="D30" s="1132"/>
      <c r="E30" s="1154">
        <v>0.9</v>
      </c>
      <c r="F30" s="1133" t="s">
        <v>1471</v>
      </c>
      <c r="G30" s="1134"/>
      <c r="H30" s="1105"/>
      <c r="I30" s="1105"/>
    </row>
    <row r="31" spans="1:9" s="1599" customFormat="1" ht="19.5" customHeight="1">
      <c r="A31" s="3443"/>
      <c r="B31" s="3443"/>
      <c r="C31" s="1131" t="s">
        <v>1472</v>
      </c>
      <c r="D31" s="1132"/>
      <c r="E31" s="1154">
        <v>0.8</v>
      </c>
      <c r="F31" s="1133" t="s">
        <v>1473</v>
      </c>
      <c r="G31" s="1134"/>
      <c r="H31" s="1105"/>
      <c r="I31" s="1105"/>
    </row>
    <row r="32" spans="1:9" s="1599" customFormat="1" ht="19.5" customHeight="1">
      <c r="A32" s="3443"/>
      <c r="B32" s="3443"/>
      <c r="C32" s="1131" t="s">
        <v>1474</v>
      </c>
      <c r="D32" s="1132"/>
      <c r="E32" s="1154">
        <v>0.8</v>
      </c>
      <c r="F32" s="1133" t="s">
        <v>1475</v>
      </c>
      <c r="G32" s="1134"/>
      <c r="H32" s="1105"/>
      <c r="I32" s="1105"/>
    </row>
    <row r="33" spans="1:9" s="1599" customFormat="1" ht="19.5" customHeight="1">
      <c r="A33" s="3443" t="s">
        <v>1476</v>
      </c>
      <c r="B33" s="1154" t="s">
        <v>1448</v>
      </c>
      <c r="C33" s="1131" t="s">
        <v>1477</v>
      </c>
      <c r="D33" s="1132"/>
      <c r="E33" s="1154">
        <v>1</v>
      </c>
      <c r="F33" s="1133" t="s">
        <v>1478</v>
      </c>
      <c r="G33" s="1134"/>
      <c r="H33" s="1105"/>
      <c r="I33" s="1105"/>
    </row>
    <row r="34" spans="1:9" s="1599" customFormat="1" ht="19.5" customHeight="1">
      <c r="A34" s="3443"/>
      <c r="B34" s="1154" t="s">
        <v>1451</v>
      </c>
      <c r="C34" s="1131" t="s">
        <v>1479</v>
      </c>
      <c r="D34" s="1132"/>
      <c r="E34" s="1154">
        <v>1.5</v>
      </c>
      <c r="F34" s="1133" t="s">
        <v>1480</v>
      </c>
      <c r="G34" s="1134"/>
      <c r="H34" s="1105"/>
      <c r="I34" s="1105"/>
    </row>
    <row r="35" spans="1:9" s="1599" customFormat="1" ht="19.5" customHeight="1">
      <c r="A35" s="3443" t="s">
        <v>1434</v>
      </c>
      <c r="B35" s="1154" t="s">
        <v>1448</v>
      </c>
      <c r="C35" s="1131" t="s">
        <v>1481</v>
      </c>
      <c r="D35" s="1132"/>
      <c r="E35" s="1154">
        <v>1</v>
      </c>
      <c r="F35" s="1133" t="s">
        <v>1482</v>
      </c>
      <c r="G35" s="1134"/>
      <c r="H35" s="1105"/>
      <c r="I35" s="1105"/>
    </row>
    <row r="36" spans="1:9" s="1599" customFormat="1" ht="19.5" customHeight="1">
      <c r="A36" s="3443"/>
      <c r="B36" s="3443" t="s">
        <v>1451</v>
      </c>
      <c r="C36" s="1131" t="s">
        <v>1483</v>
      </c>
      <c r="D36" s="1132"/>
      <c r="E36" s="1154">
        <v>1</v>
      </c>
      <c r="F36" s="1133" t="s">
        <v>1484</v>
      </c>
      <c r="G36" s="1134"/>
      <c r="H36" s="1105"/>
      <c r="I36" s="1105"/>
    </row>
    <row r="37" spans="1:9" s="1599" customFormat="1" ht="19.5" customHeight="1">
      <c r="A37" s="3443"/>
      <c r="B37" s="3443"/>
      <c r="C37" s="1131" t="s">
        <v>1485</v>
      </c>
      <c r="D37" s="1132"/>
      <c r="E37" s="1154">
        <v>1.5</v>
      </c>
      <c r="F37" s="1133" t="s">
        <v>1486</v>
      </c>
      <c r="G37" s="1134"/>
      <c r="H37" s="1105"/>
      <c r="I37" s="1105"/>
    </row>
    <row r="38" spans="1:9" s="1599" customFormat="1" ht="19.5" customHeight="1">
      <c r="A38" s="3443"/>
      <c r="B38" s="3443"/>
      <c r="C38" s="1131" t="s">
        <v>1487</v>
      </c>
      <c r="D38" s="1132"/>
      <c r="E38" s="1154">
        <v>1</v>
      </c>
      <c r="F38" s="1133" t="s">
        <v>1488</v>
      </c>
      <c r="G38" s="1134"/>
      <c r="H38" s="1105"/>
      <c r="I38" s="1105"/>
    </row>
    <row r="39" spans="1:9" s="1599" customFormat="1" ht="19.5" customHeight="1">
      <c r="A39" s="3443"/>
      <c r="B39" s="3443"/>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43" t="s">
        <v>1503</v>
      </c>
      <c r="C61" s="1068" t="s">
        <v>1504</v>
      </c>
      <c r="D61" s="1068" t="s">
        <v>1505</v>
      </c>
      <c r="E61" s="1139">
        <v>0.5</v>
      </c>
      <c r="F61" s="1154">
        <v>80</v>
      </c>
      <c r="H61" s="1105">
        <f>SUMIF(C59:C119,基准地价!C8,E59:E119)</f>
        <v>0</v>
      </c>
    </row>
    <row r="62" spans="1:8" s="1105" customFormat="1" ht="24">
      <c r="A62" s="1154">
        <v>2</v>
      </c>
      <c r="B62" s="3443"/>
      <c r="C62" s="1068" t="s">
        <v>1506</v>
      </c>
      <c r="D62" s="1068" t="s">
        <v>1507</v>
      </c>
      <c r="E62" s="1139">
        <v>0.5</v>
      </c>
      <c r="F62" s="1154">
        <v>80</v>
      </c>
    </row>
    <row r="63" spans="1:8" s="1105" customFormat="1" ht="36">
      <c r="A63" s="1154">
        <v>3</v>
      </c>
      <c r="B63" s="3443"/>
      <c r="C63" s="1068" t="s">
        <v>1508</v>
      </c>
      <c r="D63" s="1068" t="s">
        <v>1509</v>
      </c>
      <c r="E63" s="1139">
        <v>0.5</v>
      </c>
      <c r="F63" s="1154">
        <v>80</v>
      </c>
    </row>
    <row r="64" spans="1:8" s="1105" customFormat="1" ht="36">
      <c r="A64" s="1154">
        <v>4</v>
      </c>
      <c r="B64" s="3443"/>
      <c r="C64" s="1068" t="s">
        <v>1510</v>
      </c>
      <c r="D64" s="1068" t="s">
        <v>1511</v>
      </c>
      <c r="E64" s="1139">
        <v>0.4</v>
      </c>
      <c r="F64" s="1154">
        <v>60</v>
      </c>
    </row>
    <row r="65" spans="1:6" s="1105" customFormat="1" ht="36">
      <c r="A65" s="1154">
        <v>5</v>
      </c>
      <c r="B65" s="3443"/>
      <c r="C65" s="1068" t="s">
        <v>1512</v>
      </c>
      <c r="D65" s="1068" t="s">
        <v>1513</v>
      </c>
      <c r="E65" s="1139">
        <v>0.2</v>
      </c>
      <c r="F65" s="1154">
        <v>30</v>
      </c>
    </row>
    <row r="66" spans="1:6" s="1105" customFormat="1" ht="36">
      <c r="A66" s="1154">
        <v>6</v>
      </c>
      <c r="B66" s="3443"/>
      <c r="C66" s="1068" t="s">
        <v>1514</v>
      </c>
      <c r="D66" s="1068" t="s">
        <v>1515</v>
      </c>
      <c r="E66" s="1139">
        <v>0.3</v>
      </c>
      <c r="F66" s="1154">
        <v>50</v>
      </c>
    </row>
    <row r="67" spans="1:6" s="1105" customFormat="1" ht="36">
      <c r="A67" s="1154">
        <v>7</v>
      </c>
      <c r="B67" s="3443"/>
      <c r="C67" s="1068" t="s">
        <v>1516</v>
      </c>
      <c r="D67" s="1068" t="s">
        <v>1517</v>
      </c>
      <c r="E67" s="1139">
        <v>0.2</v>
      </c>
      <c r="F67" s="1154">
        <v>30</v>
      </c>
    </row>
    <row r="68" spans="1:6" s="1105" customFormat="1" ht="36">
      <c r="A68" s="1154">
        <v>8</v>
      </c>
      <c r="B68" s="3443"/>
      <c r="C68" s="1068" t="s">
        <v>1518</v>
      </c>
      <c r="D68" s="1068" t="s">
        <v>1519</v>
      </c>
      <c r="E68" s="1139">
        <v>0.2</v>
      </c>
      <c r="F68" s="1154">
        <v>30</v>
      </c>
    </row>
    <row r="69" spans="1:6" s="1105" customFormat="1" ht="36">
      <c r="A69" s="1154">
        <v>9</v>
      </c>
      <c r="B69" s="3443"/>
      <c r="C69" s="1068" t="s">
        <v>1520</v>
      </c>
      <c r="D69" s="1068" t="s">
        <v>1521</v>
      </c>
      <c r="E69" s="1139">
        <v>0.2</v>
      </c>
      <c r="F69" s="1154">
        <v>30</v>
      </c>
    </row>
    <row r="70" spans="1:6" s="1105" customFormat="1" ht="48">
      <c r="A70" s="1154">
        <v>10</v>
      </c>
      <c r="B70" s="3443"/>
      <c r="C70" s="1068" t="s">
        <v>1522</v>
      </c>
      <c r="D70" s="1068" t="s">
        <v>1523</v>
      </c>
      <c r="E70" s="1139">
        <v>0.2</v>
      </c>
      <c r="F70" s="1154">
        <v>30</v>
      </c>
    </row>
    <row r="71" spans="1:6" s="1105" customFormat="1" ht="48">
      <c r="A71" s="1154">
        <v>11</v>
      </c>
      <c r="B71" s="3443"/>
      <c r="C71" s="1068" t="s">
        <v>1524</v>
      </c>
      <c r="D71" s="1068" t="s">
        <v>1525</v>
      </c>
      <c r="E71" s="1139">
        <v>0.2</v>
      </c>
      <c r="F71" s="1154">
        <v>30</v>
      </c>
    </row>
    <row r="72" spans="1:6" s="1105" customFormat="1" ht="36">
      <c r="A72" s="1154">
        <v>12</v>
      </c>
      <c r="B72" s="3443"/>
      <c r="C72" s="1068" t="s">
        <v>1526</v>
      </c>
      <c r="D72" s="1068" t="s">
        <v>1527</v>
      </c>
      <c r="E72" s="1139">
        <v>0.5</v>
      </c>
      <c r="F72" s="1154">
        <v>80</v>
      </c>
    </row>
    <row r="73" spans="1:6" s="1105" customFormat="1" ht="24">
      <c r="A73" s="1154">
        <v>13</v>
      </c>
      <c r="B73" s="3443"/>
      <c r="C73" s="1068" t="s">
        <v>1528</v>
      </c>
      <c r="D73" s="1068" t="s">
        <v>1529</v>
      </c>
      <c r="E73" s="1139">
        <v>0.4</v>
      </c>
      <c r="F73" s="1154">
        <v>60</v>
      </c>
    </row>
    <row r="74" spans="1:6" s="1105" customFormat="1" ht="24">
      <c r="A74" s="1154">
        <v>14</v>
      </c>
      <c r="B74" s="3443"/>
      <c r="C74" s="1068" t="s">
        <v>1530</v>
      </c>
      <c r="D74" s="1068" t="s">
        <v>1531</v>
      </c>
      <c r="E74" s="1139">
        <v>0.2</v>
      </c>
      <c r="F74" s="1154">
        <v>30</v>
      </c>
    </row>
    <row r="75" spans="1:6" s="1105" customFormat="1" ht="24">
      <c r="A75" s="1154">
        <v>15</v>
      </c>
      <c r="B75" s="3443"/>
      <c r="C75" s="1068" t="s">
        <v>1532</v>
      </c>
      <c r="D75" s="1068" t="s">
        <v>1533</v>
      </c>
      <c r="E75" s="1139">
        <v>0.2</v>
      </c>
      <c r="F75" s="1154">
        <v>30</v>
      </c>
    </row>
    <row r="76" spans="1:6" s="1105" customFormat="1" ht="24">
      <c r="A76" s="1154">
        <v>16</v>
      </c>
      <c r="B76" s="3443" t="s">
        <v>1534</v>
      </c>
      <c r="C76" s="1068" t="s">
        <v>1535</v>
      </c>
      <c r="D76" s="1068" t="s">
        <v>1536</v>
      </c>
      <c r="E76" s="1139">
        <v>0.5</v>
      </c>
      <c r="F76" s="1154">
        <v>80</v>
      </c>
    </row>
    <row r="77" spans="1:6" s="1105" customFormat="1" ht="24">
      <c r="A77" s="1154">
        <v>17</v>
      </c>
      <c r="B77" s="3443"/>
      <c r="C77" s="1068" t="s">
        <v>1537</v>
      </c>
      <c r="D77" s="1068" t="s">
        <v>1538</v>
      </c>
      <c r="E77" s="1139">
        <v>0.5</v>
      </c>
      <c r="F77" s="1154">
        <v>80</v>
      </c>
    </row>
    <row r="78" spans="1:6" s="1105" customFormat="1" ht="24">
      <c r="A78" s="1154">
        <v>18</v>
      </c>
      <c r="B78" s="3443"/>
      <c r="C78" s="1068" t="s">
        <v>1539</v>
      </c>
      <c r="D78" s="1068" t="s">
        <v>1540</v>
      </c>
      <c r="E78" s="1139">
        <v>0.2</v>
      </c>
      <c r="F78" s="1154">
        <v>30</v>
      </c>
    </row>
    <row r="79" spans="1:6" s="1105" customFormat="1" ht="24">
      <c r="A79" s="1154">
        <v>19</v>
      </c>
      <c r="B79" s="3443"/>
      <c r="C79" s="1068" t="s">
        <v>1541</v>
      </c>
      <c r="D79" s="1068" t="s">
        <v>1542</v>
      </c>
      <c r="E79" s="1139">
        <v>0.5</v>
      </c>
      <c r="F79" s="1154">
        <v>80</v>
      </c>
    </row>
    <row r="80" spans="1:6" s="1105" customFormat="1" ht="36">
      <c r="A80" s="1154">
        <v>20</v>
      </c>
      <c r="B80" s="3443"/>
      <c r="C80" s="1068" t="s">
        <v>1543</v>
      </c>
      <c r="D80" s="1068" t="s">
        <v>1544</v>
      </c>
      <c r="E80" s="1139">
        <v>0.2</v>
      </c>
      <c r="F80" s="1154">
        <v>30</v>
      </c>
    </row>
    <row r="81" spans="1:6" s="1105" customFormat="1" ht="36">
      <c r="A81" s="1154">
        <v>21</v>
      </c>
      <c r="B81" s="3443"/>
      <c r="C81" s="1068" t="s">
        <v>1545</v>
      </c>
      <c r="D81" s="1068" t="s">
        <v>1546</v>
      </c>
      <c r="E81" s="1139">
        <v>0.2</v>
      </c>
      <c r="F81" s="1154">
        <v>30</v>
      </c>
    </row>
    <row r="82" spans="1:6" s="1105" customFormat="1" ht="48">
      <c r="A82" s="1154">
        <v>22</v>
      </c>
      <c r="B82" s="3443"/>
      <c r="C82" s="1068" t="s">
        <v>1547</v>
      </c>
      <c r="D82" s="1068" t="s">
        <v>1548</v>
      </c>
      <c r="E82" s="1139">
        <v>0.2</v>
      </c>
      <c r="F82" s="1154">
        <v>30</v>
      </c>
    </row>
    <row r="83" spans="1:6" s="1105" customFormat="1" ht="48">
      <c r="A83" s="1154">
        <v>23</v>
      </c>
      <c r="B83" s="3443"/>
      <c r="C83" s="1068" t="s">
        <v>1549</v>
      </c>
      <c r="D83" s="1068" t="s">
        <v>1550</v>
      </c>
      <c r="E83" s="1139">
        <v>0.2</v>
      </c>
      <c r="F83" s="1154">
        <v>30</v>
      </c>
    </row>
    <row r="84" spans="1:6" s="1105" customFormat="1" ht="36">
      <c r="A84" s="1154">
        <v>24</v>
      </c>
      <c r="B84" s="3443"/>
      <c r="C84" s="1068" t="s">
        <v>1551</v>
      </c>
      <c r="D84" s="1068" t="s">
        <v>1552</v>
      </c>
      <c r="E84" s="1139">
        <v>0.2</v>
      </c>
      <c r="F84" s="1154">
        <v>30</v>
      </c>
    </row>
    <row r="85" spans="1:6" s="1105" customFormat="1" ht="36">
      <c r="A85" s="1154">
        <v>25</v>
      </c>
      <c r="B85" s="3443"/>
      <c r="C85" s="1068" t="s">
        <v>1553</v>
      </c>
      <c r="D85" s="1068" t="s">
        <v>1554</v>
      </c>
      <c r="E85" s="1139">
        <v>0.5</v>
      </c>
      <c r="F85" s="1154">
        <v>80</v>
      </c>
    </row>
    <row r="86" spans="1:6" s="1105" customFormat="1" ht="36">
      <c r="A86" s="1154">
        <v>26</v>
      </c>
      <c r="B86" s="3443"/>
      <c r="C86" s="1068" t="s">
        <v>1555</v>
      </c>
      <c r="D86" s="1068" t="s">
        <v>1556</v>
      </c>
      <c r="E86" s="1139">
        <v>0.2</v>
      </c>
      <c r="F86" s="1154">
        <v>30</v>
      </c>
    </row>
    <row r="87" spans="1:6" s="1105" customFormat="1" ht="36">
      <c r="A87" s="1154">
        <v>27</v>
      </c>
      <c r="B87" s="3443"/>
      <c r="C87" s="1068" t="s">
        <v>1557</v>
      </c>
      <c r="D87" s="1068" t="s">
        <v>1558</v>
      </c>
      <c r="E87" s="1139">
        <v>0.2</v>
      </c>
      <c r="F87" s="1154">
        <v>30</v>
      </c>
    </row>
    <row r="88" spans="1:6" s="1105" customFormat="1" ht="36">
      <c r="A88" s="1154">
        <v>28</v>
      </c>
      <c r="B88" s="3443"/>
      <c r="C88" s="1068" t="s">
        <v>1559</v>
      </c>
      <c r="D88" s="1068" t="s">
        <v>1560</v>
      </c>
      <c r="E88" s="1139">
        <v>0.2</v>
      </c>
      <c r="F88" s="1154">
        <v>30</v>
      </c>
    </row>
    <row r="89" spans="1:6" s="1105" customFormat="1" ht="24">
      <c r="A89" s="1154">
        <v>29</v>
      </c>
      <c r="B89" s="3443"/>
      <c r="C89" s="1068" t="s">
        <v>1561</v>
      </c>
      <c r="D89" s="1068" t="s">
        <v>1562</v>
      </c>
      <c r="E89" s="1139">
        <v>0.2</v>
      </c>
      <c r="F89" s="1154">
        <v>30</v>
      </c>
    </row>
    <row r="90" spans="1:6" s="1105" customFormat="1" ht="24">
      <c r="A90" s="1154">
        <v>30</v>
      </c>
      <c r="B90" s="3443"/>
      <c r="C90" s="1068" t="s">
        <v>1563</v>
      </c>
      <c r="D90" s="1068" t="s">
        <v>1564</v>
      </c>
      <c r="E90" s="1139">
        <v>0.2</v>
      </c>
      <c r="F90" s="1154">
        <v>30</v>
      </c>
    </row>
    <row r="91" spans="1:6" s="1105" customFormat="1" ht="36">
      <c r="A91" s="1154">
        <v>31</v>
      </c>
      <c r="B91" s="3443"/>
      <c r="C91" s="1068" t="s">
        <v>1565</v>
      </c>
      <c r="D91" s="1068" t="s">
        <v>1566</v>
      </c>
      <c r="E91" s="1139">
        <v>0.2</v>
      </c>
      <c r="F91" s="1154">
        <v>30</v>
      </c>
    </row>
    <row r="92" spans="1:6" s="1105" customFormat="1" ht="24">
      <c r="A92" s="1154">
        <v>32</v>
      </c>
      <c r="B92" s="3443" t="s">
        <v>1567</v>
      </c>
      <c r="C92" s="1154" t="s">
        <v>1568</v>
      </c>
      <c r="D92" s="1068" t="s">
        <v>1569</v>
      </c>
      <c r="E92" s="1139">
        <v>0.2</v>
      </c>
      <c r="F92" s="1154">
        <v>30</v>
      </c>
    </row>
    <row r="93" spans="1:6" s="1105" customFormat="1" ht="36">
      <c r="A93" s="1154">
        <v>33</v>
      </c>
      <c r="B93" s="3443"/>
      <c r="C93" s="1154" t="s">
        <v>1570</v>
      </c>
      <c r="D93" s="1068" t="s">
        <v>1571</v>
      </c>
      <c r="E93" s="1139">
        <v>0.2</v>
      </c>
      <c r="F93" s="1154">
        <v>30</v>
      </c>
    </row>
    <row r="94" spans="1:6" s="1105" customFormat="1" ht="48">
      <c r="A94" s="1154">
        <v>34</v>
      </c>
      <c r="B94" s="3443"/>
      <c r="C94" s="1154" t="s">
        <v>1572</v>
      </c>
      <c r="D94" s="1068" t="s">
        <v>1573</v>
      </c>
      <c r="E94" s="1139">
        <v>0.2</v>
      </c>
      <c r="F94" s="1154">
        <v>30</v>
      </c>
    </row>
    <row r="95" spans="1:6" s="1105" customFormat="1" ht="36">
      <c r="A95" s="1154">
        <v>35</v>
      </c>
      <c r="B95" s="3443"/>
      <c r="C95" s="1154" t="s">
        <v>1574</v>
      </c>
      <c r="D95" s="1068" t="s">
        <v>1575</v>
      </c>
      <c r="E95" s="1139">
        <v>0.2</v>
      </c>
      <c r="F95" s="1154">
        <v>30</v>
      </c>
    </row>
    <row r="96" spans="1:6" s="1105" customFormat="1" ht="48">
      <c r="A96" s="1154">
        <v>36</v>
      </c>
      <c r="B96" s="3443"/>
      <c r="C96" s="1068" t="s">
        <v>1576</v>
      </c>
      <c r="D96" s="1068" t="s">
        <v>1577</v>
      </c>
      <c r="E96" s="1139">
        <v>0.2</v>
      </c>
      <c r="F96" s="1154">
        <v>30</v>
      </c>
    </row>
    <row r="97" spans="1:6" s="1105" customFormat="1" ht="36">
      <c r="A97" s="1154">
        <v>37</v>
      </c>
      <c r="B97" s="3443"/>
      <c r="C97" s="1154" t="s">
        <v>1578</v>
      </c>
      <c r="D97" s="1068" t="s">
        <v>1579</v>
      </c>
      <c r="E97" s="1139">
        <v>0.2</v>
      </c>
      <c r="F97" s="1154">
        <v>30</v>
      </c>
    </row>
    <row r="98" spans="1:6" s="1105" customFormat="1" ht="36">
      <c r="A98" s="1154">
        <v>38</v>
      </c>
      <c r="B98" s="3443"/>
      <c r="C98" s="1154" t="s">
        <v>1580</v>
      </c>
      <c r="D98" s="1068" t="s">
        <v>1581</v>
      </c>
      <c r="E98" s="1139">
        <v>0.2</v>
      </c>
      <c r="F98" s="1154">
        <v>30</v>
      </c>
    </row>
    <row r="99" spans="1:6" s="1105" customFormat="1" ht="36">
      <c r="A99" s="1154">
        <v>39</v>
      </c>
      <c r="B99" s="3443" t="s">
        <v>1582</v>
      </c>
      <c r="C99" s="1154" t="s">
        <v>1583</v>
      </c>
      <c r="D99" s="1068" t="s">
        <v>1584</v>
      </c>
      <c r="E99" s="1139">
        <v>0.3</v>
      </c>
      <c r="F99" s="1154">
        <v>50</v>
      </c>
    </row>
    <row r="100" spans="1:6" s="1105" customFormat="1" ht="24">
      <c r="A100" s="1154">
        <v>40</v>
      </c>
      <c r="B100" s="3443"/>
      <c r="C100" s="1154" t="s">
        <v>1585</v>
      </c>
      <c r="D100" s="1068" t="s">
        <v>1586</v>
      </c>
      <c r="E100" s="1139">
        <v>0.2</v>
      </c>
      <c r="F100" s="1154">
        <v>30</v>
      </c>
    </row>
    <row r="101" spans="1:6" s="1105" customFormat="1" ht="36">
      <c r="A101" s="1154">
        <v>41</v>
      </c>
      <c r="B101" s="3443"/>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43" t="s">
        <v>1597</v>
      </c>
      <c r="C105" s="1154" t="s">
        <v>1598</v>
      </c>
      <c r="D105" s="1068" t="s">
        <v>1599</v>
      </c>
      <c r="E105" s="1139">
        <v>0.2</v>
      </c>
      <c r="F105" s="1154">
        <v>30</v>
      </c>
    </row>
    <row r="106" spans="1:6" s="1105" customFormat="1" ht="36">
      <c r="A106" s="1154">
        <v>46</v>
      </c>
      <c r="B106" s="3443"/>
      <c r="C106" s="1154" t="s">
        <v>1600</v>
      </c>
      <c r="D106" s="1068" t="s">
        <v>1601</v>
      </c>
      <c r="E106" s="1139">
        <v>0.2</v>
      </c>
      <c r="F106" s="1154">
        <v>30</v>
      </c>
    </row>
    <row r="107" spans="1:6" s="1105" customFormat="1" ht="36">
      <c r="A107" s="1154">
        <v>47</v>
      </c>
      <c r="B107" s="3443" t="s">
        <v>1602</v>
      </c>
      <c r="C107" s="1154" t="s">
        <v>1603</v>
      </c>
      <c r="D107" s="1068" t="s">
        <v>1604</v>
      </c>
      <c r="E107" s="1139">
        <v>0.3</v>
      </c>
      <c r="F107" s="1154">
        <v>50</v>
      </c>
    </row>
    <row r="108" spans="1:6" s="1105" customFormat="1" ht="36">
      <c r="A108" s="1154">
        <v>48</v>
      </c>
      <c r="B108" s="3443"/>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43" t="s">
        <v>1613</v>
      </c>
      <c r="C111" s="1154" t="s">
        <v>1614</v>
      </c>
      <c r="D111" s="1068" t="s">
        <v>1615</v>
      </c>
      <c r="E111" s="1139">
        <v>0.2</v>
      </c>
      <c r="F111" s="1154">
        <v>30</v>
      </c>
    </row>
    <row r="112" spans="1:6" s="1105" customFormat="1" ht="24">
      <c r="A112" s="1154">
        <v>52</v>
      </c>
      <c r="B112" s="3443"/>
      <c r="C112" s="1154" t="s">
        <v>1616</v>
      </c>
      <c r="D112" s="1068" t="s">
        <v>1617</v>
      </c>
      <c r="E112" s="1139">
        <v>0.2</v>
      </c>
      <c r="F112" s="1154">
        <v>30</v>
      </c>
    </row>
    <row r="113" spans="1:14" s="1105" customFormat="1" ht="24">
      <c r="A113" s="1154">
        <v>53</v>
      </c>
      <c r="B113" s="3443"/>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43" t="s">
        <v>1626</v>
      </c>
      <c r="C116" s="1154" t="s">
        <v>1627</v>
      </c>
      <c r="D116" s="1068" t="s">
        <v>1628</v>
      </c>
      <c r="E116" s="1139">
        <v>0.2</v>
      </c>
      <c r="F116" s="1154">
        <v>30</v>
      </c>
    </row>
    <row r="117" spans="1:14" ht="36">
      <c r="A117" s="1154">
        <v>57</v>
      </c>
      <c r="B117" s="3443"/>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42" t="s">
        <v>1635</v>
      </c>
      <c r="B121" s="3442"/>
      <c r="C121" s="3442"/>
      <c r="D121" s="3442"/>
      <c r="E121" s="3442"/>
      <c r="F121" s="3442"/>
      <c r="G121" s="3442"/>
      <c r="H121" s="3442"/>
      <c r="I121" s="3442"/>
      <c r="J121" s="344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7" t="s">
        <v>1041</v>
      </c>
      <c r="B1" s="3447"/>
      <c r="C1" s="3447"/>
      <c r="D1" s="3447"/>
      <c r="E1" s="3447"/>
      <c r="F1" s="344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8" t="s">
        <v>1054</v>
      </c>
      <c r="B2" s="3448"/>
      <c r="C2" s="3448"/>
      <c r="D2" s="3448"/>
      <c r="E2" s="3448"/>
      <c r="F2" s="344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1" t="s">
        <v>2083</v>
      </c>
      <c r="B1" s="345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2960</v>
      </c>
      <c r="B1" s="3136"/>
      <c r="C1" s="3136"/>
      <c r="D1" s="3136"/>
      <c r="E1" s="3136"/>
      <c r="F1" s="3136"/>
    </row>
    <row r="2" spans="1:6" ht="14.25">
      <c r="A2" s="3137" t="s">
        <v>2954</v>
      </c>
      <c r="B2" s="3138" t="e">
        <f ca="1">SUMIF(B7:B14,"&lt;&gt;#ref!",B7:B14)</f>
        <v>#DIV/0!</v>
      </c>
      <c r="C2" s="3137" t="s">
        <v>2955</v>
      </c>
      <c r="D2" s="3136"/>
      <c r="E2" s="3136"/>
      <c r="F2" s="3136"/>
    </row>
    <row r="3" spans="1:6" ht="14.25">
      <c r="A3" s="3137" t="s">
        <v>2957</v>
      </c>
      <c r="B3" s="3138" t="e">
        <f ca="1">ROUND(B2*10000/E3,0)</f>
        <v>#DIV/0!</v>
      </c>
      <c r="C3" s="3137" t="s">
        <v>2082</v>
      </c>
      <c r="D3" s="3137" t="s">
        <v>2956</v>
      </c>
      <c r="E3" s="3138" t="e">
        <f ca="1">SUM(E7:E14)</f>
        <v>#REF!</v>
      </c>
      <c r="F3" s="3136"/>
    </row>
    <row r="4" spans="1:6" ht="14.25">
      <c r="A4" s="3137" t="s">
        <v>2964</v>
      </c>
      <c r="B4" s="3138" t="e">
        <f ca="1">ROUND(B2*10000/E4,0)</f>
        <v>#DIV/0!</v>
      </c>
      <c r="C4" s="3137" t="s">
        <v>2082</v>
      </c>
      <c r="D4" s="3137" t="s">
        <v>2965</v>
      </c>
      <c r="E4" s="3138" t="e">
        <f ca="1">SUM(F7:F14)</f>
        <v>#REF!</v>
      </c>
      <c r="F4" s="3136"/>
    </row>
    <row r="5" spans="1:6" ht="14.25">
      <c r="A5" s="3139"/>
      <c r="B5" s="1882"/>
      <c r="C5" s="1882"/>
      <c r="D5" s="1882"/>
      <c r="E5" s="1882"/>
      <c r="F5" s="3136"/>
    </row>
    <row r="6" spans="1:6" ht="28.5">
      <c r="A6" s="3140" t="s">
        <v>2961</v>
      </c>
      <c r="B6" s="3137" t="s">
        <v>2958</v>
      </c>
      <c r="C6" s="3138"/>
      <c r="D6" s="1882"/>
      <c r="E6" s="3137" t="s">
        <v>2959</v>
      </c>
      <c r="F6" s="3137" t="s">
        <v>2963</v>
      </c>
    </row>
    <row r="7" spans="1:6" ht="14.25">
      <c r="A7" s="258" t="s">
        <v>2962</v>
      </c>
      <c r="B7" s="3141" t="e">
        <f ca="1">SUMIF(INDIRECT("'"&amp;A7&amp;"'"&amp;"!A:A"),"总价",INDIRECT("'"&amp;A7&amp;"'"&amp;"!B:B"))</f>
        <v>#DIV/0!</v>
      </c>
      <c r="C7" s="3137" t="s">
        <v>2955</v>
      </c>
      <c r="D7" s="1882"/>
      <c r="E7" s="3142">
        <f ca="1">SUMIF(INDIRECT("'"&amp;A7&amp;"'"&amp;"!C:C"),"建筑面积",INDIRECT("'"&amp;A7&amp;"'"&amp;"!D:D"))</f>
        <v>0</v>
      </c>
      <c r="F7" s="3142">
        <f ca="1">SUMIF(INDIRECT("'"&amp;A7&amp;"'"&amp;"!E:E"),"土地面积",INDIRECT("'"&amp;A7&amp;"'"&amp;"!F:F"))</f>
        <v>0</v>
      </c>
    </row>
    <row r="8" spans="1:6" ht="14.25">
      <c r="A8" s="258"/>
      <c r="B8" s="3141" t="e">
        <f t="shared" ref="B8:B14" ca="1" si="0">SUMIF(INDIRECT("'"&amp;A8&amp;"'"&amp;"!A:A"),"总价",INDIRECT("'"&amp;A8&amp;"'"&amp;"!B:B"))</f>
        <v>#REF!</v>
      </c>
      <c r="C8" s="3137" t="s">
        <v>2955</v>
      </c>
      <c r="D8" s="1882"/>
      <c r="E8" s="3142" t="e">
        <f t="shared" ref="E8:E14" ca="1" si="1">SUMIF(INDIRECT("'"&amp;A8&amp;"'"&amp;"!C:C"),"建筑面积",INDIRECT("'"&amp;A8&amp;"'"&amp;"!D:D"))</f>
        <v>#REF!</v>
      </c>
      <c r="F8" s="3142" t="e">
        <f t="shared" ref="F8:F14" ca="1" si="2">SUMIF(INDIRECT("'"&amp;A8&amp;"'"&amp;"!E:E"),"土地面积",INDIRECT("'"&amp;A8&amp;"'"&amp;"!F:F"))</f>
        <v>#REF!</v>
      </c>
    </row>
    <row r="9" spans="1:6" ht="14.25">
      <c r="A9" s="258"/>
      <c r="B9" s="3141" t="e">
        <f t="shared" ca="1" si="0"/>
        <v>#REF!</v>
      </c>
      <c r="C9" s="3137" t="s">
        <v>2955</v>
      </c>
      <c r="D9" s="1882"/>
      <c r="E9" s="3142" t="e">
        <f t="shared" ca="1" si="1"/>
        <v>#REF!</v>
      </c>
      <c r="F9" s="3142" t="e">
        <f t="shared" ca="1" si="2"/>
        <v>#REF!</v>
      </c>
    </row>
    <row r="10" spans="1:6" ht="14.25">
      <c r="A10" s="258"/>
      <c r="B10" s="3141" t="e">
        <f t="shared" ca="1" si="0"/>
        <v>#REF!</v>
      </c>
      <c r="C10" s="3137" t="s">
        <v>2955</v>
      </c>
      <c r="D10" s="1882"/>
      <c r="E10" s="3142" t="e">
        <f t="shared" ca="1" si="1"/>
        <v>#REF!</v>
      </c>
      <c r="F10" s="3142" t="e">
        <f t="shared" ca="1" si="2"/>
        <v>#REF!</v>
      </c>
    </row>
    <row r="11" spans="1:6" ht="14.25">
      <c r="A11" s="258"/>
      <c r="B11" s="3141" t="e">
        <f t="shared" ca="1" si="0"/>
        <v>#REF!</v>
      </c>
      <c r="C11" s="3137" t="s">
        <v>2955</v>
      </c>
      <c r="D11" s="1882"/>
      <c r="E11" s="3142" t="e">
        <f t="shared" ca="1" si="1"/>
        <v>#REF!</v>
      </c>
      <c r="F11" s="3142" t="e">
        <f t="shared" ca="1" si="2"/>
        <v>#REF!</v>
      </c>
    </row>
    <row r="12" spans="1:6" ht="14.25">
      <c r="A12" s="258"/>
      <c r="B12" s="3141" t="e">
        <f t="shared" ca="1" si="0"/>
        <v>#REF!</v>
      </c>
      <c r="C12" s="3137" t="s">
        <v>2955</v>
      </c>
      <c r="D12" s="1882"/>
      <c r="E12" s="3142" t="e">
        <f t="shared" ca="1" si="1"/>
        <v>#REF!</v>
      </c>
      <c r="F12" s="3142" t="e">
        <f t="shared" ca="1" si="2"/>
        <v>#REF!</v>
      </c>
    </row>
    <row r="13" spans="1:6" ht="14.25">
      <c r="A13" s="258"/>
      <c r="B13" s="3141" t="e">
        <f t="shared" ca="1" si="0"/>
        <v>#REF!</v>
      </c>
      <c r="C13" s="3137" t="s">
        <v>2955</v>
      </c>
      <c r="D13" s="1882"/>
      <c r="E13" s="3142" t="e">
        <f t="shared" ca="1" si="1"/>
        <v>#REF!</v>
      </c>
      <c r="F13" s="3142" t="e">
        <f t="shared" ca="1" si="2"/>
        <v>#REF!</v>
      </c>
    </row>
    <row r="14" spans="1:6" ht="14.25">
      <c r="A14" s="3135"/>
      <c r="B14" s="3141" t="e">
        <f t="shared" ca="1" si="0"/>
        <v>#REF!</v>
      </c>
      <c r="C14" s="3137" t="s">
        <v>2955</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629</v>
      </c>
      <c r="B1" s="739"/>
      <c r="C1" s="774"/>
      <c r="D1" s="2051"/>
      <c r="E1" s="2412" t="s">
        <v>2379</v>
      </c>
      <c r="F1" s="2413">
        <f ca="1">J54</f>
        <v>0</v>
      </c>
      <c r="G1" s="775">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6">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7" t="s">
        <v>696</v>
      </c>
      <c r="I3" s="2058"/>
      <c r="J3" s="2058"/>
      <c r="K3" s="2059"/>
      <c r="L3" s="2058"/>
      <c r="M3" s="2058"/>
    </row>
    <row r="4" spans="1:25" ht="18" customHeight="1">
      <c r="A4" s="1646" t="s">
        <v>697</v>
      </c>
      <c r="B4" s="1352">
        <f ca="1">ROUND(B2*10000/'数据-汇总表'!D3,0)</f>
        <v>0</v>
      </c>
      <c r="C4" s="429"/>
      <c r="D4" s="2056"/>
      <c r="E4" s="2057"/>
      <c r="F4" s="2057"/>
      <c r="G4" s="1590"/>
      <c r="H4" s="777"/>
      <c r="I4" s="2058"/>
      <c r="J4" s="2058"/>
      <c r="K4" s="2059"/>
      <c r="L4" s="2058"/>
      <c r="M4" s="2058"/>
    </row>
    <row r="5" spans="1:25" ht="18" customHeight="1" thickBot="1">
      <c r="A5" s="1647"/>
      <c r="B5" s="431">
        <f ca="1">ROUND(B2/('数据-汇总表'!D3/666.67),0)</f>
        <v>0</v>
      </c>
      <c r="C5" s="432" t="s">
        <v>698</v>
      </c>
      <c r="D5" s="2056"/>
      <c r="E5" s="2057"/>
      <c r="F5" s="2057"/>
      <c r="G5" s="1590"/>
      <c r="H5" s="777"/>
      <c r="I5" s="2058"/>
      <c r="J5" s="2058"/>
      <c r="K5" s="2059"/>
      <c r="L5" s="2058"/>
      <c r="M5" s="2058"/>
    </row>
    <row r="6" spans="1:25" ht="18" customHeight="1">
      <c r="A6" s="1829" t="s">
        <v>699</v>
      </c>
      <c r="B6" s="1821" t="s">
        <v>700</v>
      </c>
      <c r="C6" s="1821" t="s">
        <v>633</v>
      </c>
      <c r="D6" s="1821" t="s">
        <v>634</v>
      </c>
      <c r="E6" s="780" t="s">
        <v>635</v>
      </c>
      <c r="F6" s="781"/>
      <c r="G6" s="1592"/>
      <c r="H6" s="1829" t="s">
        <v>631</v>
      </c>
      <c r="I6" s="1821" t="s">
        <v>632</v>
      </c>
      <c r="J6" s="1821" t="s">
        <v>633</v>
      </c>
      <c r="K6" s="1821" t="s">
        <v>634</v>
      </c>
      <c r="L6" s="780" t="s">
        <v>635</v>
      </c>
      <c r="M6" s="781"/>
    </row>
    <row r="7" spans="1:25" ht="18" customHeight="1">
      <c r="A7" s="782">
        <v>1</v>
      </c>
      <c r="B7" s="783" t="s">
        <v>2464</v>
      </c>
      <c r="C7" s="53">
        <f ca="1">C8+C12+C14</f>
        <v>0</v>
      </c>
      <c r="D7" s="2521" t="s">
        <v>2467</v>
      </c>
      <c r="E7" s="2515"/>
      <c r="F7" s="2516"/>
      <c r="G7" s="1592"/>
      <c r="H7" s="782">
        <v>1</v>
      </c>
      <c r="I7" s="783" t="s">
        <v>2464</v>
      </c>
      <c r="J7" s="53">
        <f ca="1">J8+J12+J14</f>
        <v>0</v>
      </c>
      <c r="K7" s="2521" t="s">
        <v>2467</v>
      </c>
      <c r="L7" s="2515"/>
      <c r="M7" s="2516"/>
    </row>
    <row r="8" spans="1:25" ht="18" customHeight="1">
      <c r="A8" s="1831" t="s">
        <v>1826</v>
      </c>
      <c r="B8" s="3453" t="s">
        <v>2469</v>
      </c>
      <c r="C8" s="1826">
        <f ca="1">ROUND(F8*F10*F9*(1-F11)/10000,0)</f>
        <v>0</v>
      </c>
      <c r="D8" s="1823" t="s">
        <v>2541</v>
      </c>
      <c r="E8" s="61" t="s">
        <v>638</v>
      </c>
      <c r="F8" s="786">
        <f ca="1">INDIRECT("'数据-取费表'!u"&amp;$G$1)</f>
        <v>0</v>
      </c>
      <c r="G8" s="1592"/>
      <c r="H8" s="2529" t="s">
        <v>1826</v>
      </c>
      <c r="I8" s="3453" t="s">
        <v>2469</v>
      </c>
      <c r="J8" s="784">
        <f ca="1">ROUND(M8*M10*M9*(1-M11)/10000,0)</f>
        <v>0</v>
      </c>
      <c r="K8" s="342" t="s">
        <v>2541</v>
      </c>
      <c r="L8" s="785" t="s">
        <v>1740</v>
      </c>
      <c r="M8" s="786">
        <f ca="1">INDIRECT("'数据-取费表'!z"&amp;$G$1)</f>
        <v>0</v>
      </c>
    </row>
    <row r="9" spans="1:25" ht="18" customHeight="1">
      <c r="A9" s="2525"/>
      <c r="B9" s="3454"/>
      <c r="C9" s="1827"/>
      <c r="D9" s="1824"/>
      <c r="E9" s="61" t="s">
        <v>639</v>
      </c>
      <c r="F9" s="786">
        <f ca="1">IF(INDIRECT("'数据-取费表'!ah"&amp;$G$1)="",INDIRECT("'数据-取费表'!k"&amp;$G$1),INDIRECT("'数据-取费表'!ah"&amp;$G$1))</f>
        <v>0</v>
      </c>
      <c r="G9" s="1592"/>
      <c r="H9" s="2514"/>
      <c r="I9" s="3454"/>
      <c r="J9" s="789"/>
      <c r="K9" s="790"/>
      <c r="L9" s="785" t="s">
        <v>1741</v>
      </c>
      <c r="M9" s="786">
        <f ca="1">F9</f>
        <v>0</v>
      </c>
    </row>
    <row r="10" spans="1:25" ht="18" customHeight="1">
      <c r="A10" s="2518"/>
      <c r="B10" s="3455"/>
      <c r="C10" s="1827"/>
      <c r="D10" s="1824"/>
      <c r="E10" s="61" t="s">
        <v>640</v>
      </c>
      <c r="F10" s="786">
        <f ca="1">INDIRECT("'数据-取费表'!ai"&amp;$G$1)</f>
        <v>0</v>
      </c>
      <c r="G10" s="1592"/>
      <c r="H10" s="2514"/>
      <c r="I10" s="3455"/>
      <c r="J10" s="789"/>
      <c r="K10" s="790"/>
      <c r="L10" s="785" t="s">
        <v>1742</v>
      </c>
      <c r="M10" s="786">
        <f ca="1">INDIRECT("'数据-取费表'!ai"&amp;$G$1)</f>
        <v>0</v>
      </c>
    </row>
    <row r="11" spans="1:25" ht="18" customHeight="1">
      <c r="A11" s="787"/>
      <c r="B11" s="3456"/>
      <c r="C11" s="1827"/>
      <c r="D11" s="1824"/>
      <c r="E11" s="61" t="s">
        <v>641</v>
      </c>
      <c r="F11" s="795">
        <f ca="1">INDIRECT("'数据-取费表'!w"&amp;$G$1)</f>
        <v>0</v>
      </c>
      <c r="G11" s="1592"/>
      <c r="H11" s="2530"/>
      <c r="I11" s="3455"/>
      <c r="J11" s="789"/>
      <c r="K11" s="790"/>
      <c r="L11" s="796" t="s">
        <v>1743</v>
      </c>
      <c r="M11" s="797">
        <f ca="1">INDIRECT("'数据-取费表'!ab"&amp;$G$1)</f>
        <v>0</v>
      </c>
    </row>
    <row r="12" spans="1:25" ht="18" customHeight="1">
      <c r="A12" s="1831" t="s">
        <v>1827</v>
      </c>
      <c r="B12" s="2519" t="s">
        <v>2465</v>
      </c>
      <c r="C12" s="800">
        <f ca="1">ROUND(IF(F12="押一",F8*F10*F9/12*F13,IF(F12="押二",F8*F10*F9/12*2*F13,IF(F12="押三",F8*F10*F9/12*3*F13,C13*F13)))/10000,0)</f>
        <v>0</v>
      </c>
      <c r="D12" s="2526" t="s">
        <v>2472</v>
      </c>
      <c r="E12" s="2523" t="s">
        <v>2470</v>
      </c>
      <c r="F12" s="2646"/>
      <c r="G12" s="1592"/>
      <c r="H12" s="2586" t="s">
        <v>1827</v>
      </c>
      <c r="I12" s="2591" t="s">
        <v>2465</v>
      </c>
      <c r="J12" s="784">
        <f ca="1">ROUND(IF(M12="押一",M8*M10*M9/12*M13,IF(M12="押二",M8*M10*M9/12*2*M13,IF(M12="押三",M8*M10*M9/12*3*M13,J13*M13)))/10000,0)</f>
        <v>0</v>
      </c>
      <c r="K12" s="2526" t="s">
        <v>2472</v>
      </c>
      <c r="L12" s="2523" t="s">
        <v>2470</v>
      </c>
      <c r="M12" s="2646"/>
    </row>
    <row r="13" spans="1:25" ht="18" customHeight="1">
      <c r="A13" s="791"/>
      <c r="B13" s="2520" t="s">
        <v>2580</v>
      </c>
      <c r="C13" s="2524"/>
      <c r="D13" s="790"/>
      <c r="E13" s="2523" t="s">
        <v>2462</v>
      </c>
      <c r="F13" s="797">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3">
        <f ca="1">ROUND(C31*F15,0)</f>
        <v>0</v>
      </c>
      <c r="D15" s="1835" t="s">
        <v>643</v>
      </c>
      <c r="E15" s="796" t="s">
        <v>644</v>
      </c>
      <c r="F15" s="801">
        <f ca="1">INDIRECT("'数据-取费表'!y"&amp;$G$1)</f>
        <v>0</v>
      </c>
      <c r="G15" s="1592"/>
      <c r="H15" s="1830" t="s">
        <v>1828</v>
      </c>
      <c r="I15" s="1828" t="s">
        <v>645</v>
      </c>
      <c r="J15" s="1820">
        <f ca="1">ROUND(J16*J17,0)</f>
        <v>0</v>
      </c>
      <c r="K15" s="1822" t="s">
        <v>643</v>
      </c>
      <c r="L15" s="802"/>
      <c r="M15" s="803"/>
    </row>
    <row r="16" spans="1:25" ht="18" customHeight="1">
      <c r="A16" s="804" t="s">
        <v>1877</v>
      </c>
      <c r="B16" s="785" t="s">
        <v>646</v>
      </c>
      <c r="C16" s="805">
        <f ca="1">INDIRECT("'数据-取费表'!m"&amp;$G$1)+INDIRECT("'数据-取费表'!t"&amp;$G$1)</f>
        <v>0</v>
      </c>
      <c r="D16" s="1980" t="s">
        <v>647</v>
      </c>
      <c r="E16" s="1981"/>
      <c r="F16" s="806"/>
      <c r="G16" s="1592"/>
      <c r="H16" s="804" t="s">
        <v>2073</v>
      </c>
      <c r="I16" s="2232" t="s">
        <v>2833</v>
      </c>
      <c r="J16" s="53">
        <f ca="1">C31</f>
        <v>0</v>
      </c>
      <c r="K16" s="26"/>
      <c r="L16" s="802"/>
      <c r="M16" s="803"/>
    </row>
    <row r="17" spans="1:25" s="2065" customFormat="1" ht="18" customHeight="1">
      <c r="A17" s="804" t="s">
        <v>1851</v>
      </c>
      <c r="B17" s="785" t="s">
        <v>648</v>
      </c>
      <c r="C17" s="53">
        <f ca="1">ROUND(C16*F17,0)</f>
        <v>0</v>
      </c>
      <c r="D17" s="807" t="s">
        <v>649</v>
      </c>
      <c r="E17" s="807" t="s">
        <v>650</v>
      </c>
      <c r="F17" s="808">
        <f>'数据-取费表'!B33</f>
        <v>0.03</v>
      </c>
      <c r="G17" s="1593"/>
      <c r="H17" s="804" t="s">
        <v>2074</v>
      </c>
      <c r="I17" s="785" t="s">
        <v>644</v>
      </c>
      <c r="J17" s="809">
        <f ca="1">INDIRECT("'数据-取费表'!ad"&amp;$G$1)</f>
        <v>0</v>
      </c>
      <c r="K17" s="26"/>
      <c r="L17" s="802"/>
      <c r="M17" s="803"/>
      <c r="N17" s="2064"/>
      <c r="O17" s="2064"/>
      <c r="P17" s="2064"/>
      <c r="Q17" s="2064"/>
      <c r="R17" s="2064"/>
      <c r="S17" s="2064"/>
      <c r="T17" s="2064"/>
      <c r="U17" s="2064"/>
      <c r="V17" s="2064"/>
      <c r="W17" s="2064"/>
      <c r="X17" s="2064"/>
      <c r="Y17" s="2064"/>
    </row>
    <row r="18" spans="1:25" ht="18" customHeight="1">
      <c r="A18" s="804" t="s">
        <v>1852</v>
      </c>
      <c r="B18" s="785" t="s">
        <v>651</v>
      </c>
      <c r="C18" s="53">
        <f ca="1">ROUND(INDIRECT("'数据-取费表'!m"&amp;$G$1)*F18,0)</f>
        <v>0</v>
      </c>
      <c r="D18" s="785" t="s">
        <v>649</v>
      </c>
      <c r="E18" s="785" t="s">
        <v>650</v>
      </c>
      <c r="F18" s="810">
        <f ca="1">IF(INDIRECT("'数据-取费表'!c"&amp;$G$1)="住宅",'数据-取费表'!B34,0)</f>
        <v>0</v>
      </c>
      <c r="G18" s="1592"/>
      <c r="H18" s="798" t="s">
        <v>1829</v>
      </c>
      <c r="I18" s="799" t="s">
        <v>652</v>
      </c>
      <c r="J18" s="800">
        <f ca="1">ROUND(J19+J24+J25+J26,0)</f>
        <v>0</v>
      </c>
      <c r="K18" s="26" t="s">
        <v>653</v>
      </c>
      <c r="L18" s="1983"/>
      <c r="M18" s="56"/>
    </row>
    <row r="19" spans="1:25" s="2065" customFormat="1" ht="18" customHeight="1">
      <c r="A19" s="804" t="s">
        <v>1853</v>
      </c>
      <c r="B19" s="785" t="s">
        <v>654</v>
      </c>
      <c r="C19" s="53">
        <f ca="1">ROUND(F19*(INDIRECT("'数据-取费表'!k"&amp;$G$1)+INDIRECT("'数据-取费表'!S"&amp;$G$1))/10000,0)</f>
        <v>0</v>
      </c>
      <c r="D19" s="785" t="s">
        <v>655</v>
      </c>
      <c r="E19" s="785" t="s">
        <v>656</v>
      </c>
      <c r="F19" s="56">
        <f>'数据-取费表'!B35</f>
        <v>150</v>
      </c>
      <c r="G19" s="1593"/>
      <c r="H19" s="804" t="s">
        <v>2073</v>
      </c>
      <c r="I19" s="785" t="s">
        <v>657</v>
      </c>
      <c r="J19" s="53">
        <f ca="1">ROUND(IF(项目基本情况!B11="自然人",J7*M19,J20+J21+J22),0)</f>
        <v>0</v>
      </c>
      <c r="K19" s="1980" t="s">
        <v>658</v>
      </c>
      <c r="L19" s="1978" t="s">
        <v>659</v>
      </c>
      <c r="M19" s="811">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4" t="s">
        <v>1854</v>
      </c>
      <c r="B20" s="785" t="s">
        <v>660</v>
      </c>
      <c r="C20" s="53">
        <f ca="1">ROUND(C16*F20,0)</f>
        <v>0</v>
      </c>
      <c r="D20" s="785" t="s">
        <v>649</v>
      </c>
      <c r="E20" s="785" t="s">
        <v>650</v>
      </c>
      <c r="F20" s="810">
        <f>'数据-取费表'!B36</f>
        <v>1.4999999999999999E-2</v>
      </c>
      <c r="G20" s="1593"/>
      <c r="H20" s="804" t="s">
        <v>1833</v>
      </c>
      <c r="I20" s="785" t="s">
        <v>661</v>
      </c>
      <c r="J20" s="53">
        <f ca="1">ROUND(J7*M20/1.05,1)</f>
        <v>0</v>
      </c>
      <c r="K20" s="1978" t="s">
        <v>662</v>
      </c>
      <c r="L20" s="785" t="s">
        <v>650</v>
      </c>
      <c r="M20" s="810">
        <f>'数据-取费表'!B41</f>
        <v>5.6000000000000001E-2</v>
      </c>
      <c r="N20" s="2064"/>
      <c r="O20" s="2064"/>
      <c r="P20" s="2064"/>
      <c r="Q20" s="2064"/>
      <c r="R20" s="2064"/>
      <c r="S20" s="2064"/>
      <c r="T20" s="2064"/>
      <c r="U20" s="2064"/>
      <c r="V20" s="2064"/>
      <c r="W20" s="2064"/>
      <c r="X20" s="2064"/>
      <c r="Y20" s="2064"/>
    </row>
    <row r="21" spans="1:25" ht="18" customHeight="1">
      <c r="A21" s="804" t="s">
        <v>1878</v>
      </c>
      <c r="B21" s="785" t="s">
        <v>663</v>
      </c>
      <c r="C21" s="53">
        <f ca="1">SUM(C16:C20)</f>
        <v>0</v>
      </c>
      <c r="D21" s="259" t="s">
        <v>664</v>
      </c>
      <c r="E21" s="1983"/>
      <c r="F21" s="56"/>
      <c r="G21" s="1592"/>
      <c r="H21" s="1831" t="s">
        <v>1851</v>
      </c>
      <c r="I21" s="785" t="s">
        <v>665</v>
      </c>
      <c r="J21" s="53">
        <f ca="1">IF(K21="按租金收入计税",ROUND(J7*M21,1),ROUND(C31*F35*0.7,1))</f>
        <v>0</v>
      </c>
      <c r="K21" s="812" t="s">
        <v>666</v>
      </c>
      <c r="L21" s="785" t="s">
        <v>650</v>
      </c>
      <c r="M21" s="810">
        <f>IF(K21="按租金收入计税",'数据-取费表'!B51,'数据-取费表'!B50)</f>
        <v>1.2E-2</v>
      </c>
    </row>
    <row r="22" spans="1:25" s="2065" customFormat="1" ht="18" customHeight="1">
      <c r="A22" s="804" t="s">
        <v>1879</v>
      </c>
      <c r="B22" s="785" t="s">
        <v>667</v>
      </c>
      <c r="C22" s="53">
        <f ca="1">ROUND(C21*F22,0)</f>
        <v>0</v>
      </c>
      <c r="D22" s="813" t="s">
        <v>668</v>
      </c>
      <c r="E22" s="785" t="s">
        <v>650</v>
      </c>
      <c r="F22" s="810">
        <f>'数据-取费表'!B37</f>
        <v>0.01</v>
      </c>
      <c r="G22" s="1593"/>
      <c r="H22" s="1833" t="s">
        <v>1852</v>
      </c>
      <c r="I22" s="1823" t="s">
        <v>669</v>
      </c>
      <c r="J22" s="54">
        <f ca="1">ROUND(M22*M23/10000,0)</f>
        <v>0</v>
      </c>
      <c r="K22" s="815" t="s">
        <v>670</v>
      </c>
      <c r="L22" s="785" t="s">
        <v>671</v>
      </c>
      <c r="M22" s="641">
        <f>'数据-取费表'!B52</f>
        <v>9</v>
      </c>
      <c r="N22" s="2064"/>
      <c r="O22" s="2064"/>
      <c r="P22" s="2064"/>
      <c r="Q22" s="2064"/>
      <c r="R22" s="2064"/>
      <c r="S22" s="2064"/>
      <c r="T22" s="2064"/>
      <c r="U22" s="2064"/>
      <c r="V22" s="2064"/>
      <c r="W22" s="2064"/>
      <c r="X22" s="2064"/>
      <c r="Y22" s="2064"/>
    </row>
    <row r="23" spans="1:25" s="2065" customFormat="1" ht="18" customHeight="1">
      <c r="A23" s="804" t="s">
        <v>1880</v>
      </c>
      <c r="B23" s="785" t="s">
        <v>672</v>
      </c>
      <c r="C23" s="53" t="s">
        <v>1</v>
      </c>
      <c r="D23" s="813" t="s">
        <v>673</v>
      </c>
      <c r="E23" s="785" t="s">
        <v>674</v>
      </c>
      <c r="F23" s="810">
        <f>'数据-取费表'!B38</f>
        <v>1.4999999999999999E-2</v>
      </c>
      <c r="G23" s="1593"/>
      <c r="H23" s="1834"/>
      <c r="I23" s="1825"/>
      <c r="J23" s="69"/>
      <c r="K23" s="817"/>
      <c r="L23" s="785" t="s">
        <v>675</v>
      </c>
      <c r="M23" s="786">
        <f ca="1">INDIRECT("'数据-取费表'!r"&amp;$G$1)</f>
        <v>0</v>
      </c>
      <c r="N23" s="2064"/>
      <c r="O23" s="2064"/>
      <c r="P23" s="2064"/>
      <c r="Q23" s="2064"/>
      <c r="R23" s="2064"/>
      <c r="S23" s="2064"/>
      <c r="T23" s="2064"/>
      <c r="U23" s="2064"/>
      <c r="V23" s="2064"/>
      <c r="W23" s="2064"/>
      <c r="X23" s="2064"/>
      <c r="Y23" s="2064"/>
    </row>
    <row r="24" spans="1:25" ht="18" customHeight="1">
      <c r="A24" s="804" t="s">
        <v>1881</v>
      </c>
      <c r="B24" s="785" t="s">
        <v>676</v>
      </c>
      <c r="C24" s="53"/>
      <c r="D24" s="2597" t="str">
        <f>IF(F25&lt;=1,"单利计息。","复利计息。")&amp;"建造成本、管理费用、销售费用产生的利息。"</f>
        <v>复利计息。建造成本、管理费用、销售费用产生的利息。</v>
      </c>
      <c r="E24" s="1983"/>
      <c r="F24" s="56"/>
      <c r="G24" s="1592"/>
      <c r="H24" s="1832" t="s">
        <v>2074</v>
      </c>
      <c r="I24" s="785" t="s">
        <v>677</v>
      </c>
      <c r="J24" s="53">
        <f ca="1">ROUND(J16*M24,0)</f>
        <v>0</v>
      </c>
      <c r="K24" s="1978" t="s">
        <v>678</v>
      </c>
      <c r="L24" s="785" t="s">
        <v>650</v>
      </c>
      <c r="M24" s="818">
        <f ca="1">INDIRECT("'数据-取费表'!Ak"&amp;$G$1)</f>
        <v>0</v>
      </c>
    </row>
    <row r="25" spans="1:25" s="2065" customFormat="1" ht="18" customHeight="1">
      <c r="A25" s="804" t="s">
        <v>1877</v>
      </c>
      <c r="B25" s="785" t="s">
        <v>2442</v>
      </c>
      <c r="C25" s="53">
        <f ca="1">ROUND(IF('数据-取费表'!B22&lt;=1,(C21+C22)*F26*F25/2,(C21+C22)*(POWER((1+F26),F25/2)-1)),0)</f>
        <v>0</v>
      </c>
      <c r="D25" s="2596" t="str">
        <f>IF(F25&lt;=1,"(建造成本+管理费用)×利率×(建设周期÷2)","(建造成本+管理费用)×((1+利率)^(建设周期÷2)-1)")</f>
        <v>(建造成本+管理费用)×((1+利率)^(建设周期÷2)-1)</v>
      </c>
      <c r="E25" s="785" t="s">
        <v>679</v>
      </c>
      <c r="F25" s="641">
        <f>'数据-取费表'!B20</f>
        <v>1.5</v>
      </c>
      <c r="G25" s="1593"/>
      <c r="H25" s="804" t="s">
        <v>1880</v>
      </c>
      <c r="I25" s="785" t="s">
        <v>680</v>
      </c>
      <c r="J25" s="53">
        <f ca="1">ROUND(J15*M25,0)</f>
        <v>0</v>
      </c>
      <c r="K25" s="1978" t="s">
        <v>681</v>
      </c>
      <c r="L25" s="785" t="s">
        <v>650</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1851</v>
      </c>
      <c r="B26" s="785" t="s">
        <v>682</v>
      </c>
      <c r="C26" s="53">
        <f ca="1">ROUND(IF('数据-取费表'!B22&lt;=1,F23*F26*F25/2,F23*(POWER((1+F26),F25/2)-1)),4)</f>
        <v>5.0000000000000001E-4</v>
      </c>
      <c r="D26" s="2596" t="str">
        <f>IF(F25&lt;=1,"销售费用×利率×(建设周期÷2)","销售费用×((1+利率)^(建设周期÷2)-1)")</f>
        <v>销售费用×((1+利率)^(建设周期÷2)-1)</v>
      </c>
      <c r="E26" s="785" t="s">
        <v>683</v>
      </c>
      <c r="F26" s="820">
        <f ca="1">'数据-取费表'!B40</f>
        <v>4.7500000000000001E-2</v>
      </c>
      <c r="G26" s="1593"/>
      <c r="H26" s="804" t="s">
        <v>1881</v>
      </c>
      <c r="I26" s="785" t="s">
        <v>667</v>
      </c>
      <c r="J26" s="53">
        <f ca="1">ROUND(J7*M26,0)</f>
        <v>0</v>
      </c>
      <c r="K26" s="1978" t="s">
        <v>684</v>
      </c>
      <c r="L26" s="785" t="s">
        <v>650</v>
      </c>
      <c r="M26" s="795">
        <f ca="1">INDIRECT("'数据-取费表'!Am"&amp;$G$1)</f>
        <v>0</v>
      </c>
      <c r="N26" s="2064"/>
      <c r="O26" s="2064"/>
      <c r="P26" s="2064"/>
      <c r="Q26" s="2064"/>
      <c r="R26" s="2064"/>
      <c r="S26" s="2064"/>
      <c r="T26" s="2064"/>
      <c r="U26" s="2064"/>
      <c r="V26" s="2064"/>
      <c r="W26" s="2064"/>
      <c r="X26" s="2064"/>
      <c r="Y26" s="2064"/>
    </row>
    <row r="27" spans="1:25" ht="18" customHeight="1">
      <c r="A27" s="804" t="s">
        <v>1883</v>
      </c>
      <c r="B27" s="785" t="s">
        <v>685</v>
      </c>
      <c r="C27" s="53"/>
      <c r="D27" s="259" t="s">
        <v>686</v>
      </c>
      <c r="E27" s="1983"/>
      <c r="F27" s="56"/>
      <c r="G27" s="1592"/>
      <c r="H27" s="798" t="s">
        <v>1830</v>
      </c>
      <c r="I27" s="3038" t="s">
        <v>2830</v>
      </c>
      <c r="J27" s="800">
        <f ca="1">J7-J18</f>
        <v>0</v>
      </c>
      <c r="K27" s="1980" t="s">
        <v>701</v>
      </c>
      <c r="L27" s="1982"/>
      <c r="M27" s="821"/>
    </row>
    <row r="28" spans="1:25" ht="18" customHeight="1">
      <c r="A28" s="804" t="s">
        <v>1877</v>
      </c>
      <c r="B28" s="785" t="s">
        <v>2443</v>
      </c>
      <c r="C28" s="53">
        <f ca="1">ROUND((C21+C22)*F28,0)</f>
        <v>0</v>
      </c>
      <c r="D28" s="813" t="s">
        <v>702</v>
      </c>
      <c r="E28" s="796" t="s">
        <v>703</v>
      </c>
      <c r="F28" s="795">
        <f ca="1">INDIRECT("'数据-取费表'!q"&amp;$G$1)</f>
        <v>0</v>
      </c>
      <c r="G28" s="1592"/>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3">
        <f ca="1">ROUND(F23*F28,4)</f>
        <v>0</v>
      </c>
      <c r="D29" s="813" t="s">
        <v>707</v>
      </c>
      <c r="E29" s="807"/>
      <c r="F29" s="808"/>
      <c r="G29" s="1592"/>
      <c r="H29" s="787"/>
      <c r="I29" s="788"/>
      <c r="J29" s="789"/>
      <c r="K29" s="822" t="s">
        <v>708</v>
      </c>
      <c r="L29" s="785" t="s">
        <v>709</v>
      </c>
      <c r="M29" s="823">
        <f ca="1">INDIRECT("'数据-取费表'!ag"&amp;$G$1)</f>
        <v>0</v>
      </c>
    </row>
    <row r="30" spans="1:25" s="2065" customFormat="1" ht="18" customHeight="1">
      <c r="A30" s="804" t="s">
        <v>1884</v>
      </c>
      <c r="B30" s="785" t="s">
        <v>688</v>
      </c>
      <c r="C30" s="53">
        <f>ROUND(F30/(1+'数据-取费表'!C42),4)</f>
        <v>5.33E-2</v>
      </c>
      <c r="D30" s="813" t="s">
        <v>710</v>
      </c>
      <c r="E30" s="785" t="s">
        <v>650</v>
      </c>
      <c r="F30" s="810">
        <f>'数据-取费表'!B41</f>
        <v>5.6000000000000001E-2</v>
      </c>
      <c r="G30" s="1593"/>
      <c r="H30" s="791"/>
      <c r="I30" s="792"/>
      <c r="J30" s="793"/>
      <c r="K30" s="817"/>
      <c r="L30" s="785" t="s">
        <v>711</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2831</v>
      </c>
      <c r="C31" s="2569">
        <f ca="1">ROUND((C21+C22+C25+C28)/(1-F23-C26-C29-C30),0)</f>
        <v>0</v>
      </c>
      <c r="D31" s="2570"/>
      <c r="E31" s="2571"/>
      <c r="F31" s="2572"/>
      <c r="G31" s="1593"/>
      <c r="H31" s="824" t="s">
        <v>1874</v>
      </c>
      <c r="I31" s="3039" t="s">
        <v>2832</v>
      </c>
      <c r="J31" s="826" t="e">
        <f ca="1">ROUND(J28/(1+F45)^F46,0)</f>
        <v>#N/A</v>
      </c>
      <c r="K31" s="827" t="s">
        <v>689</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3">
        <f ca="1">ROUND(C33+C38+C39+C40,0)</f>
        <v>0</v>
      </c>
      <c r="D32" s="1822" t="s">
        <v>653</v>
      </c>
      <c r="E32" s="2512"/>
      <c r="F32" s="2516"/>
      <c r="G32" s="2063"/>
      <c r="H32" s="2066"/>
      <c r="I32" s="2067"/>
      <c r="J32" s="2068"/>
      <c r="K32" s="2069"/>
      <c r="L32" s="2070"/>
      <c r="M32" s="2071"/>
    </row>
    <row r="33" spans="1:18" ht="18" customHeight="1">
      <c r="A33" s="804" t="s">
        <v>1878</v>
      </c>
      <c r="B33" s="785" t="s">
        <v>657</v>
      </c>
      <c r="C33" s="53">
        <f ca="1">ROUND(IF(项目基本情况!B11="自然人",C7*F33,C34+C35+C36),1)</f>
        <v>0</v>
      </c>
      <c r="D33" s="1980" t="s">
        <v>658</v>
      </c>
      <c r="E33" s="1978" t="s">
        <v>691</v>
      </c>
      <c r="F33" s="811">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4" t="s">
        <v>1877</v>
      </c>
      <c r="B34" s="785" t="s">
        <v>661</v>
      </c>
      <c r="C34" s="53">
        <f ca="1">ROUND(C7*F34/1.05,1)</f>
        <v>0</v>
      </c>
      <c r="D34" s="1978" t="s">
        <v>662</v>
      </c>
      <c r="E34" s="785" t="s">
        <v>650</v>
      </c>
      <c r="F34" s="810">
        <f>'数据-取费表'!B41</f>
        <v>5.6000000000000001E-2</v>
      </c>
      <c r="G34" s="2063"/>
      <c r="H34" s="2072"/>
      <c r="I34" s="2073"/>
      <c r="J34" s="2074"/>
      <c r="K34" s="2075"/>
      <c r="L34" s="2076"/>
      <c r="M34" s="2077"/>
    </row>
    <row r="35" spans="1:18" ht="18" customHeight="1">
      <c r="A35" s="804" t="s">
        <v>1851</v>
      </c>
      <c r="B35" s="785" t="s">
        <v>665</v>
      </c>
      <c r="C35" s="53">
        <f ca="1">IF(D35="按租金收入计税",ROUND(C7*F35,1),IF(D35="按房产原值计税",ROUND(C31*F35*0.7,1),INDIRECT("'数据-取费表'!Aj"&amp;$G$1)))</f>
        <v>0</v>
      </c>
      <c r="D35" s="812" t="s">
        <v>1682</v>
      </c>
      <c r="E35" s="785" t="s">
        <v>650</v>
      </c>
      <c r="F35" s="810">
        <f>IF(D35="按租金收入计税",'数据-取费表'!B51,'数据-取费表'!B50)</f>
        <v>1.2E-2</v>
      </c>
      <c r="G35" s="2063"/>
      <c r="H35" s="2078"/>
      <c r="I35" s="2078"/>
      <c r="J35" s="2078"/>
      <c r="K35" s="2079"/>
      <c r="L35" s="2078"/>
      <c r="M35" s="2078"/>
    </row>
    <row r="36" spans="1:18" ht="18" customHeight="1">
      <c r="A36" s="814" t="s">
        <v>1882</v>
      </c>
      <c r="B36" s="342" t="s">
        <v>669</v>
      </c>
      <c r="C36" s="54">
        <f ca="1">ROUND(F36*F37/10000,1)</f>
        <v>0</v>
      </c>
      <c r="D36" s="815" t="s">
        <v>670</v>
      </c>
      <c r="E36" s="785" t="s">
        <v>671</v>
      </c>
      <c r="F36" s="641">
        <f>'数据-取费表'!B52</f>
        <v>9</v>
      </c>
      <c r="G36" s="2063"/>
      <c r="H36" s="2066"/>
      <c r="I36" s="3452"/>
      <c r="J36" s="2080"/>
      <c r="K36" s="2081"/>
      <c r="L36" s="2080"/>
      <c r="M36" s="2080"/>
    </row>
    <row r="37" spans="1:18" ht="18" customHeight="1">
      <c r="A37" s="816"/>
      <c r="B37" s="794"/>
      <c r="C37" s="69"/>
      <c r="D37" s="817"/>
      <c r="E37" s="785" t="s">
        <v>675</v>
      </c>
      <c r="F37" s="786">
        <f ca="1">INDIRECT("'数据-取费表'!r"&amp;$G$1)</f>
        <v>0</v>
      </c>
      <c r="G37" s="2063"/>
      <c r="H37" s="2066"/>
      <c r="I37" s="3452"/>
      <c r="J37" s="2078"/>
      <c r="K37" s="2079"/>
      <c r="L37" s="2078"/>
      <c r="M37" s="2078"/>
    </row>
    <row r="38" spans="1:18" ht="18" customHeight="1">
      <c r="A38" s="804" t="s">
        <v>1879</v>
      </c>
      <c r="B38" s="785" t="s">
        <v>677</v>
      </c>
      <c r="C38" s="53">
        <f ca="1">ROUND(C31*F38,1)</f>
        <v>0</v>
      </c>
      <c r="D38" s="1978" t="s">
        <v>692</v>
      </c>
      <c r="E38" s="785" t="s">
        <v>650</v>
      </c>
      <c r="F38" s="818">
        <f ca="1">INDIRECT("'数据-取费表'!Ak"&amp;$G$1)</f>
        <v>0</v>
      </c>
      <c r="G38" s="2063"/>
      <c r="H38" s="2078"/>
      <c r="I38" s="2082"/>
      <c r="J38" s="1989"/>
      <c r="K38" s="2083"/>
      <c r="L38" s="2078"/>
      <c r="M38" s="2078"/>
    </row>
    <row r="39" spans="1:18" ht="18" customHeight="1">
      <c r="A39" s="804" t="s">
        <v>1880</v>
      </c>
      <c r="B39" s="785" t="s">
        <v>680</v>
      </c>
      <c r="C39" s="53">
        <f ca="1">ROUND(C15*F39,1)</f>
        <v>0</v>
      </c>
      <c r="D39" s="1978" t="s">
        <v>681</v>
      </c>
      <c r="E39" s="785" t="s">
        <v>650</v>
      </c>
      <c r="F39" s="819">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4" t="s">
        <v>1878</v>
      </c>
      <c r="B42" s="836" t="s">
        <v>694</v>
      </c>
      <c r="C42" s="830">
        <f ca="1">C7-C32</f>
        <v>0</v>
      </c>
      <c r="D42" s="1980" t="s">
        <v>695</v>
      </c>
      <c r="E42" s="1982"/>
      <c r="F42" s="821"/>
      <c r="G42" s="2063"/>
      <c r="H42" s="2063"/>
      <c r="I42" s="2063"/>
      <c r="J42" s="2063"/>
      <c r="K42" s="2084"/>
      <c r="L42" s="2063"/>
      <c r="M42" s="2063"/>
    </row>
    <row r="43" spans="1:18" ht="18" customHeight="1">
      <c r="A43" s="804" t="s">
        <v>1879</v>
      </c>
      <c r="B43" s="836" t="s">
        <v>712</v>
      </c>
      <c r="C43" s="837">
        <f ca="1">ROUND(C15*F43,0)</f>
        <v>0</v>
      </c>
      <c r="D43" s="1356" t="s">
        <v>713</v>
      </c>
      <c r="E43" s="3155" t="s">
        <v>2973</v>
      </c>
      <c r="F43" s="3156">
        <f ca="1">INDIRECT("'数据-取费表'!j"&amp;$G$1)</f>
        <v>0</v>
      </c>
      <c r="G43" s="2063"/>
      <c r="H43" s="2063"/>
      <c r="I43" s="2063"/>
      <c r="J43" s="2063"/>
      <c r="K43" s="2084"/>
      <c r="L43" s="2063"/>
      <c r="M43" s="2063"/>
    </row>
    <row r="44" spans="1:18" ht="18" customHeight="1">
      <c r="A44" s="804" t="s">
        <v>1880</v>
      </c>
      <c r="B44" s="836" t="s">
        <v>714</v>
      </c>
      <c r="C44" s="1357">
        <f ca="1">C42-C43</f>
        <v>0</v>
      </c>
      <c r="D44" s="464" t="s">
        <v>715</v>
      </c>
      <c r="E44" s="465"/>
      <c r="F44" s="466"/>
      <c r="G44" s="2063"/>
      <c r="H44" s="2063"/>
      <c r="I44" s="2063"/>
      <c r="J44" s="2063"/>
      <c r="K44" s="2084"/>
      <c r="L44" s="2063"/>
      <c r="M44" s="2063"/>
    </row>
    <row r="45" spans="1:18" ht="18" customHeight="1">
      <c r="A45" s="804" t="s">
        <v>1881</v>
      </c>
      <c r="B45" s="1356" t="s">
        <v>716</v>
      </c>
      <c r="C45" s="3064" t="e">
        <f ca="1">ROUND(-PV(F45,F46,C44,0),0)</f>
        <v>#N/A</v>
      </c>
      <c r="D45" s="1358" t="s">
        <v>717</v>
      </c>
      <c r="E45" s="807" t="s">
        <v>718</v>
      </c>
      <c r="F45" s="831">
        <f ca="1">INDIRECT("'数据-取费表'!h"&amp;$G$1)</f>
        <v>0</v>
      </c>
      <c r="G45" s="2063"/>
      <c r="H45" s="2063"/>
      <c r="I45" s="2063"/>
      <c r="J45" s="2063"/>
      <c r="K45" s="2084"/>
      <c r="L45" s="2063"/>
      <c r="M45" s="2063"/>
    </row>
    <row r="46" spans="1:18" ht="18" customHeight="1" thickBot="1">
      <c r="A46" s="832"/>
      <c r="B46" s="1359"/>
      <c r="C46" s="1360"/>
      <c r="D46" s="1361"/>
      <c r="E46" s="3157" t="s">
        <v>2976</v>
      </c>
      <c r="F46" s="829"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t="e">
        <f ca="1">C41+J31</f>
        <v>#N/A</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57"/>
      <c r="L54" s="3458"/>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t="e">
        <f ca="1">Q49+Q50</f>
        <v>#N/A</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t="e">
        <f ca="1">C41+J31</f>
        <v>#N/A</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2952</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#N/A</v>
      </c>
      <c r="R64" s="2428" t="s">
        <v>2397</v>
      </c>
    </row>
    <row r="65" spans="1:18" s="2060" customFormat="1" ht="16.5" thickBot="1">
      <c r="A65" s="2097"/>
      <c r="B65" s="2098"/>
      <c r="C65" s="2098"/>
      <c r="I65" s="2410" t="s">
        <v>2376</v>
      </c>
      <c r="J65" s="2411">
        <v>50</v>
      </c>
      <c r="K65" s="2411">
        <v>35</v>
      </c>
      <c r="L65" s="2411">
        <v>60</v>
      </c>
      <c r="M65" s="3133">
        <v>0</v>
      </c>
      <c r="O65" s="2429" t="s">
        <v>2420</v>
      </c>
      <c r="P65" s="1592"/>
      <c r="Q65" s="1604"/>
      <c r="R65" s="1592"/>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t="e">
        <f ca="1">C41+J31</f>
        <v>#N/A</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#N/A</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113662.12平方米。</v>
      </c>
    </row>
    <row r="7" spans="1:4" ht="56.25">
      <c r="A7" s="1796"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2018年2月7日（评估专业人员勘察现场之日）</v>
      </c>
    </row>
    <row r="12" spans="1:4" ht="18.75">
      <c r="A12" s="1798" t="s">
        <v>2029</v>
      </c>
    </row>
    <row r="13" spans="1:4" ht="18.75">
      <c r="A13" s="1792" t="s">
        <v>2951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根据《国有土地使用证》[]，估价对象（分摊）出让国有建设用地使用权面积为36665.2平方米。根据《建设工程规划许可证》[]、《出让合同》[]，估价对象规划建筑面积为113662.12平方米。</v>
      </c>
    </row>
    <row r="21" spans="1:1" ht="18.75">
      <c r="A21" s="1792" t="s">
        <v>2078</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本次估价对象为出让国有建设用地使用权，《国有土地使用证》[]证载土地终止日期为住宅2086年5月30日、商业2056年5月30日车库2066年5月30日。截至估价期日，出让国有建设用地使用权剩余土地使用年限为。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5" t="s">
        <v>2583</v>
      </c>
      <c r="C1" s="3465"/>
      <c r="D1" s="3465"/>
      <c r="E1" s="3465"/>
      <c r="F1" s="3465"/>
      <c r="G1" s="3464" t="s">
        <v>2584</v>
      </c>
      <c r="H1" s="3464"/>
      <c r="I1" s="3464"/>
      <c r="J1" s="3464"/>
      <c r="K1" s="3464"/>
      <c r="L1" s="3464"/>
      <c r="N1" s="3464" t="s">
        <v>2585</v>
      </c>
      <c r="O1" s="3464"/>
      <c r="P1" s="3464"/>
      <c r="Q1" s="3464"/>
      <c r="R1" s="2680"/>
      <c r="S1" s="3464" t="s">
        <v>2586</v>
      </c>
      <c r="T1" s="3464"/>
      <c r="U1" s="3464"/>
      <c r="V1" s="3464"/>
      <c r="X1" s="3463" t="s">
        <v>2647</v>
      </c>
      <c r="Y1" s="3464"/>
      <c r="Z1" s="3464"/>
      <c r="AA1" s="3464"/>
      <c r="AB1" s="3464"/>
      <c r="AD1" s="3463" t="s">
        <v>2652</v>
      </c>
      <c r="AE1" s="3464"/>
      <c r="AF1" s="3464"/>
      <c r="AG1" s="3464"/>
      <c r="AH1" s="3464"/>
    </row>
    <row r="2" spans="1:34" s="2782" customFormat="1" ht="14.25" thickBot="1">
      <c r="B2" s="2791" t="s">
        <v>2587</v>
      </c>
      <c r="C2" s="2791" t="s">
        <v>2650</v>
      </c>
      <c r="D2" s="2783" t="s">
        <v>1646</v>
      </c>
      <c r="E2" s="2783" t="s">
        <v>1953</v>
      </c>
      <c r="F2" s="2791" t="s">
        <v>2651</v>
      </c>
      <c r="G2" s="2786"/>
      <c r="H2" s="2785"/>
      <c r="I2" s="2791" t="s">
        <v>2967</v>
      </c>
      <c r="J2" s="2783" t="s">
        <v>2969</v>
      </c>
      <c r="K2" s="2783" t="s">
        <v>2970</v>
      </c>
      <c r="L2" s="2791" t="s">
        <v>2971</v>
      </c>
      <c r="N2" s="2791" t="s">
        <v>2587</v>
      </c>
      <c r="O2" s="2783" t="s">
        <v>2968</v>
      </c>
      <c r="P2" s="2783" t="s">
        <v>1953</v>
      </c>
      <c r="Q2" s="2791" t="s">
        <v>2651</v>
      </c>
      <c r="R2" s="2784"/>
      <c r="S2" s="2791" t="s">
        <v>2587</v>
      </c>
      <c r="T2" s="2783" t="s">
        <v>2968</v>
      </c>
      <c r="U2" s="2783" t="s">
        <v>1953</v>
      </c>
      <c r="V2" s="2791" t="s">
        <v>2651</v>
      </c>
      <c r="X2" s="2791" t="s">
        <v>2587</v>
      </c>
      <c r="Y2" s="2791" t="s">
        <v>2650</v>
      </c>
      <c r="Z2" s="2783" t="s">
        <v>1646</v>
      </c>
      <c r="AA2" s="2783" t="s">
        <v>1953</v>
      </c>
      <c r="AB2" s="2791" t="s">
        <v>2651</v>
      </c>
      <c r="AD2" s="2791" t="s">
        <v>2587</v>
      </c>
      <c r="AE2" s="2791" t="s">
        <v>2650</v>
      </c>
      <c r="AF2" s="2783" t="s">
        <v>1646</v>
      </c>
      <c r="AG2" s="2783" t="s">
        <v>1953</v>
      </c>
      <c r="AH2" s="2791" t="s">
        <v>2651</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2979</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2978</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62">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2588</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60"/>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2589</v>
      </c>
      <c r="B7" s="2695">
        <f t="shared" si="18"/>
        <v>419.31181600000002</v>
      </c>
      <c r="C7" s="2695">
        <f t="shared" si="18"/>
        <v>313.95436800000004</v>
      </c>
      <c r="D7" s="2695">
        <f t="shared" si="3"/>
        <v>313.95436800000004</v>
      </c>
      <c r="E7" s="2695">
        <f t="shared" si="19"/>
        <v>596.63028431999999</v>
      </c>
      <c r="F7" s="2695">
        <f t="shared" si="19"/>
        <v>274.74220703999998</v>
      </c>
      <c r="G7" s="3460"/>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2590</v>
      </c>
      <c r="B8" s="2695">
        <f t="shared" si="18"/>
        <v>405.524</v>
      </c>
      <c r="C8" s="2695">
        <f t="shared" si="18"/>
        <v>307.79840000000002</v>
      </c>
      <c r="D8" s="2695">
        <f t="shared" si="3"/>
        <v>307.79840000000002</v>
      </c>
      <c r="E8" s="2695">
        <f t="shared" si="19"/>
        <v>574.67759999999998</v>
      </c>
      <c r="F8" s="2695">
        <f t="shared" si="19"/>
        <v>270.20280000000002</v>
      </c>
      <c r="G8" s="3461"/>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62">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60"/>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60"/>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61"/>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9">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60"/>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60"/>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61"/>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9">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60"/>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60"/>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61"/>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2649</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2591</v>
      </c>
      <c r="B21" s="2687">
        <v>299</v>
      </c>
      <c r="C21" s="2687">
        <v>252</v>
      </c>
      <c r="D21" s="2687">
        <f t="shared" si="28"/>
        <v>252</v>
      </c>
      <c r="E21" s="2687">
        <v>409</v>
      </c>
      <c r="F21" s="2688">
        <v>227</v>
      </c>
      <c r="G21" s="3466">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2592</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7"/>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2593</v>
      </c>
      <c r="B23" s="2695">
        <f t="shared" si="37"/>
        <v>288.2649053828776</v>
      </c>
      <c r="C23" s="2695">
        <f t="shared" si="37"/>
        <v>243.64564425013293</v>
      </c>
      <c r="D23" s="2695">
        <f t="shared" si="28"/>
        <v>243.64564425013293</v>
      </c>
      <c r="E23" s="2695">
        <f t="shared" si="38"/>
        <v>393.31080825986544</v>
      </c>
      <c r="F23" s="2695">
        <f t="shared" si="38"/>
        <v>223.07903790551154</v>
      </c>
      <c r="G23" s="3467"/>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2594</v>
      </c>
      <c r="B24" s="2695">
        <f t="shared" si="37"/>
        <v>282.50186729015837</v>
      </c>
      <c r="C24" s="2695">
        <f t="shared" si="37"/>
        <v>238.09796174155468</v>
      </c>
      <c r="D24" s="2695">
        <f t="shared" si="28"/>
        <v>238.09796174155468</v>
      </c>
      <c r="E24" s="2695">
        <f t="shared" si="38"/>
        <v>385.33438646014054</v>
      </c>
      <c r="F24" s="2695">
        <f t="shared" si="38"/>
        <v>221.55034055567739</v>
      </c>
      <c r="G24" s="3468"/>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2595</v>
      </c>
      <c r="B25" s="2725">
        <v>278</v>
      </c>
      <c r="C25" s="2725">
        <v>234</v>
      </c>
      <c r="D25" s="2725">
        <f t="shared" si="28"/>
        <v>234</v>
      </c>
      <c r="E25" s="2725">
        <v>379</v>
      </c>
      <c r="F25" s="2726">
        <v>220</v>
      </c>
      <c r="G25" s="3459">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2596</v>
      </c>
      <c r="B26" s="2695">
        <f>B25/(1+N25)</f>
        <v>275.49301357645425</v>
      </c>
      <c r="C26" s="2695">
        <f>C25/(1+O25)</f>
        <v>232.41954707985698</v>
      </c>
      <c r="D26" s="2695">
        <f t="shared" si="28"/>
        <v>232.41954707985698</v>
      </c>
      <c r="E26" s="2695">
        <f t="shared" ref="E26:F28" si="39">E25/(1+P25)</f>
        <v>375.32184591008121</v>
      </c>
      <c r="F26" s="2695">
        <f t="shared" si="39"/>
        <v>218.03766105054513</v>
      </c>
      <c r="G26" s="3460"/>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2597</v>
      </c>
      <c r="B27" s="2695">
        <f>B26/(1+N26)</f>
        <v>275.24529281292263</v>
      </c>
      <c r="C27" s="2695">
        <f>C26/(1+O26)</f>
        <v>231.74747938962707</v>
      </c>
      <c r="D27" s="2695">
        <f t="shared" si="28"/>
        <v>231.74747938962707</v>
      </c>
      <c r="E27" s="2695">
        <f t="shared" si="39"/>
        <v>375.35938184826603</v>
      </c>
      <c r="F27" s="2695">
        <f t="shared" si="39"/>
        <v>216.78033510692495</v>
      </c>
      <c r="G27" s="3460"/>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2598</v>
      </c>
      <c r="B28" s="2695">
        <f>B27/(1+N27)</f>
        <v>275.19025476197027</v>
      </c>
      <c r="C28" s="2727">
        <v>232</v>
      </c>
      <c r="D28" s="2727">
        <f t="shared" si="28"/>
        <v>232</v>
      </c>
      <c r="E28" s="2695">
        <f t="shared" si="39"/>
        <v>375.65990977608692</v>
      </c>
      <c r="F28" s="2695">
        <f t="shared" si="39"/>
        <v>214.12518283971252</v>
      </c>
      <c r="G28" s="3461"/>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2599</v>
      </c>
      <c r="B29" s="2687">
        <v>275</v>
      </c>
      <c r="C29" s="2687">
        <v>232</v>
      </c>
      <c r="D29" s="2687">
        <f t="shared" si="28"/>
        <v>232</v>
      </c>
      <c r="E29" s="2687">
        <v>376</v>
      </c>
      <c r="F29" s="2688">
        <v>213</v>
      </c>
      <c r="G29" s="3459">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2600</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60">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2601</v>
      </c>
      <c r="B31" s="2695">
        <f t="shared" si="40"/>
        <v>275.19335084830601</v>
      </c>
      <c r="C31" s="2695">
        <f t="shared" si="40"/>
        <v>230.18088050139744</v>
      </c>
      <c r="D31" s="2695">
        <f t="shared" si="28"/>
        <v>230.18088050139744</v>
      </c>
      <c r="E31" s="2695">
        <f t="shared" si="41"/>
        <v>377.58482925212331</v>
      </c>
      <c r="F31" s="2695">
        <f t="shared" si="41"/>
        <v>210.90687997847917</v>
      </c>
      <c r="G31" s="3460">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2602</v>
      </c>
      <c r="B32" s="2695">
        <f t="shared" si="40"/>
        <v>276.29854502841971</v>
      </c>
      <c r="C32" s="2695">
        <f t="shared" si="40"/>
        <v>229.79023709833027</v>
      </c>
      <c r="D32" s="2695">
        <f t="shared" si="28"/>
        <v>229.79023709833027</v>
      </c>
      <c r="E32" s="2695">
        <f t="shared" si="41"/>
        <v>379.78759731655936</v>
      </c>
      <c r="F32" s="2695">
        <f t="shared" si="41"/>
        <v>211.32953905659235</v>
      </c>
      <c r="G32" s="3461">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2603</v>
      </c>
      <c r="B33" s="2687">
        <v>269</v>
      </c>
      <c r="C33" s="2687">
        <v>221</v>
      </c>
      <c r="D33" s="2687">
        <f t="shared" si="28"/>
        <v>221</v>
      </c>
      <c r="E33" s="2687">
        <v>373</v>
      </c>
      <c r="F33" s="2688">
        <v>196</v>
      </c>
      <c r="G33" s="3459">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2604</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60">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2605</v>
      </c>
      <c r="B35" s="2695">
        <f t="shared" si="42"/>
        <v>242.95398227588385</v>
      </c>
      <c r="C35" s="2695">
        <f t="shared" si="42"/>
        <v>199.59137053614126</v>
      </c>
      <c r="D35" s="2695">
        <f t="shared" si="28"/>
        <v>199.59137053614126</v>
      </c>
      <c r="E35" s="2695">
        <f t="shared" si="43"/>
        <v>335.92189522342125</v>
      </c>
      <c r="F35" s="2695">
        <f t="shared" si="43"/>
        <v>183.10139991109489</v>
      </c>
      <c r="G35" s="3460">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2606</v>
      </c>
      <c r="B36" s="2695">
        <f t="shared" si="42"/>
        <v>232.06990378821649</v>
      </c>
      <c r="C36" s="2695">
        <f t="shared" si="42"/>
        <v>192.74878854286936</v>
      </c>
      <c r="D36" s="2695">
        <f t="shared" si="28"/>
        <v>192.74878854286936</v>
      </c>
      <c r="E36" s="2695">
        <f t="shared" si="43"/>
        <v>319.71247284992984</v>
      </c>
      <c r="F36" s="2695">
        <f t="shared" si="43"/>
        <v>175.67053622862409</v>
      </c>
      <c r="G36" s="3461">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2607</v>
      </c>
      <c r="B37" s="2687">
        <v>220</v>
      </c>
      <c r="C37" s="2687">
        <v>187</v>
      </c>
      <c r="D37" s="2687">
        <f t="shared" si="28"/>
        <v>187</v>
      </c>
      <c r="E37" s="2687">
        <v>301</v>
      </c>
      <c r="F37" s="2688">
        <v>168</v>
      </c>
      <c r="G37" s="3459">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2608</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60">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2609</v>
      </c>
      <c r="B39" s="2695">
        <f t="shared" si="44"/>
        <v>210.630522469011</v>
      </c>
      <c r="C39" s="2695">
        <f t="shared" si="44"/>
        <v>181.69567812247232</v>
      </c>
      <c r="D39" s="2695">
        <f t="shared" si="28"/>
        <v>181.69567812247232</v>
      </c>
      <c r="E39" s="2695">
        <f t="shared" si="45"/>
        <v>286.13517466736738</v>
      </c>
      <c r="F39" s="2695">
        <f t="shared" si="45"/>
        <v>165.47535084591149</v>
      </c>
      <c r="G39" s="3460">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2610</v>
      </c>
      <c r="B40" s="2695">
        <f t="shared" si="44"/>
        <v>208.83454537875372</v>
      </c>
      <c r="C40" s="2695">
        <f t="shared" si="44"/>
        <v>183.77230517090351</v>
      </c>
      <c r="D40" s="2695">
        <f t="shared" si="28"/>
        <v>183.77230517090351</v>
      </c>
      <c r="E40" s="2695">
        <f t="shared" si="45"/>
        <v>281.10342338870947</v>
      </c>
      <c r="F40" s="2695">
        <f t="shared" si="45"/>
        <v>168.97309388942256</v>
      </c>
      <c r="G40" s="3461">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2611</v>
      </c>
      <c r="B41" s="2725">
        <v>214</v>
      </c>
      <c r="C41" s="2725">
        <v>188</v>
      </c>
      <c r="D41" s="2725">
        <f t="shared" si="28"/>
        <v>188</v>
      </c>
      <c r="E41" s="2725">
        <v>289</v>
      </c>
      <c r="F41" s="2726">
        <v>166</v>
      </c>
      <c r="G41" s="3459">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2612</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60">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2613</v>
      </c>
      <c r="B43" s="2695">
        <f t="shared" si="46"/>
        <v>206.31694671589116</v>
      </c>
      <c r="C43" s="2695">
        <f t="shared" si="46"/>
        <v>183.61041121036101</v>
      </c>
      <c r="D43" s="2695">
        <f t="shared" si="28"/>
        <v>183.61041121036101</v>
      </c>
      <c r="E43" s="2695">
        <f t="shared" si="47"/>
        <v>276.66850301795557</v>
      </c>
      <c r="F43" s="2695">
        <f t="shared" si="47"/>
        <v>165.1360938278614</v>
      </c>
      <c r="G43" s="3460">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2614</v>
      </c>
      <c r="B44" s="2728">
        <f t="shared" si="46"/>
        <v>196.62341248059772</v>
      </c>
      <c r="C44" s="2728">
        <f t="shared" si="46"/>
        <v>170.99125648199012</v>
      </c>
      <c r="D44" s="2728">
        <f t="shared" si="28"/>
        <v>170.99125648199012</v>
      </c>
      <c r="E44" s="2728">
        <f t="shared" si="47"/>
        <v>266.07857570490052</v>
      </c>
      <c r="F44" s="2728">
        <f t="shared" si="47"/>
        <v>154.53499328828505</v>
      </c>
      <c r="G44" s="3461">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2615</v>
      </c>
      <c r="B45" s="2687">
        <v>188</v>
      </c>
      <c r="C45" s="2687">
        <v>165</v>
      </c>
      <c r="D45" s="2687">
        <f t="shared" si="28"/>
        <v>165</v>
      </c>
      <c r="E45" s="2687">
        <v>254</v>
      </c>
      <c r="F45" s="2688">
        <v>148</v>
      </c>
      <c r="G45" s="3459">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2616</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60">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2617</v>
      </c>
      <c r="B47" s="2695">
        <f t="shared" si="50"/>
        <v>168.82017748715555</v>
      </c>
      <c r="C47" s="2695">
        <f t="shared" si="50"/>
        <v>148.06267029972753</v>
      </c>
      <c r="D47" s="2695">
        <f t="shared" si="28"/>
        <v>148.06267029972753</v>
      </c>
      <c r="E47" s="2695">
        <f t="shared" si="51"/>
        <v>216.46288379323747</v>
      </c>
      <c r="F47" s="2695">
        <f t="shared" si="51"/>
        <v>134.23529411764704</v>
      </c>
      <c r="G47" s="3460">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2618</v>
      </c>
      <c r="B48" s="2695">
        <f t="shared" si="50"/>
        <v>163.84913591779542</v>
      </c>
      <c r="C48" s="2695">
        <f t="shared" si="50"/>
        <v>145.0283378746594</v>
      </c>
      <c r="D48" s="2695">
        <f t="shared" si="28"/>
        <v>145.0283378746594</v>
      </c>
      <c r="E48" s="2695">
        <f t="shared" si="51"/>
        <v>204.95180722891567</v>
      </c>
      <c r="F48" s="2695">
        <f t="shared" si="51"/>
        <v>125.95920303605313</v>
      </c>
      <c r="G48" s="3461">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2619</v>
      </c>
      <c r="B49" s="2709">
        <v>159</v>
      </c>
      <c r="C49" s="2709">
        <v>141</v>
      </c>
      <c r="D49" s="2709">
        <f t="shared" si="28"/>
        <v>141</v>
      </c>
      <c r="E49" s="2709">
        <v>195</v>
      </c>
      <c r="F49" s="2710">
        <v>122</v>
      </c>
      <c r="G49" s="3459">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2620</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60">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2621</v>
      </c>
      <c r="B51" s="2695">
        <f t="shared" si="54"/>
        <v>146.57412060301507</v>
      </c>
      <c r="C51" s="2695">
        <f t="shared" si="54"/>
        <v>136.46831955922866</v>
      </c>
      <c r="D51" s="2695">
        <f t="shared" si="28"/>
        <v>136.46831955922866</v>
      </c>
      <c r="E51" s="2695">
        <f t="shared" si="55"/>
        <v>166.73864894795128</v>
      </c>
      <c r="F51" s="2695">
        <f t="shared" si="55"/>
        <v>115.05882352941177</v>
      </c>
      <c r="G51" s="3460">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2622</v>
      </c>
      <c r="B52" s="2695">
        <f t="shared" si="54"/>
        <v>144.04145728643215</v>
      </c>
      <c r="C52" s="2695">
        <f t="shared" si="54"/>
        <v>136.12396694214877</v>
      </c>
      <c r="D52" s="2695">
        <f t="shared" si="28"/>
        <v>136.12396694214877</v>
      </c>
      <c r="E52" s="2695">
        <f t="shared" si="55"/>
        <v>158.32225913621264</v>
      </c>
      <c r="F52" s="2695">
        <f t="shared" si="55"/>
        <v>114.04278074866311</v>
      </c>
      <c r="G52" s="3461">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2623</v>
      </c>
      <c r="B53" s="2709">
        <v>138</v>
      </c>
      <c r="C53" s="2709">
        <v>131</v>
      </c>
      <c r="D53" s="2709">
        <f t="shared" si="28"/>
        <v>131</v>
      </c>
      <c r="E53" s="2709">
        <v>155</v>
      </c>
      <c r="F53" s="2710">
        <v>114</v>
      </c>
      <c r="G53" s="3459">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2624</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60">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2625</v>
      </c>
      <c r="B55" s="2695">
        <f t="shared" si="58"/>
        <v>124.29032258064517</v>
      </c>
      <c r="C55" s="2695">
        <f t="shared" si="58"/>
        <v>123.8968609865471</v>
      </c>
      <c r="D55" s="2695">
        <f t="shared" si="28"/>
        <v>123.8968609865471</v>
      </c>
      <c r="E55" s="2695">
        <f t="shared" si="59"/>
        <v>138.00507614213197</v>
      </c>
      <c r="F55" s="2695">
        <f t="shared" si="59"/>
        <v>107.96106557377048</v>
      </c>
      <c r="G55" s="3460">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2626</v>
      </c>
      <c r="B56" s="2695">
        <f t="shared" si="58"/>
        <v>122.57204301075269</v>
      </c>
      <c r="C56" s="2695">
        <f t="shared" si="58"/>
        <v>123.4932735426009</v>
      </c>
      <c r="D56" s="2695">
        <f t="shared" si="28"/>
        <v>123.4932735426009</v>
      </c>
      <c r="E56" s="2695">
        <f t="shared" si="59"/>
        <v>129.82233502538071</v>
      </c>
      <c r="F56" s="2695">
        <f t="shared" si="59"/>
        <v>107.39446721311475</v>
      </c>
      <c r="G56" s="3461">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2627</v>
      </c>
      <c r="B57" s="2725">
        <v>121</v>
      </c>
      <c r="C57" s="2725">
        <v>122</v>
      </c>
      <c r="D57" s="2725">
        <f t="shared" si="28"/>
        <v>122</v>
      </c>
      <c r="E57" s="2725">
        <v>124</v>
      </c>
      <c r="F57" s="2726">
        <v>107</v>
      </c>
      <c r="G57" s="3459">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2628</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60">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2629</v>
      </c>
      <c r="B59" s="2695">
        <f t="shared" si="62"/>
        <v>116.99099099099099</v>
      </c>
      <c r="C59" s="2695">
        <f t="shared" si="62"/>
        <v>118.84848484848486</v>
      </c>
      <c r="D59" s="2695">
        <f t="shared" si="28"/>
        <v>118.84848484848486</v>
      </c>
      <c r="E59" s="2695">
        <f t="shared" si="63"/>
        <v>117.60960960960961</v>
      </c>
      <c r="F59" s="2695">
        <f t="shared" si="63"/>
        <v>104</v>
      </c>
      <c r="G59" s="3460">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2630</v>
      </c>
      <c r="B60" s="2728">
        <f t="shared" si="62"/>
        <v>112.48648648648648</v>
      </c>
      <c r="C60" s="2728">
        <f t="shared" si="62"/>
        <v>115.21212121212122</v>
      </c>
      <c r="D60" s="2728">
        <f t="shared" si="28"/>
        <v>115.21212121212122</v>
      </c>
      <c r="E60" s="2728">
        <f t="shared" si="63"/>
        <v>110.4024024024024</v>
      </c>
      <c r="F60" s="2728">
        <f t="shared" si="63"/>
        <v>104</v>
      </c>
      <c r="G60" s="3461">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2631</v>
      </c>
      <c r="B61" s="2746">
        <v>111</v>
      </c>
      <c r="C61" s="2746">
        <v>114</v>
      </c>
      <c r="D61" s="2746">
        <f t="shared" si="28"/>
        <v>114</v>
      </c>
      <c r="E61" s="2746">
        <v>108</v>
      </c>
      <c r="F61" s="2747">
        <v>104</v>
      </c>
      <c r="G61" s="3459">
        <v>2003</v>
      </c>
      <c r="H61" s="2736">
        <v>4</v>
      </c>
      <c r="I61" s="2748"/>
      <c r="J61" s="2748"/>
      <c r="K61" s="2748"/>
      <c r="L61" s="2748"/>
      <c r="N61" s="2749"/>
      <c r="O61" s="2748"/>
      <c r="P61" s="2748"/>
      <c r="Q61" s="2748"/>
      <c r="S61" s="2749"/>
      <c r="T61" s="2748"/>
      <c r="U61" s="2748"/>
      <c r="V61" s="2748"/>
      <c r="X61" s="2740"/>
      <c r="Y61" s="2740"/>
      <c r="Z61" s="2740"/>
    </row>
    <row r="62" spans="1:26">
      <c r="A62" s="2681" t="s">
        <v>2632</v>
      </c>
      <c r="B62" s="2750">
        <f t="shared" ref="B62:C64" si="64">B63+(B$61-B$65)/4</f>
        <v>109.75</v>
      </c>
      <c r="C62" s="2750">
        <f t="shared" si="64"/>
        <v>112.25</v>
      </c>
      <c r="D62" s="2750">
        <f t="shared" si="28"/>
        <v>112.25</v>
      </c>
      <c r="E62" s="2750">
        <f t="shared" ref="E62:F64" si="65">E63+(E$61-E$65)/4</f>
        <v>107.25</v>
      </c>
      <c r="F62" s="2750">
        <f t="shared" si="65"/>
        <v>103.5</v>
      </c>
      <c r="G62" s="3460">
        <v>2003</v>
      </c>
      <c r="H62" s="2706">
        <v>3</v>
      </c>
      <c r="I62" s="2748"/>
      <c r="J62" s="2748"/>
      <c r="K62" s="2748"/>
      <c r="L62" s="2748"/>
      <c r="X62" s="2740"/>
      <c r="Y62" s="2740"/>
      <c r="Z62" s="2740"/>
    </row>
    <row r="63" spans="1:26">
      <c r="A63" s="2681" t="s">
        <v>2633</v>
      </c>
      <c r="B63" s="2750">
        <f t="shared" si="64"/>
        <v>108.5</v>
      </c>
      <c r="C63" s="2750">
        <f t="shared" si="64"/>
        <v>110.5</v>
      </c>
      <c r="D63" s="2750">
        <f t="shared" si="28"/>
        <v>110.5</v>
      </c>
      <c r="E63" s="2750">
        <f t="shared" si="65"/>
        <v>106.5</v>
      </c>
      <c r="F63" s="2750">
        <f t="shared" si="65"/>
        <v>103</v>
      </c>
      <c r="G63" s="3460">
        <v>2003</v>
      </c>
      <c r="H63" s="2686">
        <v>2</v>
      </c>
      <c r="I63" s="2748"/>
      <c r="J63" s="2748"/>
      <c r="K63" s="2748"/>
      <c r="L63" s="2748"/>
      <c r="X63" s="2740"/>
      <c r="Y63" s="2740"/>
      <c r="Z63" s="2740"/>
    </row>
    <row r="64" spans="1:26" ht="13.5" thickBot="1">
      <c r="A64" s="2681" t="s">
        <v>2634</v>
      </c>
      <c r="B64" s="2750">
        <f t="shared" si="64"/>
        <v>107.25</v>
      </c>
      <c r="C64" s="2750">
        <f t="shared" si="64"/>
        <v>108.75</v>
      </c>
      <c r="D64" s="2750">
        <f t="shared" si="28"/>
        <v>108.75</v>
      </c>
      <c r="E64" s="2750">
        <f t="shared" si="65"/>
        <v>105.75</v>
      </c>
      <c r="F64" s="2750">
        <f t="shared" si="65"/>
        <v>102.5</v>
      </c>
      <c r="G64" s="3461">
        <v>2003</v>
      </c>
      <c r="H64" s="2751">
        <v>1</v>
      </c>
      <c r="I64" s="2748"/>
      <c r="J64" s="2748"/>
      <c r="K64" s="2748"/>
      <c r="L64" s="2748"/>
      <c r="S64" s="2690"/>
      <c r="T64" s="2691"/>
      <c r="U64" s="2691"/>
      <c r="X64" s="2740"/>
      <c r="Y64" s="2740"/>
      <c r="Z64" s="2740"/>
    </row>
    <row r="65" spans="1:26" ht="13.5" thickBot="1">
      <c r="A65" s="2681" t="s">
        <v>2635</v>
      </c>
      <c r="B65" s="2752">
        <v>106</v>
      </c>
      <c r="C65" s="2752">
        <v>107</v>
      </c>
      <c r="D65" s="2752">
        <f t="shared" si="28"/>
        <v>107</v>
      </c>
      <c r="E65" s="2752">
        <v>105</v>
      </c>
      <c r="F65" s="2753">
        <v>102</v>
      </c>
      <c r="G65" s="3459">
        <v>2002</v>
      </c>
      <c r="H65" s="2701">
        <v>4</v>
      </c>
      <c r="I65" s="2748"/>
      <c r="J65" s="2748"/>
      <c r="K65" s="2748"/>
      <c r="L65" s="2748"/>
      <c r="N65" s="2749"/>
      <c r="O65" s="2748"/>
      <c r="P65" s="2748"/>
      <c r="Q65" s="2748"/>
      <c r="S65" s="2749"/>
      <c r="T65" s="2748"/>
      <c r="U65" s="2748"/>
      <c r="V65" s="2748"/>
      <c r="X65" s="2740"/>
      <c r="Y65" s="2740"/>
      <c r="Z65" s="2740"/>
    </row>
    <row r="66" spans="1:26">
      <c r="A66" s="2681" t="s">
        <v>2636</v>
      </c>
      <c r="B66" s="2750">
        <f t="shared" ref="B66:C68" si="66">B67+(B$65-B$69)/4</f>
        <v>105</v>
      </c>
      <c r="C66" s="2750">
        <f t="shared" si="66"/>
        <v>106</v>
      </c>
      <c r="D66" s="2750">
        <f t="shared" si="28"/>
        <v>106</v>
      </c>
      <c r="E66" s="2750">
        <f t="shared" ref="E66:F68" si="67">E67+(E$65-E$69)/4</f>
        <v>104.5</v>
      </c>
      <c r="F66" s="2750">
        <f t="shared" si="67"/>
        <v>101.5</v>
      </c>
      <c r="G66" s="3460">
        <v>2002</v>
      </c>
      <c r="H66" s="2706">
        <v>3</v>
      </c>
      <c r="I66" s="2748"/>
      <c r="J66" s="2748"/>
      <c r="K66" s="2748"/>
      <c r="L66" s="2748"/>
      <c r="X66" s="2740"/>
      <c r="Y66" s="2740"/>
      <c r="Z66" s="2740"/>
    </row>
    <row r="67" spans="1:26">
      <c r="A67" s="2681" t="s">
        <v>2637</v>
      </c>
      <c r="B67" s="2750">
        <f t="shared" si="66"/>
        <v>104</v>
      </c>
      <c r="C67" s="2750">
        <f t="shared" si="66"/>
        <v>105</v>
      </c>
      <c r="D67" s="2750">
        <f t="shared" si="28"/>
        <v>105</v>
      </c>
      <c r="E67" s="2750">
        <f t="shared" si="67"/>
        <v>104</v>
      </c>
      <c r="F67" s="2750">
        <f t="shared" si="67"/>
        <v>101</v>
      </c>
      <c r="G67" s="3460">
        <v>2002</v>
      </c>
      <c r="H67" s="2686">
        <v>2</v>
      </c>
      <c r="I67" s="2748"/>
      <c r="J67" s="2748"/>
      <c r="K67" s="2748"/>
      <c r="L67" s="2748"/>
      <c r="X67" s="2740"/>
      <c r="Y67" s="2740"/>
      <c r="Z67" s="2740"/>
    </row>
    <row r="68" spans="1:26" s="2717" customFormat="1" ht="13.5" thickBot="1">
      <c r="A68" s="2713" t="s">
        <v>2638</v>
      </c>
      <c r="B68" s="2754">
        <f t="shared" si="66"/>
        <v>103</v>
      </c>
      <c r="C68" s="2754">
        <f t="shared" si="66"/>
        <v>104</v>
      </c>
      <c r="D68" s="2754">
        <f t="shared" si="28"/>
        <v>104</v>
      </c>
      <c r="E68" s="2754">
        <f t="shared" si="67"/>
        <v>103.5</v>
      </c>
      <c r="F68" s="2754">
        <f t="shared" si="67"/>
        <v>100.5</v>
      </c>
      <c r="G68" s="3461">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2639</v>
      </c>
      <c r="G71" s="2764"/>
      <c r="N71" s="2764"/>
      <c r="S71" s="2764"/>
    </row>
    <row r="72" spans="1:26" s="2763" customFormat="1">
      <c r="A72" s="2763" t="s">
        <v>2640</v>
      </c>
      <c r="G72" s="2764"/>
      <c r="N72" s="2764"/>
      <c r="S72" s="2764"/>
    </row>
    <row r="73" spans="1:26" s="2763" customFormat="1">
      <c r="A73" s="2763" t="s">
        <v>2641</v>
      </c>
      <c r="G73" s="2764"/>
      <c r="I73" s="2765"/>
      <c r="J73" s="2765"/>
      <c r="K73" s="2765"/>
      <c r="L73" s="2765"/>
      <c r="N73" s="2766"/>
      <c r="O73" s="2765"/>
      <c r="P73" s="2765"/>
      <c r="Q73" s="2765"/>
      <c r="S73" s="2766"/>
      <c r="T73" s="2765"/>
      <c r="U73" s="2765"/>
      <c r="V73" s="2765"/>
    </row>
    <row r="74" spans="1:26" s="2763" customFormat="1">
      <c r="A74" s="2763" t="s">
        <v>2642</v>
      </c>
      <c r="G74" s="2764"/>
      <c r="N74" s="2764"/>
      <c r="S74" s="2764"/>
    </row>
    <row r="81" spans="7:22" ht="13.5" thickBot="1"/>
    <row r="82" spans="7:22">
      <c r="G82" s="2689"/>
      <c r="S82" s="2767" t="s">
        <v>2643</v>
      </c>
      <c r="T82" s="2768" t="s">
        <v>2644</v>
      </c>
      <c r="U82" s="2768" t="s">
        <v>2645</v>
      </c>
      <c r="V82" s="2768" t="s">
        <v>2646</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M48" sqref="M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8" t="s">
        <v>720</v>
      </c>
      <c r="C1" s="2649" t="s">
        <v>721</v>
      </c>
      <c r="D1" s="2650" t="s">
        <v>924</v>
      </c>
      <c r="E1" s="2651"/>
      <c r="F1" s="2834" t="s">
        <v>3065</v>
      </c>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4" t="s">
        <v>467</v>
      </c>
      <c r="B2" s="2647">
        <f>ROUND(B3*D3/10000,0)</f>
        <v>200602</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0" t="s">
        <v>520</v>
      </c>
      <c r="B3" s="852">
        <f>C49</f>
        <v>17649</v>
      </c>
      <c r="C3" s="853" t="s">
        <v>723</v>
      </c>
      <c r="D3" s="852">
        <f>SUMIF('数据-汇总表'!$C19:$C33,D1,'数据-汇总表'!$E19:$E33)</f>
        <v>113662.12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3" t="s">
        <v>522</v>
      </c>
      <c r="B4" s="514"/>
      <c r="C4" s="3385" t="s">
        <v>523</v>
      </c>
      <c r="D4" s="3386"/>
      <c r="E4" s="3420" t="s">
        <v>524</v>
      </c>
      <c r="F4" s="3421"/>
      <c r="G4" s="3385" t="s">
        <v>525</v>
      </c>
      <c r="H4" s="3386"/>
      <c r="I4" s="3385" t="s">
        <v>526</v>
      </c>
      <c r="J4" s="3386"/>
      <c r="K4" s="854" t="s">
        <v>527</v>
      </c>
      <c r="L4" s="2134"/>
      <c r="M4" s="2135"/>
      <c r="N4" s="2135"/>
      <c r="O4" s="2135"/>
      <c r="P4" s="3387" t="s">
        <v>528</v>
      </c>
      <c r="Q4" s="3388"/>
      <c r="R4" s="3393" t="s">
        <v>524</v>
      </c>
      <c r="S4" s="3394"/>
      <c r="T4" s="3393" t="s">
        <v>525</v>
      </c>
      <c r="U4" s="3394"/>
      <c r="V4" s="3380" t="s">
        <v>526</v>
      </c>
      <c r="W4" s="3380"/>
      <c r="X4" s="1567"/>
      <c r="Y4" s="3393" t="s">
        <v>528</v>
      </c>
      <c r="Z4" s="3394"/>
      <c r="AA4" s="3382" t="s">
        <v>524</v>
      </c>
      <c r="AB4" s="3382" t="s">
        <v>525</v>
      </c>
      <c r="AC4" s="3382" t="s">
        <v>526</v>
      </c>
    </row>
    <row r="5" spans="1:29" ht="15">
      <c r="A5" s="516"/>
      <c r="B5" s="517"/>
      <c r="C5" s="3403" t="s">
        <v>2937</v>
      </c>
      <c r="D5" s="3402"/>
      <c r="E5" s="3472" t="s">
        <v>3075</v>
      </c>
      <c r="F5" s="3423"/>
      <c r="G5" s="3401" t="s">
        <v>3076</v>
      </c>
      <c r="H5" s="3402"/>
      <c r="I5" s="3401" t="s">
        <v>3077</v>
      </c>
      <c r="J5" s="3402"/>
      <c r="K5" s="855"/>
      <c r="L5" s="2134"/>
      <c r="M5" s="2135"/>
      <c r="N5" s="2135"/>
      <c r="O5" s="2135"/>
      <c r="P5" s="3389"/>
      <c r="Q5" s="3390"/>
      <c r="R5" s="3395"/>
      <c r="S5" s="3396"/>
      <c r="T5" s="3395"/>
      <c r="U5" s="3396"/>
      <c r="V5" s="3380"/>
      <c r="W5" s="3380"/>
      <c r="X5" s="1567"/>
      <c r="Y5" s="3395"/>
      <c r="Z5" s="3396"/>
      <c r="AA5" s="3383"/>
      <c r="AB5" s="3383"/>
      <c r="AC5" s="3383"/>
    </row>
    <row r="6" spans="1:29" ht="15.75" thickBot="1">
      <c r="A6" s="518"/>
      <c r="B6" s="519"/>
      <c r="C6" s="3399" t="s">
        <v>2941</v>
      </c>
      <c r="D6" s="3400"/>
      <c r="E6" s="3418" t="s">
        <v>2941</v>
      </c>
      <c r="F6" s="3419"/>
      <c r="G6" s="3399" t="s">
        <v>2941</v>
      </c>
      <c r="H6" s="3400"/>
      <c r="I6" s="3399" t="s">
        <v>2941</v>
      </c>
      <c r="J6" s="3400"/>
      <c r="K6" s="855" t="s">
        <v>529</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39"/>
      <c r="B7" s="2946" t="s">
        <v>530</v>
      </c>
      <c r="C7" s="520">
        <f>'数据-取费表'!B2</f>
        <v>43138</v>
      </c>
      <c r="D7" s="521">
        <v>100</v>
      </c>
      <c r="E7" s="522">
        <v>43138</v>
      </c>
      <c r="F7" s="523">
        <f>SUMIF(58:58,YEAR(E7)&amp;"-"&amp;MONTH(E7),59:59)</f>
        <v>100</v>
      </c>
      <c r="G7" s="522">
        <v>43138</v>
      </c>
      <c r="H7" s="521">
        <f>SUMIF(58:58,YEAR(G7)&amp;"-"&amp;MONTH(G7),59:59)</f>
        <v>100</v>
      </c>
      <c r="I7" s="522">
        <v>43138</v>
      </c>
      <c r="J7" s="521">
        <f>SUMIF(58:58,YEAR(I7)&amp;"-"&amp;MONTH(I7),59:59)</f>
        <v>100</v>
      </c>
      <c r="K7" s="856"/>
      <c r="L7" s="2136"/>
      <c r="M7" s="2137"/>
      <c r="N7" s="2137"/>
      <c r="O7" s="2137"/>
      <c r="P7" s="3411" t="s">
        <v>531</v>
      </c>
      <c r="Q7" s="3413"/>
      <c r="R7" s="1568" t="s">
        <v>13</v>
      </c>
      <c r="S7" s="1569">
        <f t="shared" ref="S7:S15" si="0">F7</f>
        <v>100</v>
      </c>
      <c r="T7" s="1568" t="s">
        <v>13</v>
      </c>
      <c r="U7" s="1569">
        <f t="shared" ref="U7:U15" si="1">H7</f>
        <v>100</v>
      </c>
      <c r="V7" s="1568" t="s">
        <v>13</v>
      </c>
      <c r="W7" s="1569">
        <f t="shared" ref="W7:W15" si="2">J7</f>
        <v>100</v>
      </c>
      <c r="X7" s="1570"/>
      <c r="Y7" s="3411" t="s">
        <v>531</v>
      </c>
      <c r="Z7" s="3412"/>
      <c r="AA7" s="1571">
        <f>D7/F7</f>
        <v>1</v>
      </c>
      <c r="AB7" s="1571">
        <f>D7/H7</f>
        <v>1</v>
      </c>
      <c r="AC7" s="1571">
        <f>D7/J7</f>
        <v>1</v>
      </c>
    </row>
    <row r="8" spans="1:29" s="1220" customFormat="1" ht="15.75" thickBot="1">
      <c r="A8" s="2940"/>
      <c r="B8" s="2947" t="s">
        <v>532</v>
      </c>
      <c r="C8" s="526" t="s">
        <v>577</v>
      </c>
      <c r="D8" s="521">
        <v>100</v>
      </c>
      <c r="E8" s="857" t="s">
        <v>2986</v>
      </c>
      <c r="F8" s="523">
        <f>SUMIF(61:61,E8,62:62)-SUMIF(61:61,C8,62:62)+100</f>
        <v>100</v>
      </c>
      <c r="G8" s="526" t="s">
        <v>577</v>
      </c>
      <c r="H8" s="521">
        <f>SUMIF(61:61,G8,62:62)-SUMIF(61:61,C8,62:62)+100</f>
        <v>100</v>
      </c>
      <c r="I8" s="526" t="s">
        <v>577</v>
      </c>
      <c r="J8" s="521">
        <f>SUMIF(61:61,I8,62:62)-SUMIF(61:61,C8,62:62)+100</f>
        <v>100</v>
      </c>
      <c r="K8" s="856"/>
      <c r="L8" s="2136"/>
      <c r="M8" s="2137"/>
      <c r="N8" s="2137"/>
      <c r="O8" s="2137"/>
      <c r="P8" s="3411" t="s">
        <v>534</v>
      </c>
      <c r="Q8" s="3412"/>
      <c r="R8" s="1568" t="s">
        <v>13</v>
      </c>
      <c r="S8" s="1569">
        <f t="shared" si="0"/>
        <v>100</v>
      </c>
      <c r="T8" s="1568" t="s">
        <v>13</v>
      </c>
      <c r="U8" s="1569">
        <f t="shared" si="1"/>
        <v>100</v>
      </c>
      <c r="V8" s="1568" t="s">
        <v>13</v>
      </c>
      <c r="W8" s="1569">
        <f t="shared" si="2"/>
        <v>100</v>
      </c>
      <c r="X8" s="1570"/>
      <c r="Y8" s="3411" t="s">
        <v>534</v>
      </c>
      <c r="Z8" s="3412"/>
      <c r="AA8" s="1571">
        <f t="shared" ref="AA8:AA46" si="3">D8/F8</f>
        <v>1</v>
      </c>
      <c r="AB8" s="1571">
        <f t="shared" ref="AB8:AB46" si="4">D8/H8</f>
        <v>1</v>
      </c>
      <c r="AC8" s="1571">
        <f t="shared" ref="AC8:AC46" si="5">D8/J8</f>
        <v>1</v>
      </c>
    </row>
    <row r="9" spans="1:29" s="1220" customFormat="1" ht="15">
      <c r="A9" s="2941"/>
      <c r="B9" s="2948" t="s">
        <v>2764</v>
      </c>
      <c r="C9" s="3167" t="s">
        <v>3045</v>
      </c>
      <c r="D9" s="252">
        <v>100</v>
      </c>
      <c r="E9" s="859" t="s">
        <v>924</v>
      </c>
      <c r="F9" s="860">
        <f>SUMIF(63:63,E9,64:64)-SUMIF(63:63,C9,64:64)+100</f>
        <v>100</v>
      </c>
      <c r="G9" s="859" t="s">
        <v>924</v>
      </c>
      <c r="H9" s="252">
        <f>SUMIF(63:63,G9,64:64)-SUMIF(63:63,C9,64:64)+100</f>
        <v>100</v>
      </c>
      <c r="I9" s="859" t="s">
        <v>924</v>
      </c>
      <c r="J9" s="252">
        <f>SUMIF(63:63,I9,64:64)-SUMIF(63:63,C9,64:64)+100</f>
        <v>100</v>
      </c>
      <c r="K9" s="856"/>
      <c r="L9" s="2136"/>
      <c r="M9" s="2137"/>
      <c r="N9" s="2137"/>
      <c r="O9" s="2138"/>
      <c r="P9" s="3379" t="s">
        <v>536</v>
      </c>
      <c r="Q9" s="1151" t="str">
        <f t="shared" ref="Q9:Q15" si="6">B9</f>
        <v>用途</v>
      </c>
      <c r="R9" s="1568" t="s">
        <v>8</v>
      </c>
      <c r="S9" s="1569">
        <f t="shared" si="0"/>
        <v>100</v>
      </c>
      <c r="T9" s="1568" t="s">
        <v>8</v>
      </c>
      <c r="U9" s="1569">
        <f t="shared" si="1"/>
        <v>100</v>
      </c>
      <c r="V9" s="1568" t="s">
        <v>8</v>
      </c>
      <c r="W9" s="1569">
        <f t="shared" si="2"/>
        <v>100</v>
      </c>
      <c r="X9" s="1570"/>
      <c r="Y9" s="3325" t="s">
        <v>537</v>
      </c>
      <c r="Z9" s="1150" t="str">
        <f t="shared" ref="Z9:Z15" si="7">Q9</f>
        <v>用途</v>
      </c>
      <c r="AA9" s="1571">
        <f t="shared" si="3"/>
        <v>1</v>
      </c>
      <c r="AB9" s="1571">
        <f t="shared" si="4"/>
        <v>1</v>
      </c>
      <c r="AC9" s="1571">
        <f t="shared" si="5"/>
        <v>1</v>
      </c>
    </row>
    <row r="10" spans="1:29" s="1338" customFormat="1" ht="27">
      <c r="A10" s="2942"/>
      <c r="B10" s="2947" t="s">
        <v>2765</v>
      </c>
      <c r="C10" s="862" t="s">
        <v>3074</v>
      </c>
      <c r="D10" s="253">
        <v>100</v>
      </c>
      <c r="E10" s="863" t="s">
        <v>3074</v>
      </c>
      <c r="F10" s="864">
        <f>SUMIF(65:65,E10,66:66)-SUMIF(65:65,C10,66:66)+100</f>
        <v>100</v>
      </c>
      <c r="G10" s="862" t="s">
        <v>3074</v>
      </c>
      <c r="H10" s="253">
        <f>SUMIF(65:65,G10,66:66)-SUMIF(65:65,C10,66:66)+100</f>
        <v>100</v>
      </c>
      <c r="I10" s="862" t="s">
        <v>3074</v>
      </c>
      <c r="J10" s="253">
        <f>SUMIF(65:65,I10,66:66)-SUMIF(65:65,C10,66:66)+100</f>
        <v>100</v>
      </c>
      <c r="K10" s="865">
        <v>1</v>
      </c>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75" thickBot="1">
      <c r="A11" s="2943"/>
      <c r="B11" s="2947" t="s">
        <v>2766</v>
      </c>
      <c r="C11" s="534">
        <f>'数据-汇总表'!I7</f>
        <v>3.1</v>
      </c>
      <c r="D11" s="253">
        <v>100</v>
      </c>
      <c r="E11" s="535">
        <v>3.26</v>
      </c>
      <c r="F11" s="864">
        <f>LOOKUP(E11,68:68,69:69)-LOOKUP(C11,68:68,69:69)+100</f>
        <v>100</v>
      </c>
      <c r="G11" s="534">
        <v>1.96</v>
      </c>
      <c r="H11" s="253">
        <f>LOOKUP(G11,68:68,69:69)-LOOKUP(C11,68:68,69:69)+100</f>
        <v>104</v>
      </c>
      <c r="I11" s="534">
        <v>2.5</v>
      </c>
      <c r="J11" s="253">
        <f>LOOKUP(I11,68:68,69:69)-LOOKUP(C11,68:68,69:69)+100</f>
        <v>102</v>
      </c>
      <c r="K11" s="3197">
        <v>2</v>
      </c>
      <c r="L11" s="2141"/>
      <c r="M11" s="2135"/>
      <c r="N11" s="2135"/>
      <c r="O11" s="2142"/>
      <c r="P11" s="3379"/>
      <c r="Q11" s="1151" t="str">
        <f t="shared" si="6"/>
        <v>容积率</v>
      </c>
      <c r="R11" s="1568" t="s">
        <v>11</v>
      </c>
      <c r="S11" s="1569">
        <f t="shared" si="0"/>
        <v>100</v>
      </c>
      <c r="T11" s="1568" t="s">
        <v>11</v>
      </c>
      <c r="U11" s="1569">
        <f t="shared" si="1"/>
        <v>104</v>
      </c>
      <c r="V11" s="1568" t="s">
        <v>11</v>
      </c>
      <c r="W11" s="1569">
        <f t="shared" si="2"/>
        <v>102</v>
      </c>
      <c r="X11" s="1570"/>
      <c r="Y11" s="3325"/>
      <c r="Z11" s="1150" t="str">
        <f t="shared" si="7"/>
        <v>容积率</v>
      </c>
      <c r="AA11" s="1571">
        <f t="shared" si="3"/>
        <v>1</v>
      </c>
      <c r="AB11" s="1571">
        <f t="shared" si="4"/>
        <v>0.96153846153846156</v>
      </c>
      <c r="AC11" s="1571">
        <f t="shared" si="5"/>
        <v>0.98039215686274506</v>
      </c>
    </row>
    <row r="12" spans="1:29" s="1220" customFormat="1" ht="15" hidden="1">
      <c r="A12" s="2944"/>
      <c r="B12" s="2950"/>
      <c r="C12" s="529"/>
      <c r="D12" s="539">
        <v>100</v>
      </c>
      <c r="E12" s="529"/>
      <c r="F12" s="864">
        <f>SUMIF(70:70,E12,71:71)-SUMIF(70:70,C12,71:71)+100</f>
        <v>100</v>
      </c>
      <c r="G12" s="529"/>
      <c r="H12" s="253">
        <f>SUMIF(70:70,G12,71:71)-SUMIF(70:70,C12,71:71)+100</f>
        <v>100</v>
      </c>
      <c r="I12" s="529"/>
      <c r="J12" s="253">
        <f>SUMIF(70:70,I12,71:71)-SUMIF(70:70,C12,71:71)+100</f>
        <v>100</v>
      </c>
      <c r="K12" s="866"/>
      <c r="L12" s="2136"/>
      <c r="M12" s="2137"/>
      <c r="N12" s="2137"/>
      <c r="O12" s="2138"/>
      <c r="P12" s="3379"/>
      <c r="Q12" s="1151">
        <f t="shared" si="6"/>
        <v>0</v>
      </c>
      <c r="R12" s="1568" t="s">
        <v>11</v>
      </c>
      <c r="S12" s="1569">
        <f t="shared" si="0"/>
        <v>100</v>
      </c>
      <c r="T12" s="1568" t="s">
        <v>11</v>
      </c>
      <c r="U12" s="1569">
        <f t="shared" si="1"/>
        <v>100</v>
      </c>
      <c r="V12" s="1568" t="s">
        <v>11</v>
      </c>
      <c r="W12" s="1569">
        <f t="shared" si="2"/>
        <v>100</v>
      </c>
      <c r="X12" s="1570"/>
      <c r="Y12" s="3325"/>
      <c r="Z12" s="1150">
        <f t="shared" si="7"/>
        <v>0</v>
      </c>
      <c r="AA12" s="1571">
        <f>D12/F12</f>
        <v>1</v>
      </c>
      <c r="AB12" s="1571">
        <f>D12/H12</f>
        <v>1</v>
      </c>
      <c r="AC12" s="1571">
        <f>D12/J12</f>
        <v>1</v>
      </c>
    </row>
    <row r="13" spans="1:29" ht="15" hidden="1">
      <c r="A13" s="2944"/>
      <c r="B13" s="2950"/>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79"/>
      <c r="Q13" s="1151">
        <f t="shared" si="6"/>
        <v>0</v>
      </c>
      <c r="R13" s="1568" t="s">
        <v>11</v>
      </c>
      <c r="S13" s="1569">
        <f t="shared" si="0"/>
        <v>100</v>
      </c>
      <c r="T13" s="1568" t="s">
        <v>11</v>
      </c>
      <c r="U13" s="1569">
        <f t="shared" si="1"/>
        <v>100</v>
      </c>
      <c r="V13" s="1568" t="s">
        <v>11</v>
      </c>
      <c r="W13" s="1569">
        <f t="shared" si="2"/>
        <v>100</v>
      </c>
      <c r="X13" s="1570"/>
      <c r="Y13" s="3325"/>
      <c r="Z13" s="1150">
        <f t="shared" si="7"/>
        <v>0</v>
      </c>
      <c r="AA13" s="1571">
        <f t="shared" si="3"/>
        <v>1</v>
      </c>
      <c r="AB13" s="1571">
        <f t="shared" si="4"/>
        <v>1</v>
      </c>
      <c r="AC13" s="1571">
        <f t="shared" si="5"/>
        <v>1</v>
      </c>
    </row>
    <row r="14" spans="1:29" ht="15.75" hidden="1" thickBot="1">
      <c r="A14" s="2945"/>
      <c r="B14" s="2951"/>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79"/>
      <c r="Q14" s="1151">
        <f t="shared" si="6"/>
        <v>0</v>
      </c>
      <c r="R14" s="1568" t="s">
        <v>11</v>
      </c>
      <c r="S14" s="1569">
        <f t="shared" si="0"/>
        <v>100</v>
      </c>
      <c r="T14" s="1568" t="s">
        <v>11</v>
      </c>
      <c r="U14" s="1569">
        <f t="shared" si="1"/>
        <v>100</v>
      </c>
      <c r="V14" s="1568" t="s">
        <v>11</v>
      </c>
      <c r="W14" s="1569">
        <f t="shared" si="2"/>
        <v>100</v>
      </c>
      <c r="X14" s="1570"/>
      <c r="Y14" s="3325"/>
      <c r="Z14" s="1150">
        <f t="shared" si="7"/>
        <v>0</v>
      </c>
      <c r="AA14" s="1571">
        <f t="shared" si="3"/>
        <v>1</v>
      </c>
      <c r="AB14" s="1571">
        <f t="shared" si="4"/>
        <v>1</v>
      </c>
      <c r="AC14" s="1571">
        <f t="shared" si="5"/>
        <v>1</v>
      </c>
    </row>
    <row r="15" spans="1:29" ht="99.75">
      <c r="A15" s="2937" t="s">
        <v>2762</v>
      </c>
      <c r="B15" s="165"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3"/>
      <c r="M15" s="2135">
        <v>2</v>
      </c>
      <c r="N15" s="2135"/>
      <c r="O15" s="2142"/>
      <c r="P15" s="3414" t="s">
        <v>541</v>
      </c>
      <c r="Q15" s="1572" t="str">
        <f t="shared" si="6"/>
        <v>居住社区成熟度</v>
      </c>
      <c r="R15" s="1573" t="s">
        <v>11</v>
      </c>
      <c r="S15" s="1574">
        <f t="shared" si="0"/>
        <v>100</v>
      </c>
      <c r="T15" s="1573" t="s">
        <v>11</v>
      </c>
      <c r="U15" s="1574">
        <f t="shared" si="1"/>
        <v>100</v>
      </c>
      <c r="V15" s="1573" t="s">
        <v>11</v>
      </c>
      <c r="W15" s="1574">
        <f t="shared" si="2"/>
        <v>100</v>
      </c>
      <c r="X15" s="1567"/>
      <c r="Y15" s="3414" t="s">
        <v>541</v>
      </c>
      <c r="Z15" s="1575" t="str">
        <f t="shared" si="7"/>
        <v>居住社区成熟度</v>
      </c>
      <c r="AA15" s="1576">
        <f t="shared" si="3"/>
        <v>1</v>
      </c>
      <c r="AB15" s="1576">
        <f t="shared" si="4"/>
        <v>1</v>
      </c>
      <c r="AC15" s="1576">
        <f t="shared" si="5"/>
        <v>1</v>
      </c>
    </row>
    <row r="16" spans="1:29" ht="15">
      <c r="A16" s="533"/>
      <c r="B16" s="870"/>
      <c r="C16" s="577" t="s">
        <v>3015</v>
      </c>
      <c r="D16" s="556"/>
      <c r="E16" s="577" t="s">
        <v>3015</v>
      </c>
      <c r="F16" s="558"/>
      <c r="G16" s="577" t="s">
        <v>3015</v>
      </c>
      <c r="H16" s="560"/>
      <c r="I16" s="577" t="s">
        <v>3015</v>
      </c>
      <c r="J16" s="556"/>
      <c r="K16" s="871"/>
      <c r="L16" s="2143"/>
      <c r="M16" s="2135"/>
      <c r="N16" s="2135"/>
      <c r="O16" s="2142"/>
      <c r="P16" s="3415"/>
      <c r="Q16" s="1572"/>
      <c r="R16" s="1573"/>
      <c r="S16" s="1574"/>
      <c r="T16" s="1573"/>
      <c r="U16" s="1574"/>
      <c r="V16" s="1573"/>
      <c r="W16" s="1574"/>
      <c r="X16" s="1567"/>
      <c r="Y16" s="3415"/>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3"/>
      <c r="M17" s="2135"/>
      <c r="N17" s="2135"/>
      <c r="O17" s="2142"/>
      <c r="P17" s="3415"/>
      <c r="Q17" s="1572" t="str">
        <f>B17</f>
        <v>交通便捷度</v>
      </c>
      <c r="R17" s="1573" t="s">
        <v>11</v>
      </c>
      <c r="S17" s="1574">
        <f>F17</f>
        <v>100</v>
      </c>
      <c r="T17" s="1573" t="s">
        <v>11</v>
      </c>
      <c r="U17" s="1574">
        <f>H17</f>
        <v>100</v>
      </c>
      <c r="V17" s="1573" t="s">
        <v>11</v>
      </c>
      <c r="W17" s="1574">
        <f>J17</f>
        <v>100</v>
      </c>
      <c r="X17" s="1567"/>
      <c r="Y17" s="3415"/>
      <c r="Z17" s="1575" t="str">
        <f>Q17</f>
        <v>交通便捷度</v>
      </c>
      <c r="AA17" s="1576">
        <f t="shared" si="3"/>
        <v>1</v>
      </c>
      <c r="AB17" s="1576">
        <f t="shared" si="4"/>
        <v>1</v>
      </c>
      <c r="AC17" s="1576">
        <f t="shared" si="5"/>
        <v>1</v>
      </c>
    </row>
    <row r="18" spans="1:29" ht="15">
      <c r="A18" s="533"/>
      <c r="B18" s="596"/>
      <c r="C18" s="874" t="s">
        <v>3015</v>
      </c>
      <c r="D18" s="560"/>
      <c r="E18" s="874" t="s">
        <v>3015</v>
      </c>
      <c r="F18" s="564"/>
      <c r="G18" s="874" t="s">
        <v>3015</v>
      </c>
      <c r="H18" s="556"/>
      <c r="I18" s="874" t="s">
        <v>3015</v>
      </c>
      <c r="J18" s="556"/>
      <c r="K18" s="871"/>
      <c r="L18" s="2143"/>
      <c r="M18" s="2135"/>
      <c r="N18" s="2135"/>
      <c r="O18" s="2142"/>
      <c r="P18" s="3415"/>
      <c r="Q18" s="1572"/>
      <c r="R18" s="1573"/>
      <c r="S18" s="1574"/>
      <c r="T18" s="1573"/>
      <c r="U18" s="1574"/>
      <c r="V18" s="1573"/>
      <c r="W18" s="1574"/>
      <c r="X18" s="1567"/>
      <c r="Y18" s="3415"/>
      <c r="Z18" s="1575"/>
      <c r="AA18" s="1576">
        <v>1</v>
      </c>
      <c r="AB18" s="1576">
        <v>1</v>
      </c>
      <c r="AC18" s="1576">
        <v>1</v>
      </c>
    </row>
    <row r="19" spans="1:29" ht="42.75">
      <c r="A19" s="533"/>
      <c r="B19" s="2625"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3"/>
      <c r="M19" s="2135"/>
      <c r="N19" s="2135"/>
      <c r="O19" s="2142"/>
      <c r="P19" s="3415"/>
      <c r="Q19" s="1572" t="str">
        <f>B19</f>
        <v>公共配套设施</v>
      </c>
      <c r="R19" s="1573" t="s">
        <v>11</v>
      </c>
      <c r="S19" s="1574">
        <f>F19</f>
        <v>100</v>
      </c>
      <c r="T19" s="1573" t="s">
        <v>11</v>
      </c>
      <c r="U19" s="1574">
        <f>H19</f>
        <v>100</v>
      </c>
      <c r="V19" s="1573" t="s">
        <v>11</v>
      </c>
      <c r="W19" s="1574">
        <f>J19</f>
        <v>100</v>
      </c>
      <c r="X19" s="1567"/>
      <c r="Y19" s="3415"/>
      <c r="Z19" s="1575" t="str">
        <f>Q19</f>
        <v>公共配套设施</v>
      </c>
      <c r="AA19" s="1576">
        <f t="shared" si="3"/>
        <v>1</v>
      </c>
      <c r="AB19" s="1576">
        <f t="shared" si="4"/>
        <v>1</v>
      </c>
      <c r="AC19" s="1576">
        <f t="shared" si="5"/>
        <v>1</v>
      </c>
    </row>
    <row r="20" spans="1:29" ht="15">
      <c r="A20" s="533"/>
      <c r="B20" s="596"/>
      <c r="C20" s="874" t="s">
        <v>3015</v>
      </c>
      <c r="D20" s="556"/>
      <c r="E20" s="874" t="s">
        <v>3015</v>
      </c>
      <c r="F20" s="558"/>
      <c r="G20" s="874" t="s">
        <v>3015</v>
      </c>
      <c r="H20" s="556"/>
      <c r="I20" s="874" t="s">
        <v>3015</v>
      </c>
      <c r="J20" s="556"/>
      <c r="K20" s="871"/>
      <c r="L20" s="2143"/>
      <c r="M20" s="2135"/>
      <c r="N20" s="2135"/>
      <c r="O20" s="2142"/>
      <c r="P20" s="3415"/>
      <c r="Q20" s="1572"/>
      <c r="R20" s="1573"/>
      <c r="S20" s="1574"/>
      <c r="T20" s="1573"/>
      <c r="U20" s="1574"/>
      <c r="V20" s="1573"/>
      <c r="W20" s="1574"/>
      <c r="X20" s="1567"/>
      <c r="Y20" s="3415"/>
      <c r="Z20" s="1575"/>
      <c r="AA20" s="1576">
        <v>1</v>
      </c>
      <c r="AB20" s="1576">
        <v>1</v>
      </c>
      <c r="AC20" s="1576">
        <v>1</v>
      </c>
    </row>
    <row r="21" spans="1:29" ht="28.5">
      <c r="A21" s="533"/>
      <c r="B21" s="2618"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3"/>
      <c r="M21" s="2135"/>
      <c r="N21" s="2135"/>
      <c r="O21" s="2142"/>
      <c r="P21" s="3415"/>
      <c r="Q21" s="2604" t="str">
        <f>B21</f>
        <v>基础设施水平</v>
      </c>
      <c r="R21" s="1573" t="s">
        <v>11</v>
      </c>
      <c r="S21" s="1574">
        <f>F21</f>
        <v>100</v>
      </c>
      <c r="T21" s="1573" t="s">
        <v>11</v>
      </c>
      <c r="U21" s="1574">
        <f>H21</f>
        <v>100</v>
      </c>
      <c r="V21" s="1573" t="s">
        <v>11</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3"/>
      <c r="B22" s="922"/>
      <c r="C22" s="874" t="s">
        <v>3072</v>
      </c>
      <c r="D22" s="556"/>
      <c r="E22" s="874" t="s">
        <v>3072</v>
      </c>
      <c r="F22" s="558"/>
      <c r="G22" s="874" t="s">
        <v>3072</v>
      </c>
      <c r="H22" s="556"/>
      <c r="I22" s="874" t="s">
        <v>3072</v>
      </c>
      <c r="J22" s="556"/>
      <c r="K22" s="2624"/>
      <c r="L22" s="2143"/>
      <c r="M22" s="2135"/>
      <c r="N22" s="2135"/>
      <c r="O22" s="2142"/>
      <c r="P22" s="3415"/>
      <c r="Q22" s="2604"/>
      <c r="R22" s="1573"/>
      <c r="S22" s="1574"/>
      <c r="T22" s="1573"/>
      <c r="U22" s="1574"/>
      <c r="V22" s="1573"/>
      <c r="W22" s="1574"/>
      <c r="X22" s="2606"/>
      <c r="Y22" s="3415"/>
      <c r="Z22" s="2605"/>
      <c r="AA22" s="1576">
        <v>1</v>
      </c>
      <c r="AB22" s="1576">
        <v>1</v>
      </c>
      <c r="AC22" s="1576">
        <v>1</v>
      </c>
    </row>
    <row r="23" spans="1:29" ht="57">
      <c r="A23" s="533"/>
      <c r="B23" s="872" t="s">
        <v>297</v>
      </c>
      <c r="C23" s="873" t="str">
        <f>估价对象房地状况!C9</f>
        <v>区域自然环境：；人文环境；综合评价环境状况一般</v>
      </c>
      <c r="D23" s="560">
        <v>100</v>
      </c>
      <c r="E23" s="563"/>
      <c r="F23" s="564">
        <f>SUMIF(84:84,E24,85:85)-SUMIF(84:84,C24,85:85)+100</f>
        <v>95</v>
      </c>
      <c r="G23" s="565"/>
      <c r="H23" s="560">
        <f>SUMIF(84:84,G24,85:85)-SUMIF(84:84,C24,85:85)+100</f>
        <v>95</v>
      </c>
      <c r="I23" s="563"/>
      <c r="J23" s="560">
        <f>SUMIF(84:84,I24,85:85)-SUMIF(84:84,C24,85:85)+100</f>
        <v>95</v>
      </c>
      <c r="K23" s="3201">
        <v>5</v>
      </c>
      <c r="L23" s="2143"/>
      <c r="M23" s="2135"/>
      <c r="N23" s="2135"/>
      <c r="O23" s="2142"/>
      <c r="P23" s="3415"/>
      <c r="Q23" s="1572" t="str">
        <f>B23</f>
        <v>自然及人文环境</v>
      </c>
      <c r="R23" s="1573" t="s">
        <v>11</v>
      </c>
      <c r="S23" s="1574">
        <f>F23</f>
        <v>95</v>
      </c>
      <c r="T23" s="1573" t="s">
        <v>11</v>
      </c>
      <c r="U23" s="1574">
        <f>H23</f>
        <v>95</v>
      </c>
      <c r="V23" s="1573" t="s">
        <v>11</v>
      </c>
      <c r="W23" s="1574">
        <f>J23</f>
        <v>95</v>
      </c>
      <c r="X23" s="1567"/>
      <c r="Y23" s="3415"/>
      <c r="Z23" s="1575" t="str">
        <f>Q23</f>
        <v>自然及人文环境</v>
      </c>
      <c r="AA23" s="1576">
        <f t="shared" si="3"/>
        <v>1.0526315789473684</v>
      </c>
      <c r="AB23" s="1576">
        <f t="shared" si="4"/>
        <v>1.0526315789473684</v>
      </c>
      <c r="AC23" s="1576">
        <f t="shared" si="5"/>
        <v>1.0526315789473684</v>
      </c>
    </row>
    <row r="24" spans="1:29" ht="15">
      <c r="A24" s="533"/>
      <c r="B24" s="596"/>
      <c r="C24" s="874" t="s">
        <v>3015</v>
      </c>
      <c r="D24" s="556"/>
      <c r="E24" s="874" t="s">
        <v>3084</v>
      </c>
      <c r="F24" s="558"/>
      <c r="G24" s="874" t="s">
        <v>3084</v>
      </c>
      <c r="H24" s="556"/>
      <c r="I24" s="874" t="s">
        <v>3084</v>
      </c>
      <c r="J24" s="556"/>
      <c r="K24" s="871"/>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hidden="1">
      <c r="A25" s="533"/>
      <c r="B25" s="1896" t="s">
        <v>2260</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415"/>
      <c r="Q25" s="1572" t="str">
        <f t="shared" ref="Q25:Q46" si="11">B25</f>
        <v>楼层-1</v>
      </c>
      <c r="R25" s="1573" t="s">
        <v>11</v>
      </c>
      <c r="S25" s="1574">
        <f>F25</f>
        <v>100</v>
      </c>
      <c r="T25" s="1573" t="s">
        <v>11</v>
      </c>
      <c r="U25" s="1574">
        <f>H25</f>
        <v>100</v>
      </c>
      <c r="V25" s="1573" t="s">
        <v>11</v>
      </c>
      <c r="W25" s="1574">
        <f>J25</f>
        <v>100</v>
      </c>
      <c r="X25" s="1567"/>
      <c r="Y25" s="3415"/>
      <c r="Z25" s="1575" t="str">
        <f>Q25</f>
        <v>楼层-1</v>
      </c>
      <c r="AA25" s="1576">
        <f t="shared" si="3"/>
        <v>1</v>
      </c>
      <c r="AB25" s="1576">
        <f t="shared" si="4"/>
        <v>1</v>
      </c>
      <c r="AC25" s="1576">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415"/>
      <c r="Q26" s="1572" t="str">
        <f t="shared" si="11"/>
        <v>朝向</v>
      </c>
      <c r="R26" s="1573" t="s">
        <v>11</v>
      </c>
      <c r="S26" s="1574">
        <f>F26</f>
        <v>100</v>
      </c>
      <c r="T26" s="1573" t="s">
        <v>11</v>
      </c>
      <c r="U26" s="1574">
        <f>H26</f>
        <v>100</v>
      </c>
      <c r="V26" s="1573" t="s">
        <v>11</v>
      </c>
      <c r="W26" s="1574">
        <f>J26</f>
        <v>100</v>
      </c>
      <c r="X26" s="1567"/>
      <c r="Y26" s="3415"/>
      <c r="Z26" s="1575" t="str">
        <f>Q26</f>
        <v>朝向</v>
      </c>
      <c r="AA26" s="1576">
        <f t="shared" si="3"/>
        <v>1</v>
      </c>
      <c r="AB26" s="1576">
        <f t="shared" si="4"/>
        <v>1</v>
      </c>
      <c r="AC26" s="1576">
        <f t="shared" si="5"/>
        <v>1</v>
      </c>
    </row>
    <row r="27" spans="1:29" s="1220" customFormat="1" ht="15.75" thickBot="1">
      <c r="A27" s="537"/>
      <c r="B27" s="538" t="s">
        <v>725</v>
      </c>
      <c r="C27" s="3168" t="s">
        <v>3078</v>
      </c>
      <c r="D27" s="876">
        <v>100</v>
      </c>
      <c r="E27" s="3168" t="s">
        <v>3078</v>
      </c>
      <c r="F27" s="877">
        <f>SUMIF(90:90,E27,91:91)-SUMIF(90:90,C27,91:91)+100</f>
        <v>100</v>
      </c>
      <c r="G27" s="3168" t="s">
        <v>3078</v>
      </c>
      <c r="H27" s="876">
        <f>SUMIF(90:90,G27,91:91)-SUMIF(90:90,C27,91:91)+100</f>
        <v>100</v>
      </c>
      <c r="I27" s="3168" t="s">
        <v>3078</v>
      </c>
      <c r="J27" s="876">
        <f>SUMIF(90:90,I27,91:91)-SUMIF(90:90,C27,91:91)+100</f>
        <v>100</v>
      </c>
      <c r="K27" s="866"/>
      <c r="L27" s="2136"/>
      <c r="M27" s="2137"/>
      <c r="N27" s="2137"/>
      <c r="O27" s="2138"/>
      <c r="P27" s="3415"/>
      <c r="Q27" s="1151" t="str">
        <f t="shared" si="11"/>
        <v>道路级别</v>
      </c>
      <c r="R27" s="1568" t="s">
        <v>11</v>
      </c>
      <c r="S27" s="1569">
        <f>F27</f>
        <v>100</v>
      </c>
      <c r="T27" s="1568" t="s">
        <v>11</v>
      </c>
      <c r="U27" s="1569">
        <f>H27</f>
        <v>100</v>
      </c>
      <c r="V27" s="1568" t="s">
        <v>11</v>
      </c>
      <c r="W27" s="1569">
        <f>J27</f>
        <v>100</v>
      </c>
      <c r="X27" s="1570"/>
      <c r="Y27" s="3415"/>
      <c r="Z27" s="1150" t="str">
        <f>Q27</f>
        <v>道路级别</v>
      </c>
      <c r="AA27" s="1576">
        <f>D27/F27</f>
        <v>1</v>
      </c>
      <c r="AB27" s="1576">
        <f>D27/H27</f>
        <v>1</v>
      </c>
      <c r="AC27" s="1576">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415"/>
      <c r="Q28" s="1572">
        <f t="shared" si="11"/>
        <v>0</v>
      </c>
      <c r="R28" s="1573" t="s">
        <v>11</v>
      </c>
      <c r="S28" s="1574">
        <f t="shared" ref="S28:S46" si="12">F28</f>
        <v>100</v>
      </c>
      <c r="T28" s="1573" t="s">
        <v>11</v>
      </c>
      <c r="U28" s="1574">
        <f t="shared" ref="U28:U46" si="13">H28</f>
        <v>100</v>
      </c>
      <c r="V28" s="1573" t="s">
        <v>11</v>
      </c>
      <c r="W28" s="1574">
        <f t="shared" ref="W28:W46" si="14">J28</f>
        <v>100</v>
      </c>
      <c r="X28" s="1567"/>
      <c r="Y28" s="3415"/>
      <c r="Z28" s="1575">
        <f t="shared" ref="Z28:Z46" si="15">Q28</f>
        <v>0</v>
      </c>
      <c r="AA28" s="1576">
        <f t="shared" si="3"/>
        <v>1</v>
      </c>
      <c r="AB28" s="1576">
        <f t="shared" si="4"/>
        <v>1</v>
      </c>
      <c r="AC28" s="1576">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415"/>
      <c r="Q29" s="1572">
        <f t="shared" si="11"/>
        <v>0</v>
      </c>
      <c r="R29" s="1573" t="s">
        <v>11</v>
      </c>
      <c r="S29" s="1574">
        <f t="shared" si="12"/>
        <v>100</v>
      </c>
      <c r="T29" s="1573" t="s">
        <v>11</v>
      </c>
      <c r="U29" s="1574">
        <f t="shared" si="13"/>
        <v>100</v>
      </c>
      <c r="V29" s="1573" t="s">
        <v>11</v>
      </c>
      <c r="W29" s="1574">
        <f t="shared" si="14"/>
        <v>100</v>
      </c>
      <c r="X29" s="1567"/>
      <c r="Y29" s="3415"/>
      <c r="Z29" s="1575">
        <f t="shared" si="15"/>
        <v>0</v>
      </c>
      <c r="AA29" s="1576">
        <f t="shared" si="3"/>
        <v>1</v>
      </c>
      <c r="AB29" s="1576">
        <f t="shared" si="4"/>
        <v>1</v>
      </c>
      <c r="AC29" s="1576">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415"/>
      <c r="Q30" s="1572">
        <f t="shared" si="11"/>
        <v>0</v>
      </c>
      <c r="R30" s="1573" t="s">
        <v>11</v>
      </c>
      <c r="S30" s="1574">
        <f t="shared" si="12"/>
        <v>100</v>
      </c>
      <c r="T30" s="1573" t="s">
        <v>11</v>
      </c>
      <c r="U30" s="1574">
        <f t="shared" si="13"/>
        <v>100</v>
      </c>
      <c r="V30" s="1573" t="s">
        <v>11</v>
      </c>
      <c r="W30" s="1574">
        <f t="shared" si="14"/>
        <v>100</v>
      </c>
      <c r="X30" s="1567"/>
      <c r="Y30" s="3415"/>
      <c r="Z30" s="1575">
        <f t="shared" si="15"/>
        <v>0</v>
      </c>
      <c r="AA30" s="1576">
        <f t="shared" si="3"/>
        <v>1</v>
      </c>
      <c r="AB30" s="1576">
        <f t="shared" si="4"/>
        <v>1</v>
      </c>
      <c r="AC30" s="1576">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415"/>
      <c r="Q31" s="1572">
        <f t="shared" si="11"/>
        <v>0</v>
      </c>
      <c r="R31" s="1573" t="s">
        <v>11</v>
      </c>
      <c r="S31" s="1574">
        <f t="shared" si="12"/>
        <v>100</v>
      </c>
      <c r="T31" s="1573" t="s">
        <v>11</v>
      </c>
      <c r="U31" s="1574">
        <f t="shared" si="13"/>
        <v>100</v>
      </c>
      <c r="V31" s="1573" t="s">
        <v>11</v>
      </c>
      <c r="W31" s="1574">
        <f t="shared" si="14"/>
        <v>100</v>
      </c>
      <c r="X31" s="1567"/>
      <c r="Y31" s="3415"/>
      <c r="Z31" s="1575">
        <f t="shared" si="15"/>
        <v>0</v>
      </c>
      <c r="AA31" s="1576">
        <f t="shared" si="3"/>
        <v>1</v>
      </c>
      <c r="AB31" s="1576">
        <f t="shared" si="4"/>
        <v>1</v>
      </c>
      <c r="AC31" s="1576">
        <f t="shared" si="5"/>
        <v>1</v>
      </c>
    </row>
    <row r="32" spans="1:29" ht="15">
      <c r="A32" s="2934" t="s">
        <v>2763</v>
      </c>
      <c r="B32" s="171" t="s">
        <v>726</v>
      </c>
      <c r="C32" s="879" t="s">
        <v>3046</v>
      </c>
      <c r="D32" s="598">
        <v>100</v>
      </c>
      <c r="E32" s="879" t="s">
        <v>3046</v>
      </c>
      <c r="F32" s="576">
        <f>SUMIF(100:100,E32,101:101)-SUMIF(100:100,C32,101:101)+100</f>
        <v>100</v>
      </c>
      <c r="G32" s="879" t="s">
        <v>3046</v>
      </c>
      <c r="H32" s="598">
        <f>SUMIF(100:100,G32,101:101)-SUMIF(100:100,C32,101:101)+100</f>
        <v>100</v>
      </c>
      <c r="I32" s="879" t="s">
        <v>3046</v>
      </c>
      <c r="J32" s="541">
        <f>SUMIF(100:100,I32,101:101)-SUMIF(100:100,C32,101:101)+100</f>
        <v>100</v>
      </c>
      <c r="K32" s="865">
        <v>10</v>
      </c>
      <c r="L32" s="2143"/>
      <c r="M32" s="2135"/>
      <c r="N32" s="2135"/>
      <c r="O32" s="2142"/>
      <c r="P32" s="3416" t="s">
        <v>551</v>
      </c>
      <c r="Q32" s="1572" t="str">
        <f t="shared" si="11"/>
        <v>建筑类型</v>
      </c>
      <c r="R32" s="1573" t="s">
        <v>11</v>
      </c>
      <c r="S32" s="1574">
        <f t="shared" si="12"/>
        <v>100</v>
      </c>
      <c r="T32" s="1573" t="s">
        <v>11</v>
      </c>
      <c r="U32" s="1574">
        <f t="shared" si="13"/>
        <v>100</v>
      </c>
      <c r="V32" s="1573" t="s">
        <v>11</v>
      </c>
      <c r="W32" s="1574">
        <f t="shared" si="14"/>
        <v>100</v>
      </c>
      <c r="X32" s="1567"/>
      <c r="Y32" s="3417" t="s">
        <v>551</v>
      </c>
      <c r="Z32" s="1575" t="str">
        <f t="shared" si="15"/>
        <v>建筑类型</v>
      </c>
      <c r="AA32" s="1576">
        <f t="shared" si="3"/>
        <v>1</v>
      </c>
      <c r="AB32" s="1576">
        <f t="shared" si="4"/>
        <v>1</v>
      </c>
      <c r="AC32" s="1576">
        <f t="shared" si="5"/>
        <v>1</v>
      </c>
    </row>
    <row r="33" spans="1:29" s="1339" customFormat="1" ht="15">
      <c r="A33" s="604"/>
      <c r="B33" s="528" t="s">
        <v>727</v>
      </c>
      <c r="C33" s="880">
        <v>1260000</v>
      </c>
      <c r="D33" s="253">
        <v>100</v>
      </c>
      <c r="E33" s="880">
        <v>300000</v>
      </c>
      <c r="F33" s="864">
        <f>LOOKUP(E33,103:103,104:104)-LOOKUP(C33,103:103,104:104)+100</f>
        <v>98</v>
      </c>
      <c r="G33" s="880">
        <v>195228</v>
      </c>
      <c r="H33" s="253">
        <f>LOOKUP(G33,103:103,104:104)-LOOKUP(C33,103:103,104:104)+100</f>
        <v>96</v>
      </c>
      <c r="I33" s="880">
        <v>80052.5</v>
      </c>
      <c r="J33" s="253">
        <f>LOOKUP(I33,103:103,104:104)-LOOKUP(C33,103:103,104:104)+100</f>
        <v>95</v>
      </c>
      <c r="K33" s="866"/>
      <c r="L33" s="2141"/>
      <c r="M33" s="2172"/>
      <c r="N33" s="2172"/>
      <c r="O33" s="2144"/>
      <c r="P33" s="3417"/>
      <c r="Q33" s="1605" t="str">
        <f t="shared" si="11"/>
        <v>项目建筑规模</v>
      </c>
      <c r="R33" s="1577" t="s">
        <v>11</v>
      </c>
      <c r="S33" s="1578">
        <f t="shared" si="12"/>
        <v>98</v>
      </c>
      <c r="T33" s="1577" t="s">
        <v>11</v>
      </c>
      <c r="U33" s="1578">
        <f t="shared" si="13"/>
        <v>96</v>
      </c>
      <c r="V33" s="1577" t="s">
        <v>11</v>
      </c>
      <c r="W33" s="1578">
        <f t="shared" si="14"/>
        <v>95</v>
      </c>
      <c r="X33" s="1579"/>
      <c r="Y33" s="3417"/>
      <c r="Z33" s="1580" t="str">
        <f t="shared" si="15"/>
        <v>项目建筑规模</v>
      </c>
      <c r="AA33" s="1576">
        <f t="shared" si="3"/>
        <v>1.0204081632653061</v>
      </c>
      <c r="AB33" s="1576">
        <f t="shared" si="4"/>
        <v>1.0416666666666667</v>
      </c>
      <c r="AC33" s="1576">
        <f t="shared" si="5"/>
        <v>1.0526315789473684</v>
      </c>
    </row>
    <row r="34" spans="1:29" ht="15">
      <c r="A34" s="595"/>
      <c r="B34" s="528" t="s">
        <v>728</v>
      </c>
      <c r="C34" s="881" t="s">
        <v>3049</v>
      </c>
      <c r="D34" s="541">
        <v>100</v>
      </c>
      <c r="E34" s="881" t="s">
        <v>3049</v>
      </c>
      <c r="F34" s="576">
        <f>SUMIF(105:105,E34,106:106)-SUMIF(105:105,C34,106:106)+100</f>
        <v>100</v>
      </c>
      <c r="G34" s="881" t="s">
        <v>3049</v>
      </c>
      <c r="H34" s="541">
        <f>SUMIF(105:105,G34,106:106)-SUMIF(105:105,C34,106:106)+100</f>
        <v>100</v>
      </c>
      <c r="I34" s="881" t="s">
        <v>3049</v>
      </c>
      <c r="J34" s="541">
        <f>SUMIF(105:105,I34,106:106)-SUMIF(105:105,C34,106:106)+100</f>
        <v>100</v>
      </c>
      <c r="K34" s="865">
        <v>2</v>
      </c>
      <c r="L34" s="2143"/>
      <c r="M34" s="2135"/>
      <c r="N34" s="2135"/>
      <c r="O34" s="2142"/>
      <c r="P34" s="3417"/>
      <c r="Q34" s="1572" t="str">
        <f t="shared" si="11"/>
        <v>建筑结构</v>
      </c>
      <c r="R34" s="1573" t="s">
        <v>11</v>
      </c>
      <c r="S34" s="1574">
        <f t="shared" si="12"/>
        <v>100</v>
      </c>
      <c r="T34" s="1573" t="s">
        <v>11</v>
      </c>
      <c r="U34" s="1574">
        <f t="shared" si="13"/>
        <v>100</v>
      </c>
      <c r="V34" s="1573" t="s">
        <v>11</v>
      </c>
      <c r="W34" s="1574">
        <f t="shared" si="14"/>
        <v>100</v>
      </c>
      <c r="X34" s="1567"/>
      <c r="Y34" s="3417"/>
      <c r="Z34" s="1575" t="str">
        <f t="shared" si="15"/>
        <v>建筑结构</v>
      </c>
      <c r="AA34" s="1576">
        <f t="shared" si="3"/>
        <v>1</v>
      </c>
      <c r="AB34" s="1576">
        <f t="shared" si="4"/>
        <v>1</v>
      </c>
      <c r="AC34" s="1576">
        <f t="shared" si="5"/>
        <v>1</v>
      </c>
    </row>
    <row r="35" spans="1:29" ht="15">
      <c r="A35" s="595"/>
      <c r="B35" s="528" t="s">
        <v>729</v>
      </c>
      <c r="C35" s="600" t="s">
        <v>3050</v>
      </c>
      <c r="D35" s="541">
        <v>100</v>
      </c>
      <c r="E35" s="600" t="s">
        <v>3050</v>
      </c>
      <c r="F35" s="576">
        <f>SUMIF(107:107,E35,108:108)-SUMIF(107:107,C35,108:108)+100</f>
        <v>100</v>
      </c>
      <c r="G35" s="600" t="s">
        <v>3050</v>
      </c>
      <c r="H35" s="541">
        <f>SUMIF(107:107,G35,108:108)-SUMIF(107:107,C35,108:108)+100</f>
        <v>100</v>
      </c>
      <c r="I35" s="600" t="s">
        <v>3050</v>
      </c>
      <c r="J35" s="541">
        <f>SUMIF(107:107,I35,108:108)-SUMIF(107:107,C35,108:108)+100</f>
        <v>100</v>
      </c>
      <c r="K35" s="865">
        <v>5</v>
      </c>
      <c r="L35" s="2143"/>
      <c r="M35" s="2135"/>
      <c r="N35" s="2135"/>
      <c r="O35" s="2142"/>
      <c r="P35" s="3417"/>
      <c r="Q35" s="1572" t="str">
        <f t="shared" si="11"/>
        <v>建筑品质</v>
      </c>
      <c r="R35" s="1573" t="s">
        <v>11</v>
      </c>
      <c r="S35" s="1574">
        <f t="shared" si="12"/>
        <v>100</v>
      </c>
      <c r="T35" s="1573" t="s">
        <v>11</v>
      </c>
      <c r="U35" s="1574">
        <f t="shared" si="13"/>
        <v>100</v>
      </c>
      <c r="V35" s="1573" t="s">
        <v>11</v>
      </c>
      <c r="W35" s="1574">
        <f t="shared" si="14"/>
        <v>100</v>
      </c>
      <c r="X35" s="1567"/>
      <c r="Y35" s="3417"/>
      <c r="Z35" s="1575" t="str">
        <f t="shared" si="15"/>
        <v>建筑品质</v>
      </c>
      <c r="AA35" s="1576">
        <f t="shared" si="3"/>
        <v>1</v>
      </c>
      <c r="AB35" s="1576">
        <f t="shared" si="4"/>
        <v>1</v>
      </c>
      <c r="AC35" s="1576">
        <f t="shared" si="5"/>
        <v>1</v>
      </c>
    </row>
    <row r="36" spans="1:29" ht="15">
      <c r="A36" s="595"/>
      <c r="B36" s="528" t="s">
        <v>730</v>
      </c>
      <c r="C36" s="600" t="s">
        <v>3051</v>
      </c>
      <c r="D36" s="541">
        <v>100</v>
      </c>
      <c r="E36" s="600" t="s">
        <v>3051</v>
      </c>
      <c r="F36" s="576">
        <f>SUMIF(109:109,E36,110:110)-SUMIF(109:109,C36,110:110)+100</f>
        <v>100</v>
      </c>
      <c r="G36" s="600" t="s">
        <v>3051</v>
      </c>
      <c r="H36" s="541">
        <f>SUMIF(109:109,G36,110:110)-SUMIF(109:109,C36,110:110)+100</f>
        <v>100</v>
      </c>
      <c r="I36" s="600" t="s">
        <v>3051</v>
      </c>
      <c r="J36" s="541">
        <f>SUMIF(109:109,I36,110:110)-SUMIF(109:109,C36,110:110)+100</f>
        <v>100</v>
      </c>
      <c r="K36" s="865">
        <v>2</v>
      </c>
      <c r="L36" s="2143"/>
      <c r="M36" s="2135"/>
      <c r="N36" s="2135"/>
      <c r="O36" s="2142"/>
      <c r="P36" s="3417"/>
      <c r="Q36" s="1572" t="str">
        <f t="shared" si="11"/>
        <v>公共部分装修</v>
      </c>
      <c r="R36" s="1573" t="s">
        <v>11</v>
      </c>
      <c r="S36" s="1574">
        <f t="shared" si="12"/>
        <v>100</v>
      </c>
      <c r="T36" s="1573" t="s">
        <v>11</v>
      </c>
      <c r="U36" s="1574">
        <f t="shared" si="13"/>
        <v>100</v>
      </c>
      <c r="V36" s="1573" t="s">
        <v>11</v>
      </c>
      <c r="W36" s="1574">
        <f t="shared" si="14"/>
        <v>100</v>
      </c>
      <c r="X36" s="1567"/>
      <c r="Y36" s="3417"/>
      <c r="Z36" s="1575" t="str">
        <f t="shared" si="15"/>
        <v>公共部分装修</v>
      </c>
      <c r="AA36" s="1576">
        <f t="shared" si="3"/>
        <v>1</v>
      </c>
      <c r="AB36" s="1576">
        <f t="shared" si="4"/>
        <v>1</v>
      </c>
      <c r="AC36" s="1576">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v>1</v>
      </c>
      <c r="L37" s="2136"/>
      <c r="M37" s="2137"/>
      <c r="N37" s="2137"/>
      <c r="O37" s="2138"/>
      <c r="P37" s="3417"/>
      <c r="Q37" s="1151" t="str">
        <f t="shared" si="11"/>
        <v>成新度</v>
      </c>
      <c r="R37" s="1568" t="s">
        <v>11</v>
      </c>
      <c r="S37" s="1569">
        <f t="shared" si="12"/>
        <v>100</v>
      </c>
      <c r="T37" s="1568" t="s">
        <v>11</v>
      </c>
      <c r="U37" s="1569">
        <f t="shared" si="13"/>
        <v>100</v>
      </c>
      <c r="V37" s="1568" t="s">
        <v>11</v>
      </c>
      <c r="W37" s="1569">
        <f t="shared" si="14"/>
        <v>100</v>
      </c>
      <c r="X37" s="1570"/>
      <c r="Y37" s="3417"/>
      <c r="Z37" s="1150" t="str">
        <f t="shared" si="15"/>
        <v>成新度</v>
      </c>
      <c r="AA37" s="1571">
        <f t="shared" si="3"/>
        <v>1</v>
      </c>
      <c r="AB37" s="1571">
        <f t="shared" si="4"/>
        <v>1</v>
      </c>
      <c r="AC37" s="1571">
        <f t="shared" si="5"/>
        <v>1</v>
      </c>
    </row>
    <row r="38" spans="1:29" ht="15">
      <c r="A38" s="595"/>
      <c r="B38" s="528" t="s">
        <v>732</v>
      </c>
      <c r="C38" s="600" t="s">
        <v>3052</v>
      </c>
      <c r="D38" s="541">
        <v>100</v>
      </c>
      <c r="E38" s="600" t="s">
        <v>3052</v>
      </c>
      <c r="F38" s="576">
        <f>SUMIF(114:114,E38,115:115)-SUMIF(114:114,C38,115:115)+100</f>
        <v>100</v>
      </c>
      <c r="G38" s="600" t="s">
        <v>3052</v>
      </c>
      <c r="H38" s="541">
        <f>SUMIF(114:114,G38,115:115)-SUMIF(114:114,C38,115:115)+100</f>
        <v>100</v>
      </c>
      <c r="I38" s="600" t="s">
        <v>3052</v>
      </c>
      <c r="J38" s="541">
        <f>SUMIF(114:114,I38,115:115)-SUMIF(114:114,C38,115:115)+100</f>
        <v>100</v>
      </c>
      <c r="K38" s="865">
        <v>3</v>
      </c>
      <c r="L38" s="2143"/>
      <c r="M38" s="2135"/>
      <c r="N38" s="2135"/>
      <c r="O38" s="2142"/>
      <c r="P38" s="3417" t="s">
        <v>551</v>
      </c>
      <c r="Q38" s="1572" t="str">
        <f t="shared" si="11"/>
        <v>物业管理</v>
      </c>
      <c r="R38" s="1573" t="s">
        <v>11</v>
      </c>
      <c r="S38" s="1574">
        <f t="shared" si="12"/>
        <v>100</v>
      </c>
      <c r="T38" s="1573" t="s">
        <v>11</v>
      </c>
      <c r="U38" s="1574">
        <f t="shared" si="13"/>
        <v>100</v>
      </c>
      <c r="V38" s="1573" t="s">
        <v>11</v>
      </c>
      <c r="W38" s="1574">
        <f t="shared" si="14"/>
        <v>100</v>
      </c>
      <c r="X38" s="1567"/>
      <c r="Y38" s="3417" t="s">
        <v>551</v>
      </c>
      <c r="Z38" s="1575" t="str">
        <f t="shared" si="15"/>
        <v>物业管理</v>
      </c>
      <c r="AA38" s="1576">
        <f t="shared" si="3"/>
        <v>1</v>
      </c>
      <c r="AB38" s="1576">
        <f t="shared" si="4"/>
        <v>1</v>
      </c>
      <c r="AC38" s="1576">
        <f t="shared" si="5"/>
        <v>1</v>
      </c>
    </row>
    <row r="39" spans="1:29" ht="15">
      <c r="A39" s="595"/>
      <c r="B39" s="1896" t="s">
        <v>2571</v>
      </c>
      <c r="C39" s="600" t="s">
        <v>3072</v>
      </c>
      <c r="D39" s="541">
        <v>100</v>
      </c>
      <c r="E39" s="600" t="s">
        <v>3072</v>
      </c>
      <c r="F39" s="576">
        <f>SUMIF(116:116,E39,117:117)-SUMIF(116:116,C39,117:117)+100</f>
        <v>100</v>
      </c>
      <c r="G39" s="600" t="s">
        <v>3072</v>
      </c>
      <c r="H39" s="541">
        <f>SUMIF(116:116,G39,117:117)-SUMIF(116:116,C39,117:117)+100</f>
        <v>100</v>
      </c>
      <c r="I39" s="600" t="s">
        <v>3072</v>
      </c>
      <c r="J39" s="541">
        <f>SUMIF(116:116,I39,117:117)-SUMIF(116:116,C39,117:117)+100</f>
        <v>100</v>
      </c>
      <c r="K39" s="865">
        <v>2</v>
      </c>
      <c r="L39" s="2143"/>
      <c r="M39" s="2135"/>
      <c r="N39" s="2135"/>
      <c r="O39" s="2142"/>
      <c r="P39" s="3417"/>
      <c r="Q39" s="1572" t="str">
        <f t="shared" si="11"/>
        <v>市政基础设施</v>
      </c>
      <c r="R39" s="1573" t="s">
        <v>11</v>
      </c>
      <c r="S39" s="1574">
        <f t="shared" si="12"/>
        <v>100</v>
      </c>
      <c r="T39" s="1573" t="s">
        <v>11</v>
      </c>
      <c r="U39" s="1574">
        <f t="shared" si="13"/>
        <v>100</v>
      </c>
      <c r="V39" s="1573" t="s">
        <v>11</v>
      </c>
      <c r="W39" s="1574">
        <f t="shared" si="14"/>
        <v>100</v>
      </c>
      <c r="X39" s="1567"/>
      <c r="Y39" s="3417"/>
      <c r="Z39" s="1575" t="str">
        <f t="shared" si="15"/>
        <v>市政基础设施</v>
      </c>
      <c r="AA39" s="1576">
        <f t="shared" si="3"/>
        <v>1</v>
      </c>
      <c r="AB39" s="1576">
        <f t="shared" si="4"/>
        <v>1</v>
      </c>
      <c r="AC39" s="1576">
        <f t="shared" si="5"/>
        <v>1</v>
      </c>
    </row>
    <row r="40" spans="1:29" ht="15">
      <c r="A40" s="595"/>
      <c r="B40" s="528" t="s">
        <v>733</v>
      </c>
      <c r="C40" s="600" t="s">
        <v>3053</v>
      </c>
      <c r="D40" s="541">
        <v>100</v>
      </c>
      <c r="E40" s="600" t="s">
        <v>3053</v>
      </c>
      <c r="F40" s="576">
        <f>SUMIF(118:118,E40,119:119)-SUMIF(118:118,C40,119:119)+100</f>
        <v>100</v>
      </c>
      <c r="G40" s="600" t="s">
        <v>3053</v>
      </c>
      <c r="H40" s="541">
        <f>SUMIF(118:118,G40,119:119)-SUMIF(118:118,C40,119:119)+100</f>
        <v>100</v>
      </c>
      <c r="I40" s="600" t="s">
        <v>3053</v>
      </c>
      <c r="J40" s="541">
        <f>SUMIF(118:118,I40,119:119)-SUMIF(118:118,C40,119:119)+100</f>
        <v>100</v>
      </c>
      <c r="K40" s="865">
        <v>5</v>
      </c>
      <c r="L40" s="2143"/>
      <c r="M40" s="2135"/>
      <c r="N40" s="2135"/>
      <c r="O40" s="2142"/>
      <c r="P40" s="3417"/>
      <c r="Q40" s="1572" t="str">
        <f t="shared" si="11"/>
        <v>房型</v>
      </c>
      <c r="R40" s="1573" t="s">
        <v>11</v>
      </c>
      <c r="S40" s="1574">
        <f t="shared" si="12"/>
        <v>100</v>
      </c>
      <c r="T40" s="1573" t="s">
        <v>11</v>
      </c>
      <c r="U40" s="1574">
        <f t="shared" si="13"/>
        <v>100</v>
      </c>
      <c r="V40" s="1573" t="s">
        <v>11</v>
      </c>
      <c r="W40" s="1574">
        <f t="shared" si="14"/>
        <v>100</v>
      </c>
      <c r="X40" s="1567"/>
      <c r="Y40" s="3417"/>
      <c r="Z40" s="1575" t="str">
        <f t="shared" si="15"/>
        <v>房型</v>
      </c>
      <c r="AA40" s="1576">
        <f t="shared" si="3"/>
        <v>1</v>
      </c>
      <c r="AB40" s="1576">
        <f t="shared" si="4"/>
        <v>1</v>
      </c>
      <c r="AC40" s="1576">
        <f t="shared" si="5"/>
        <v>1</v>
      </c>
    </row>
    <row r="41" spans="1:29" s="1339" customFormat="1" ht="28.5">
      <c r="A41" s="604"/>
      <c r="B41" s="528" t="s">
        <v>734</v>
      </c>
      <c r="C41" s="880" t="s">
        <v>3079</v>
      </c>
      <c r="D41" s="253">
        <v>100</v>
      </c>
      <c r="E41" s="880" t="s">
        <v>3080</v>
      </c>
      <c r="F41" s="864">
        <f>SUMIF(120:120,E41,121:121)-SUMIF(120:120,C41,121:121)+100</f>
        <v>100</v>
      </c>
      <c r="G41" s="880" t="s">
        <v>3081</v>
      </c>
      <c r="H41" s="253">
        <f>SUMIF(120:120,G41,121:121)-SUMIF(120:120,C41,121:121)+100</f>
        <v>100</v>
      </c>
      <c r="I41" s="880" t="s">
        <v>3082</v>
      </c>
      <c r="J41" s="541">
        <f>SUMIF(120:120,I41,121:121)-SUMIF(120:120,C41,121:121)+100</f>
        <v>100</v>
      </c>
      <c r="K41" s="866"/>
      <c r="L41" s="2141"/>
      <c r="M41" s="2172"/>
      <c r="N41" s="2172"/>
      <c r="O41" s="2144"/>
      <c r="P41" s="3417"/>
      <c r="Q41" s="1605" t="str">
        <f t="shared" si="11"/>
        <v>单套/主力户型建筑面积</v>
      </c>
      <c r="R41" s="1577" t="s">
        <v>11</v>
      </c>
      <c r="S41" s="1578">
        <f t="shared" si="12"/>
        <v>100</v>
      </c>
      <c r="T41" s="1577" t="s">
        <v>11</v>
      </c>
      <c r="U41" s="1578">
        <f t="shared" si="13"/>
        <v>100</v>
      </c>
      <c r="V41" s="1577" t="s">
        <v>11</v>
      </c>
      <c r="W41" s="1578">
        <f t="shared" si="14"/>
        <v>100</v>
      </c>
      <c r="X41" s="1579"/>
      <c r="Y41" s="3417"/>
      <c r="Z41" s="1580" t="str">
        <f t="shared" si="15"/>
        <v>单套/主力户型建筑面积</v>
      </c>
      <c r="AA41" s="1576">
        <f t="shared" si="3"/>
        <v>1</v>
      </c>
      <c r="AB41" s="1576">
        <f t="shared" si="4"/>
        <v>1</v>
      </c>
      <c r="AC41" s="1576">
        <f t="shared" si="5"/>
        <v>1</v>
      </c>
    </row>
    <row r="42" spans="1:29" ht="15">
      <c r="A42" s="595"/>
      <c r="B42" s="528" t="s">
        <v>735</v>
      </c>
      <c r="C42" s="600" t="s">
        <v>3083</v>
      </c>
      <c r="D42" s="541">
        <v>100</v>
      </c>
      <c r="E42" s="600" t="s">
        <v>3083</v>
      </c>
      <c r="F42" s="576">
        <f>SUMIF(122:122,E42,123:123)-SUMIF(122:122,C42,123:123)+100</f>
        <v>100</v>
      </c>
      <c r="G42" s="600" t="s">
        <v>3083</v>
      </c>
      <c r="H42" s="541">
        <f>SUMIF(122:122,G42,123:123)-SUMIF(122:122,C42,123:123)+100</f>
        <v>100</v>
      </c>
      <c r="I42" s="600" t="s">
        <v>3051</v>
      </c>
      <c r="J42" s="541">
        <f>SUMIF(122:122,I42,123:123)-SUMIF(122:122,C42,123:123)+100</f>
        <v>115</v>
      </c>
      <c r="K42" s="865">
        <v>5</v>
      </c>
      <c r="L42" s="2143"/>
      <c r="M42" s="2135"/>
      <c r="N42" s="2135"/>
      <c r="O42" s="2142"/>
      <c r="P42" s="3417"/>
      <c r="Q42" s="1572" t="str">
        <f t="shared" si="11"/>
        <v>内部装修</v>
      </c>
      <c r="R42" s="1573" t="s">
        <v>11</v>
      </c>
      <c r="S42" s="1574">
        <f t="shared" si="12"/>
        <v>100</v>
      </c>
      <c r="T42" s="1573" t="s">
        <v>11</v>
      </c>
      <c r="U42" s="1574">
        <f t="shared" si="13"/>
        <v>100</v>
      </c>
      <c r="V42" s="1573" t="s">
        <v>11</v>
      </c>
      <c r="W42" s="1574">
        <f t="shared" si="14"/>
        <v>115</v>
      </c>
      <c r="X42" s="1567"/>
      <c r="Y42" s="3417"/>
      <c r="Z42" s="1575" t="str">
        <f t="shared" si="15"/>
        <v>内部装修</v>
      </c>
      <c r="AA42" s="1576">
        <f t="shared" si="3"/>
        <v>1</v>
      </c>
      <c r="AB42" s="1576">
        <f t="shared" si="4"/>
        <v>1</v>
      </c>
      <c r="AC42" s="1576">
        <f t="shared" si="5"/>
        <v>0.86956521739130432</v>
      </c>
    </row>
    <row r="43" spans="1:29" ht="27.75" thickBot="1">
      <c r="A43" s="595"/>
      <c r="B43" s="528" t="s">
        <v>736</v>
      </c>
      <c r="C43" s="600" t="s">
        <v>3015</v>
      </c>
      <c r="D43" s="541">
        <v>100</v>
      </c>
      <c r="E43" s="600" t="s">
        <v>3015</v>
      </c>
      <c r="F43" s="576">
        <f>SUMIF(124:124,E43,125:125)-SUMIF(124:124,C43,125:125)+100</f>
        <v>100</v>
      </c>
      <c r="G43" s="600" t="s">
        <v>3015</v>
      </c>
      <c r="H43" s="541">
        <f>SUMIF(124:124,G43,125:125)-SUMIF(124:124,C43,125:125)+100</f>
        <v>100</v>
      </c>
      <c r="I43" s="600" t="s">
        <v>3015</v>
      </c>
      <c r="J43" s="541">
        <f>SUMIF(124:124,I43,125:125)-SUMIF(124:124,C43,125:125)+100</f>
        <v>100</v>
      </c>
      <c r="K43" s="865">
        <v>0</v>
      </c>
      <c r="L43" s="2143"/>
      <c r="M43" s="2135"/>
      <c r="N43" s="2135"/>
      <c r="O43" s="2142"/>
      <c r="P43" s="3417"/>
      <c r="Q43" s="1572" t="str">
        <f t="shared" si="11"/>
        <v>内部装修维护情况</v>
      </c>
      <c r="R43" s="1573" t="s">
        <v>11</v>
      </c>
      <c r="S43" s="1574">
        <f t="shared" si="12"/>
        <v>100</v>
      </c>
      <c r="T43" s="1573" t="s">
        <v>11</v>
      </c>
      <c r="U43" s="1574">
        <f t="shared" si="13"/>
        <v>100</v>
      </c>
      <c r="V43" s="1573" t="s">
        <v>11</v>
      </c>
      <c r="W43" s="1574">
        <f t="shared" si="14"/>
        <v>100</v>
      </c>
      <c r="X43" s="1567"/>
      <c r="Y43" s="3417"/>
      <c r="Z43" s="1575" t="str">
        <f t="shared" si="15"/>
        <v>内部装修维护情况</v>
      </c>
      <c r="AA43" s="1576">
        <f t="shared" si="3"/>
        <v>1</v>
      </c>
      <c r="AB43" s="1576">
        <f t="shared" si="4"/>
        <v>1</v>
      </c>
      <c r="AC43" s="1576">
        <f t="shared" si="5"/>
        <v>1</v>
      </c>
    </row>
    <row r="44" spans="1:29" s="1220" customFormat="1" ht="15" hidden="1">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6"/>
      <c r="M44" s="2137"/>
      <c r="N44" s="2137"/>
      <c r="O44" s="2138"/>
      <c r="P44" s="3417"/>
      <c r="Q44" s="1151">
        <f t="shared" si="11"/>
        <v>0</v>
      </c>
      <c r="R44" s="1568" t="s">
        <v>11</v>
      </c>
      <c r="S44" s="1569">
        <f t="shared" si="12"/>
        <v>100</v>
      </c>
      <c r="T44" s="1568" t="s">
        <v>11</v>
      </c>
      <c r="U44" s="1569">
        <f t="shared" si="13"/>
        <v>100</v>
      </c>
      <c r="V44" s="1568" t="s">
        <v>11</v>
      </c>
      <c r="W44" s="1569">
        <f t="shared" si="14"/>
        <v>100</v>
      </c>
      <c r="X44" s="1570"/>
      <c r="Y44" s="3417"/>
      <c r="Z44" s="1150">
        <f t="shared" si="15"/>
        <v>0</v>
      </c>
      <c r="AA44" s="1571">
        <f t="shared" si="3"/>
        <v>1</v>
      </c>
      <c r="AB44" s="1571">
        <f t="shared" si="4"/>
        <v>1</v>
      </c>
      <c r="AC44" s="1571">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417"/>
      <c r="Q45" s="1572">
        <f t="shared" si="11"/>
        <v>0</v>
      </c>
      <c r="R45" s="1573" t="s">
        <v>11</v>
      </c>
      <c r="S45" s="1574">
        <f t="shared" si="12"/>
        <v>100</v>
      </c>
      <c r="T45" s="1573" t="s">
        <v>11</v>
      </c>
      <c r="U45" s="1574">
        <f t="shared" si="13"/>
        <v>100</v>
      </c>
      <c r="V45" s="1573" t="s">
        <v>11</v>
      </c>
      <c r="W45" s="1574">
        <f t="shared" si="14"/>
        <v>100</v>
      </c>
      <c r="X45" s="1567"/>
      <c r="Y45" s="3417"/>
      <c r="Z45" s="1575">
        <f t="shared" si="15"/>
        <v>0</v>
      </c>
      <c r="AA45" s="1576">
        <f t="shared" si="3"/>
        <v>1</v>
      </c>
      <c r="AB45" s="1576">
        <f t="shared" si="4"/>
        <v>1</v>
      </c>
      <c r="AC45" s="1576">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71"/>
      <c r="Q46" s="1572">
        <f t="shared" si="11"/>
        <v>0</v>
      </c>
      <c r="R46" s="1573" t="s">
        <v>10</v>
      </c>
      <c r="S46" s="1574">
        <f t="shared" si="12"/>
        <v>100</v>
      </c>
      <c r="T46" s="1573" t="s">
        <v>10</v>
      </c>
      <c r="U46" s="1574">
        <f t="shared" si="13"/>
        <v>100</v>
      </c>
      <c r="V46" s="1573" t="s">
        <v>10</v>
      </c>
      <c r="W46" s="1574">
        <f t="shared" si="14"/>
        <v>100</v>
      </c>
      <c r="X46" s="1567"/>
      <c r="Y46" s="3471"/>
      <c r="Z46" s="1575">
        <f t="shared" si="15"/>
        <v>0</v>
      </c>
      <c r="AA46" s="1576">
        <f t="shared" si="3"/>
        <v>1</v>
      </c>
      <c r="AB46" s="1576">
        <f t="shared" si="4"/>
        <v>1</v>
      </c>
      <c r="AC46" s="1576">
        <f t="shared" si="5"/>
        <v>1</v>
      </c>
    </row>
    <row r="47" spans="1:29" ht="15">
      <c r="A47" s="608" t="s">
        <v>737</v>
      </c>
      <c r="B47" s="887"/>
      <c r="C47" s="2652" t="s">
        <v>9</v>
      </c>
      <c r="D47" s="2653"/>
      <c r="E47" s="2654">
        <v>16000</v>
      </c>
      <c r="F47" s="2655"/>
      <c r="G47" s="2656">
        <v>16000</v>
      </c>
      <c r="H47" s="2657"/>
      <c r="I47" s="2654">
        <v>20000</v>
      </c>
      <c r="J47" s="2657"/>
      <c r="K47" s="1606"/>
      <c r="L47" s="2145"/>
      <c r="M47" s="2146"/>
      <c r="N47" s="2135"/>
      <c r="O47" s="2146"/>
      <c r="P47" s="3379" t="str">
        <f>A47</f>
        <v>成交单价（元/平方米）</v>
      </c>
      <c r="Q47" s="3379"/>
      <c r="R47" s="3470">
        <f>E47</f>
        <v>16000</v>
      </c>
      <c r="S47" s="3470"/>
      <c r="T47" s="3470">
        <f>G47</f>
        <v>16000</v>
      </c>
      <c r="U47" s="3470"/>
      <c r="V47" s="3470">
        <f>I47</f>
        <v>20000</v>
      </c>
      <c r="W47" s="3470"/>
      <c r="X47" s="1559"/>
      <c r="Y47" s="1581"/>
      <c r="Z47" s="1559"/>
      <c r="AA47" s="1559"/>
      <c r="AB47" s="1559"/>
      <c r="AC47" s="1559"/>
    </row>
    <row r="48" spans="1:29" ht="15.75" thickBot="1">
      <c r="A48" s="616" t="s">
        <v>2768</v>
      </c>
      <c r="B48" s="888"/>
      <c r="C48" s="2658">
        <f>R49</f>
        <v>17649</v>
      </c>
      <c r="D48" s="2659"/>
      <c r="E48" s="2660">
        <f>R48</f>
        <v>17186</v>
      </c>
      <c r="F48" s="2660"/>
      <c r="G48" s="2658">
        <f>T48</f>
        <v>16869</v>
      </c>
      <c r="H48" s="2659"/>
      <c r="I48" s="2660">
        <f>V48</f>
        <v>18892</v>
      </c>
      <c r="J48" s="2659"/>
      <c r="K48" s="1607"/>
      <c r="L48" s="2145"/>
      <c r="M48" s="2146"/>
      <c r="N48" s="2146"/>
      <c r="O48" s="2146"/>
      <c r="P48" s="3379" t="str">
        <f>A48</f>
        <v>比较价格（元/平方米）</v>
      </c>
      <c r="Q48" s="3379"/>
      <c r="R48" s="3470">
        <f>IF(F1="售价",ROUND(PRODUCT(R47,AA7:AA46),0),ROUND(PRODUCT(R47,AA7:AA46),1))</f>
        <v>17186</v>
      </c>
      <c r="S48" s="3470"/>
      <c r="T48" s="3470">
        <f>IF(F1="售价",ROUND(PRODUCT(T47,AB7:AB46),0),ROUND(PRODUCT(T47,AB7:AB46),1))</f>
        <v>16869</v>
      </c>
      <c r="U48" s="3470"/>
      <c r="V48" s="3470">
        <f>IF(F1="售价",ROUND(PRODUCT(V47,AC7:AC46),0),ROUND(PRODUCT(V47,AC7:AC46),1))</f>
        <v>18892</v>
      </c>
      <c r="W48" s="3470"/>
      <c r="X48" s="1559"/>
      <c r="Y48" s="1559"/>
      <c r="Z48" s="1559"/>
      <c r="AA48" s="1559"/>
      <c r="AB48" s="1559"/>
      <c r="AC48" s="1559"/>
    </row>
    <row r="49" spans="1:29" ht="15.75" thickBot="1">
      <c r="A49" s="622" t="s">
        <v>2943</v>
      </c>
      <c r="B49" s="623"/>
      <c r="C49" s="2661">
        <f>R49</f>
        <v>17649</v>
      </c>
      <c r="D49" s="2661"/>
      <c r="E49" s="2661"/>
      <c r="F49" s="2661"/>
      <c r="G49" s="2661"/>
      <c r="H49" s="2661"/>
      <c r="I49" s="2661"/>
      <c r="J49" s="2661"/>
      <c r="K49" s="1608"/>
      <c r="L49" s="2145"/>
      <c r="M49" s="2146"/>
      <c r="N49" s="2146"/>
      <c r="O49" s="2146"/>
      <c r="P49" s="3376" t="str">
        <f>A49</f>
        <v>估价对象XX用房的比较价格（楼面单价，元/平方米）</v>
      </c>
      <c r="Q49" s="3377"/>
      <c r="R49" s="3469">
        <f>IF(F1="售价",ROUND(AVERAGE(R48:V48),0),ROUND(AVERAGE(R48:V48),1))</f>
        <v>17649</v>
      </c>
      <c r="S49" s="3469"/>
      <c r="T49" s="3469"/>
      <c r="U49" s="3469"/>
      <c r="V49" s="3469"/>
      <c r="W49" s="346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7.4124999999999996E-2</v>
      </c>
      <c r="F52" s="628" t="str">
        <f>IF(OR(E52&gt;=0.3,E52&lt;=-0.3),"超过30%","")</f>
        <v/>
      </c>
      <c r="G52" s="627">
        <f>IF(G47&lt;G48,G48/G47-1,G47/G48-1)</f>
        <v>5.4312499999999986E-2</v>
      </c>
      <c r="H52" s="628" t="str">
        <f>IF(OR(G52&gt;=0.3,G52&lt;=-0.3),"超过30%","")</f>
        <v/>
      </c>
      <c r="I52" s="627">
        <f>IF(I47&lt;I48,I48/I47-1,I47/I48-1)</f>
        <v>5.8649163667160664E-2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1.8791866737803087E-2</v>
      </c>
      <c r="F53" s="628" t="str">
        <f>IF(OR(E53&gt;=0.2,E53&lt;=-0.2),"超过20%","")</f>
        <v/>
      </c>
      <c r="G53" s="627">
        <f>IF(G48&lt;I48,I48/G48-1,G48/I48-1)</f>
        <v>0.1199241211690083</v>
      </c>
      <c r="H53" s="628" t="str">
        <f>IF(OR(G53&gt;=0.2,G53&lt;=-0.2),"超过20%","")</f>
        <v/>
      </c>
      <c r="I53" s="627">
        <f>IF(I48&lt;E48,E48/I48-1,I48/E48-1)</f>
        <v>9.9266845106481982E-2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f>IF(E47&lt;G47,G47/E47-1,E47/G47-1)</f>
        <v>0</v>
      </c>
      <c r="F54" s="628" t="str">
        <f>IF(OR(E54&gt;=0.3,E54&lt;=-0.3),"超过30%","")</f>
        <v/>
      </c>
      <c r="G54" s="627">
        <f>IF(G47&lt;I47,I47/G47-1,G47/I47-1)</f>
        <v>0.25</v>
      </c>
      <c r="H54" s="628" t="str">
        <f>IF(OR(G54&gt;=0.3,G54&lt;=-0.3),"超过30%","")</f>
        <v/>
      </c>
      <c r="I54" s="627">
        <f>IF(I47&lt;E47,E47/I47-1,I47/E47-1)</f>
        <v>0.25</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530</v>
      </c>
      <c r="B58" s="647"/>
      <c r="C58" s="2831"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5" t="s">
        <v>2987</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2564</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2565</v>
      </c>
      <c r="C82" s="2623" t="s">
        <v>2566</v>
      </c>
      <c r="D82" s="2623" t="s">
        <v>2567</v>
      </c>
      <c r="E82" s="2623" t="s">
        <v>2568</v>
      </c>
      <c r="F82" s="2623" t="s">
        <v>2569</v>
      </c>
      <c r="G82" s="2623" t="s">
        <v>2570</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95</v>
      </c>
      <c r="E85" s="680">
        <f>D85-$K23</f>
        <v>90</v>
      </c>
      <c r="F85" s="680">
        <f>E85-$K23</f>
        <v>85</v>
      </c>
      <c r="G85" s="680">
        <f>F85-$K23</f>
        <v>80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2261</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747</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3021</v>
      </c>
      <c r="D90" s="689" t="s">
        <v>3022</v>
      </c>
      <c r="E90" s="689" t="s">
        <v>3023</v>
      </c>
      <c r="F90" s="689" t="s">
        <v>3024</v>
      </c>
      <c r="G90" s="689" t="s">
        <v>2992</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0</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5" t="s">
        <v>3047</v>
      </c>
      <c r="D100" s="3165" t="s">
        <v>3048</v>
      </c>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90</v>
      </c>
      <c r="E101" s="680">
        <f t="shared" si="22"/>
        <v>80</v>
      </c>
      <c r="F101" s="680">
        <f t="shared" si="22"/>
        <v>70</v>
      </c>
      <c r="G101" s="680">
        <f t="shared" si="22"/>
        <v>60</v>
      </c>
      <c r="H101" s="680">
        <f t="shared" si="22"/>
        <v>50</v>
      </c>
      <c r="I101" s="680">
        <f t="shared" si="22"/>
        <v>40</v>
      </c>
      <c r="J101" s="680">
        <f t="shared" si="22"/>
        <v>30</v>
      </c>
      <c r="K101" s="680">
        <f t="shared" si="22"/>
        <v>20</v>
      </c>
      <c r="L101" s="680">
        <f t="shared" si="22"/>
        <v>10</v>
      </c>
      <c r="M101" s="680">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0</v>
      </c>
      <c r="D103" s="731">
        <v>100000</v>
      </c>
      <c r="E103" s="731">
        <v>200000</v>
      </c>
      <c r="F103" s="731">
        <v>300000</v>
      </c>
      <c r="G103" s="731">
        <v>400000</v>
      </c>
      <c r="H103" s="731">
        <v>500000</v>
      </c>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3025</v>
      </c>
      <c r="D105" s="689" t="s">
        <v>3026</v>
      </c>
      <c r="E105" s="719" t="s">
        <v>3027</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719" t="s">
        <v>3028</v>
      </c>
      <c r="D107" s="719" t="s">
        <v>3029</v>
      </c>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3030</v>
      </c>
      <c r="D109" s="689" t="s">
        <v>3031</v>
      </c>
      <c r="E109" s="689" t="s">
        <v>3032</v>
      </c>
      <c r="F109" s="719" t="s">
        <v>3033</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3034</v>
      </c>
      <c r="D114" s="689" t="s">
        <v>3035</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2563</v>
      </c>
      <c r="C116" s="689" t="s">
        <v>3036</v>
      </c>
      <c r="D116" s="689" t="s">
        <v>3037</v>
      </c>
      <c r="E116" s="689" t="s">
        <v>3038</v>
      </c>
      <c r="F116" s="689" t="s">
        <v>3039</v>
      </c>
      <c r="G116" s="689" t="s">
        <v>3040</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3041</v>
      </c>
      <c r="D118" s="719" t="s">
        <v>3042</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734</v>
      </c>
      <c r="C120" s="689" t="s">
        <v>3043</v>
      </c>
      <c r="D120" s="689" t="s">
        <v>3044</v>
      </c>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v>100</v>
      </c>
      <c r="D121" s="672">
        <v>100</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3030</v>
      </c>
      <c r="D122" s="689" t="s">
        <v>3031</v>
      </c>
      <c r="E122" s="689" t="s">
        <v>3032</v>
      </c>
      <c r="F122" s="719" t="s">
        <v>3033</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A4" sqref="A4:F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3054</v>
      </c>
      <c r="D1" s="3158" t="s">
        <v>3066</v>
      </c>
      <c r="E1" s="2412" t="s">
        <v>2379</v>
      </c>
      <c r="F1" s="2413" t="e">
        <f ca="1">J53</f>
        <v>#N/A</v>
      </c>
      <c r="G1" s="775"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4" t="s">
        <v>1728</v>
      </c>
      <c r="B2" s="776" t="e">
        <f ca="1">C40+J29+L46</f>
        <v>#N/A</v>
      </c>
      <c r="C2" s="2058"/>
      <c r="D2" s="2056"/>
      <c r="E2" s="2057"/>
      <c r="F2" s="2057"/>
      <c r="G2" s="1590"/>
      <c r="H2" s="2058"/>
      <c r="I2" s="2058"/>
      <c r="J2" s="2058"/>
      <c r="K2" s="2059"/>
      <c r="L2" s="2058"/>
      <c r="M2" s="2058"/>
    </row>
    <row r="3" spans="1:33" ht="18" customHeight="1" thickBot="1">
      <c r="A3" s="834" t="s">
        <v>1729</v>
      </c>
      <c r="B3" s="835">
        <f ca="1">IF(ISERROR(B2*10000/F43),0,ROUND(B2*10000/F43,0))</f>
        <v>0</v>
      </c>
      <c r="C3" s="2058"/>
      <c r="D3" s="2056"/>
      <c r="E3" s="2057"/>
      <c r="F3" s="2057"/>
      <c r="G3" s="1590"/>
      <c r="H3" s="777" t="s">
        <v>696</v>
      </c>
      <c r="I3" s="1363"/>
      <c r="J3" s="1363"/>
      <c r="K3" s="1591"/>
      <c r="L3" s="1363"/>
      <c r="M3" s="1363"/>
    </row>
    <row r="4" spans="1:33" ht="18" customHeight="1">
      <c r="A4" s="778" t="s">
        <v>1730</v>
      </c>
      <c r="B4" s="779" t="s">
        <v>1731</v>
      </c>
      <c r="C4" s="779" t="s">
        <v>1732</v>
      </c>
      <c r="D4" s="779" t="s">
        <v>634</v>
      </c>
      <c r="E4" s="780" t="s">
        <v>1733</v>
      </c>
      <c r="F4" s="781"/>
      <c r="G4" s="1592"/>
      <c r="H4" s="778" t="s">
        <v>1734</v>
      </c>
      <c r="I4" s="779" t="s">
        <v>1735</v>
      </c>
      <c r="J4" s="779" t="s">
        <v>1736</v>
      </c>
      <c r="K4" s="779" t="s">
        <v>1737</v>
      </c>
      <c r="L4" s="780" t="s">
        <v>1738</v>
      </c>
      <c r="M4" s="781"/>
    </row>
    <row r="5" spans="1:33" ht="18" customHeight="1">
      <c r="A5" s="782">
        <v>1</v>
      </c>
      <c r="B5" s="783" t="s">
        <v>2464</v>
      </c>
      <c r="C5" s="55" t="e">
        <f ca="1">C6+C10+C12</f>
        <v>#N/A</v>
      </c>
      <c r="D5" s="2521" t="s">
        <v>2467</v>
      </c>
      <c r="E5" s="2515"/>
      <c r="F5" s="2516"/>
      <c r="G5" s="1592"/>
      <c r="H5" s="782">
        <v>1</v>
      </c>
      <c r="I5" s="783" t="s">
        <v>2464</v>
      </c>
      <c r="J5" s="55" t="e">
        <f ca="1">J6+J10+J12</f>
        <v>#N/A</v>
      </c>
      <c r="K5" s="2521" t="s">
        <v>2467</v>
      </c>
      <c r="L5" s="2515"/>
      <c r="M5" s="2516"/>
    </row>
    <row r="6" spans="1:33" ht="18" customHeight="1">
      <c r="A6" s="1831" t="s">
        <v>1826</v>
      </c>
      <c r="B6" s="3453" t="s">
        <v>2469</v>
      </c>
      <c r="C6" s="784" t="e">
        <f ca="1">ROUND(F6*F8*F7*(1-F9)/10000,0)</f>
        <v>#N/A</v>
      </c>
      <c r="D6" s="2522" t="s">
        <v>2468</v>
      </c>
      <c r="E6" s="785" t="s">
        <v>1740</v>
      </c>
      <c r="F6" s="786" t="e">
        <f ca="1">INDIRECT("'数据-取费表'!u"&amp;$G$1)</f>
        <v>#N/A</v>
      </c>
      <c r="G6" s="1592"/>
      <c r="H6" s="2529" t="s">
        <v>2475</v>
      </c>
      <c r="I6" s="3453" t="s">
        <v>2469</v>
      </c>
      <c r="J6" s="784" t="e">
        <f ca="1">ROUND(M6*M8*M7*(1-M9)/10000,0)</f>
        <v>#N/A</v>
      </c>
      <c r="K6" s="342" t="s">
        <v>1739</v>
      </c>
      <c r="L6" s="785" t="s">
        <v>1740</v>
      </c>
      <c r="M6" s="786" t="e">
        <f ca="1">INDIRECT("'数据-取费表'!z"&amp;$G$1)</f>
        <v>#N/A</v>
      </c>
    </row>
    <row r="7" spans="1:33" ht="18" customHeight="1">
      <c r="A7" s="2525"/>
      <c r="B7" s="3454"/>
      <c r="C7" s="789"/>
      <c r="D7" s="790"/>
      <c r="E7" s="785" t="s">
        <v>1741</v>
      </c>
      <c r="F7" s="786" t="e">
        <f ca="1">IF(INDIRECT("'数据-取费表'!ah"&amp;$G$1)="",INDIRECT("'数据-取费表'!k"&amp;$G$1),INDIRECT("'数据-取费表'!ah"&amp;$G$1))</f>
        <v>#N/A</v>
      </c>
      <c r="G7" s="1592"/>
      <c r="H7" s="2514"/>
      <c r="I7" s="3454"/>
      <c r="J7" s="789"/>
      <c r="K7" s="790"/>
      <c r="L7" s="785" t="s">
        <v>1741</v>
      </c>
      <c r="M7" s="786" t="e">
        <f ca="1">F7</f>
        <v>#N/A</v>
      </c>
    </row>
    <row r="8" spans="1:33" ht="18" customHeight="1">
      <c r="A8" s="2518"/>
      <c r="B8" s="3455"/>
      <c r="C8" s="789"/>
      <c r="D8" s="790"/>
      <c r="E8" s="785" t="s">
        <v>1742</v>
      </c>
      <c r="F8" s="786" t="e">
        <f ca="1">INDIRECT("'数据-取费表'!ai"&amp;$G$1)</f>
        <v>#N/A</v>
      </c>
      <c r="G8" s="1592"/>
      <c r="H8" s="2514"/>
      <c r="I8" s="3455"/>
      <c r="J8" s="789"/>
      <c r="K8" s="790"/>
      <c r="L8" s="785" t="s">
        <v>1742</v>
      </c>
      <c r="M8" s="786" t="e">
        <f ca="1">INDIRECT("'数据-取费表'!ai"&amp;$G$1)</f>
        <v>#N/A</v>
      </c>
    </row>
    <row r="9" spans="1:33" ht="18" customHeight="1">
      <c r="A9" s="787"/>
      <c r="B9" s="3456"/>
      <c r="C9" s="789"/>
      <c r="D9" s="790"/>
      <c r="E9" s="785" t="s">
        <v>1743</v>
      </c>
      <c r="F9" s="795" t="e">
        <f ca="1">INDIRECT("'数据-取费表'!w"&amp;$G$1)</f>
        <v>#N/A</v>
      </c>
      <c r="G9" s="1592"/>
      <c r="H9" s="2530"/>
      <c r="I9" s="3455"/>
      <c r="J9" s="789"/>
      <c r="K9" s="790"/>
      <c r="L9" s="796" t="s">
        <v>1743</v>
      </c>
      <c r="M9" s="797" t="e">
        <f ca="1">INDIRECT("'数据-取费表'!ab"&amp;$G$1)</f>
        <v>#N/A</v>
      </c>
    </row>
    <row r="10" spans="1:33" ht="18" customHeight="1">
      <c r="A10" s="1831" t="s">
        <v>2473</v>
      </c>
      <c r="B10" s="2519" t="s">
        <v>2465</v>
      </c>
      <c r="C10" s="800" t="e">
        <f ca="1">ROUND(IF(F10="押一",F6*F8*F7/12*F11,IF(F10="押二",F6*F8*F7/12*2*F11,IF(F10="押三",F6*F8*F7/12*3*F11,C11*F11)))/10000,0)</f>
        <v>#N/A</v>
      </c>
      <c r="D10" s="2526" t="s">
        <v>2472</v>
      </c>
      <c r="E10" s="2523" t="s">
        <v>2470</v>
      </c>
      <c r="F10" s="2646" t="s">
        <v>3067</v>
      </c>
      <c r="G10" s="1592"/>
      <c r="H10" s="2586" t="s">
        <v>2476</v>
      </c>
      <c r="I10" s="2591" t="s">
        <v>2465</v>
      </c>
      <c r="J10" s="784">
        <f ca="1">ROUND(IF(M10="押一",M6*M8*M7/12*M11,IF(M10="押二",M6*M8*M7/12*2*M11,IF(M10="押三",M6*M8*M7/12*3*M11,J11*M11)))/10000,0)</f>
        <v>0</v>
      </c>
      <c r="K10" s="2526" t="s">
        <v>2472</v>
      </c>
      <c r="L10" s="2523" t="s">
        <v>2470</v>
      </c>
      <c r="M10" s="2646"/>
    </row>
    <row r="11" spans="1:33" ht="18" customHeight="1">
      <c r="A11" s="791"/>
      <c r="B11" s="2520" t="s">
        <v>2580</v>
      </c>
      <c r="C11" s="2524"/>
      <c r="D11" s="790"/>
      <c r="E11" s="2523" t="s">
        <v>2471</v>
      </c>
      <c r="F11" s="797">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3" t="e">
        <f ca="1">ROUND(C29*F13,0)</f>
        <v>#N/A</v>
      </c>
      <c r="D13" s="1835" t="s">
        <v>2301</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5" t="s">
        <v>646</v>
      </c>
      <c r="C14" s="805" t="e">
        <f ca="1">INDIRECT("'数据-取费表'!m"&amp;$G$1)+INDIRECT("'数据-取费表'!t"&amp;$G$1)</f>
        <v>#N/A</v>
      </c>
      <c r="D14" s="1980" t="s">
        <v>1747</v>
      </c>
      <c r="E14" s="1981"/>
      <c r="F14" s="806"/>
      <c r="G14" s="1592"/>
      <c r="H14" s="1649" t="s">
        <v>1832</v>
      </c>
      <c r="I14" s="2232" t="s">
        <v>2834</v>
      </c>
      <c r="J14" s="53" t="e">
        <f ca="1">C29</f>
        <v>#N/A</v>
      </c>
      <c r="K14" s="26"/>
      <c r="L14" s="802"/>
      <c r="M14" s="803"/>
    </row>
    <row r="15" spans="1:33" s="2065" customFormat="1" ht="18" customHeight="1" thickBot="1">
      <c r="A15" s="1648" t="s">
        <v>1887</v>
      </c>
      <c r="B15" s="785" t="s">
        <v>648</v>
      </c>
      <c r="C15" s="53" t="e">
        <f ca="1">ROUND(C14*F15,0)</f>
        <v>#N/A</v>
      </c>
      <c r="D15" s="807" t="s">
        <v>1748</v>
      </c>
      <c r="E15" s="807" t="s">
        <v>1749</v>
      </c>
      <c r="F15" s="808">
        <f>'数据-取费表'!B33</f>
        <v>0.03</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5" t="s">
        <v>651</v>
      </c>
      <c r="C16" s="53" t="e">
        <f ca="1">ROUND(INDIRECT("'数据-取费表'!m"&amp;$G$1)*F16,0)</f>
        <v>#N/A</v>
      </c>
      <c r="D16" s="785" t="s">
        <v>1748</v>
      </c>
      <c r="E16" s="785" t="s">
        <v>1749</v>
      </c>
      <c r="F16" s="810" t="e">
        <f ca="1">IF(INDIRECT("'数据-取费表'!c"&amp;$G$1)="住宅",'数据-取费表'!B34,0)</f>
        <v>#N/A</v>
      </c>
      <c r="G16" s="1592"/>
      <c r="H16" s="1830" t="s">
        <v>1750</v>
      </c>
      <c r="I16" s="1828" t="s">
        <v>1751</v>
      </c>
      <c r="J16" s="793" t="e">
        <f ca="1">ROUND(J17+J22+J23+J24,0)</f>
        <v>#N/A</v>
      </c>
      <c r="K16" s="1822" t="s">
        <v>1752</v>
      </c>
      <c r="L16" s="2511"/>
      <c r="M16" s="2516"/>
    </row>
    <row r="17" spans="1:33" s="2065" customFormat="1" ht="18" customHeight="1">
      <c r="A17" s="1648" t="s">
        <v>1889</v>
      </c>
      <c r="B17" s="785" t="s">
        <v>654</v>
      </c>
      <c r="C17" s="53" t="e">
        <f ca="1">ROUND(F17*(F43+INDIRECT("'数据-取费表'!S"&amp;$G$1))/10000,0)</f>
        <v>#N/A</v>
      </c>
      <c r="D17" s="785" t="s">
        <v>1753</v>
      </c>
      <c r="E17" s="785" t="s">
        <v>1754</v>
      </c>
      <c r="F17" s="56">
        <f>'数据-取费表'!B35</f>
        <v>150</v>
      </c>
      <c r="G17" s="1593"/>
      <c r="H17" s="1649" t="s">
        <v>1832</v>
      </c>
      <c r="I17" s="785" t="s">
        <v>657</v>
      </c>
      <c r="J17" s="53" t="e">
        <f ca="1">ROUND(IF(项目基本情况!B11="自然人",J5*M17,J18+J19+J20),0)</f>
        <v>#N/A</v>
      </c>
      <c r="K17" s="2510" t="s">
        <v>1755</v>
      </c>
      <c r="L17" s="2509" t="s">
        <v>1756</v>
      </c>
      <c r="M17" s="811" t="e">
        <f ca="1">IF(项目基本情况!B11="企业","",IF(INDIRECT("'数据-取费表'!c"&amp;$G$1)="住宅",5%,IF(M6*M7*M8/12/(1+'数据-取费表'!C42)&gt;20000,12%,7%)))</f>
        <v>#N/A</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3" t="e">
        <f ca="1">ROUND(C14*F18,0)</f>
        <v>#N/A</v>
      </c>
      <c r="D18" s="785" t="s">
        <v>1748</v>
      </c>
      <c r="E18" s="785" t="s">
        <v>1749</v>
      </c>
      <c r="F18" s="810">
        <f>'数据-取费表'!B36</f>
        <v>1.4999999999999999E-2</v>
      </c>
      <c r="G18" s="1593"/>
      <c r="H18" s="1648" t="s">
        <v>1886</v>
      </c>
      <c r="I18" s="785" t="s">
        <v>1757</v>
      </c>
      <c r="J18" s="53" t="e">
        <f ca="1">ROUND(J5*M18/1.05,1)</f>
        <v>#N/A</v>
      </c>
      <c r="K18" s="2509" t="s">
        <v>1758</v>
      </c>
      <c r="L18" s="785" t="s">
        <v>1749</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5" t="s">
        <v>663</v>
      </c>
      <c r="C19" s="53" t="e">
        <f ca="1">SUM(C14:C18)</f>
        <v>#N/A</v>
      </c>
      <c r="D19" s="259" t="s">
        <v>1759</v>
      </c>
      <c r="E19" s="1983"/>
      <c r="F19" s="56"/>
      <c r="G19" s="1592"/>
      <c r="H19" s="1648" t="s">
        <v>1887</v>
      </c>
      <c r="I19" s="785" t="s">
        <v>1760</v>
      </c>
      <c r="J19" s="53" t="e">
        <f ca="1">IF(K19="按租金收入计税",ROUND(J5*M19,1),ROUND(C29*F33*0.7,1))</f>
        <v>#N/A</v>
      </c>
      <c r="K19" s="812" t="s">
        <v>666</v>
      </c>
      <c r="L19" s="785" t="s">
        <v>1749</v>
      </c>
      <c r="M19" s="810">
        <f>IF(K19="按租金收入计税",'数据-取费表'!B51,'数据-取费表'!B50)</f>
        <v>1.2E-2</v>
      </c>
    </row>
    <row r="20" spans="1:33" s="2065" customFormat="1" ht="18" customHeight="1">
      <c r="A20" s="1649" t="s">
        <v>1891</v>
      </c>
      <c r="B20" s="785" t="s">
        <v>667</v>
      </c>
      <c r="C20" s="53" t="e">
        <f ca="1">ROUND(C19*F20,0)</f>
        <v>#N/A</v>
      </c>
      <c r="D20" s="813" t="s">
        <v>1761</v>
      </c>
      <c r="E20" s="785" t="s">
        <v>1749</v>
      </c>
      <c r="F20" s="810">
        <f>'数据-取费表'!B37</f>
        <v>0.01</v>
      </c>
      <c r="G20" s="1593"/>
      <c r="H20" s="1651" t="s">
        <v>1882</v>
      </c>
      <c r="I20" s="342" t="s">
        <v>1762</v>
      </c>
      <c r="J20" s="54" t="e">
        <f ca="1">ROUND(M20*M21/10000,0)</f>
        <v>#N/A</v>
      </c>
      <c r="K20" s="815" t="s">
        <v>1763</v>
      </c>
      <c r="L20" s="785" t="s">
        <v>1764</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1765</v>
      </c>
      <c r="C21" s="53" t="s">
        <v>1766</v>
      </c>
      <c r="D21" s="813" t="s">
        <v>2302</v>
      </c>
      <c r="E21" s="785" t="s">
        <v>1767</v>
      </c>
      <c r="F21" s="810">
        <f>'数据-取费表'!B38</f>
        <v>1.4999999999999999E-2</v>
      </c>
      <c r="G21" s="1593"/>
      <c r="H21" s="2531"/>
      <c r="I21" s="794"/>
      <c r="J21" s="69"/>
      <c r="K21" s="817"/>
      <c r="L21" s="785" t="s">
        <v>1768</v>
      </c>
      <c r="M21" s="786"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1769</v>
      </c>
      <c r="C22" s="53"/>
      <c r="D22" s="2597" t="str">
        <f>IF(F23&lt;=1,"单利计息。","复利计息。")&amp;"建造成本、管理费用、销售费用产生的利息。"</f>
        <v>复利计息。建造成本、管理费用、销售费用产生的利息。</v>
      </c>
      <c r="E22" s="1983"/>
      <c r="F22" s="56"/>
      <c r="G22" s="1592"/>
      <c r="H22" s="1649" t="s">
        <v>1891</v>
      </c>
      <c r="I22" s="785" t="s">
        <v>1770</v>
      </c>
      <c r="J22" s="53" t="e">
        <f ca="1">ROUND(J14*M22,0)</f>
        <v>#N/A</v>
      </c>
      <c r="K22" s="2509" t="s">
        <v>1771</v>
      </c>
      <c r="L22" s="785" t="s">
        <v>1749</v>
      </c>
      <c r="M22" s="818" t="e">
        <f ca="1">INDIRECT("'数据-取费表'!Ak"&amp;$G$1)</f>
        <v>#N/A</v>
      </c>
    </row>
    <row r="23" spans="1:33" s="2065" customFormat="1" ht="18" customHeight="1">
      <c r="A23" s="1648" t="s">
        <v>1833</v>
      </c>
      <c r="B23" s="785" t="s">
        <v>2542</v>
      </c>
      <c r="C23" s="53" t="e">
        <f ca="1">ROUND(IF('数据-取费表'!B22&lt;=1,(C19+C20)*F24*F23/2,(C19+C20)*(POWER((1+F24),F23/2)-1)),0)</f>
        <v>#N/A</v>
      </c>
      <c r="D23" s="2596" t="str">
        <f>IF(F23&lt;=1,"(建造成本+管理费用)×利率×(建设周期÷2)","(建造成本+管理费用)×((1+利率)^(建设周期÷2)-1)")</f>
        <v>(建造成本+管理费用)×((1+利率)^(建设周期÷2)-1)</v>
      </c>
      <c r="E23" s="785" t="s">
        <v>1772</v>
      </c>
      <c r="F23" s="641">
        <f>'数据-取费表'!B20</f>
        <v>1.5</v>
      </c>
      <c r="G23" s="1593"/>
      <c r="H23" s="1649" t="s">
        <v>1892</v>
      </c>
      <c r="I23" s="785" t="s">
        <v>680</v>
      </c>
      <c r="J23" s="53" t="e">
        <f ca="1">ROUND(J13*M23,0)</f>
        <v>#N/A</v>
      </c>
      <c r="K23" s="2509" t="s">
        <v>1773</v>
      </c>
      <c r="L23" s="785" t="s">
        <v>1749</v>
      </c>
      <c r="M23" s="819"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1774</v>
      </c>
      <c r="C24" s="53">
        <f ca="1">ROUND(IF('数据-取费表'!B22&lt;=1,F21*F24*F23/2,F21*(POWER((1+F24),F23/2)-1)),4)</f>
        <v>5.0000000000000001E-4</v>
      </c>
      <c r="D24" s="2596" t="str">
        <f>IF(F23&lt;=1,"销售费用×利率×(建设周期÷2)","销售费用×((1+利率)^(建设周期÷2)-1)")</f>
        <v>销售费用×((1+利率)^(建设周期÷2)-1)</v>
      </c>
      <c r="E24" s="785" t="s">
        <v>1775</v>
      </c>
      <c r="F24" s="820">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3"/>
      <c r="D25" s="259" t="s">
        <v>1777</v>
      </c>
      <c r="E25" s="1983"/>
      <c r="F25" s="56"/>
      <c r="G25" s="1592"/>
      <c r="H25" s="1830" t="s">
        <v>1778</v>
      </c>
      <c r="I25" s="3037" t="s">
        <v>2830</v>
      </c>
      <c r="J25" s="793" t="e">
        <f ca="1">J5-J16</f>
        <v>#N/A</v>
      </c>
      <c r="K25" s="2573" t="s">
        <v>1779</v>
      </c>
      <c r="L25" s="2574"/>
      <c r="M25" s="2575"/>
    </row>
    <row r="26" spans="1:33" ht="18" customHeight="1">
      <c r="A26" s="1648" t="s">
        <v>1833</v>
      </c>
      <c r="B26" s="785" t="s">
        <v>2443</v>
      </c>
      <c r="C26" s="53" t="e">
        <f ca="1">ROUND((C19+C20)*F26,0)</f>
        <v>#N/A</v>
      </c>
      <c r="D26" s="813" t="s">
        <v>1780</v>
      </c>
      <c r="E26" s="796" t="s">
        <v>1781</v>
      </c>
      <c r="F26" s="795" t="e">
        <f ca="1">INDIRECT("'数据-取费表'!q"&amp;$G$1)</f>
        <v>#N/A</v>
      </c>
      <c r="G26" s="1592"/>
      <c r="H26" s="2527" t="s">
        <v>1782</v>
      </c>
      <c r="I26" s="2233" t="s">
        <v>2835</v>
      </c>
      <c r="J26" s="784" t="e">
        <f ca="1">IF(J5&lt;&gt;0,ROUND(J25*(1-((1+M28)/(1+M26))^M27)/(M26-M28),0),0)</f>
        <v>#N/A</v>
      </c>
      <c r="K26" s="815" t="s">
        <v>1783</v>
      </c>
      <c r="L26" s="785" t="s">
        <v>2424</v>
      </c>
      <c r="M26" s="795" t="e">
        <f ca="1">INDIRECT("'数据-取费表'!I"&amp;$G$1)</f>
        <v>#N/A</v>
      </c>
    </row>
    <row r="27" spans="1:33" ht="18" customHeight="1">
      <c r="A27" s="1648" t="s">
        <v>1834</v>
      </c>
      <c r="B27" s="785" t="s">
        <v>687</v>
      </c>
      <c r="C27" s="53" t="e">
        <f ca="1">ROUND(F21*F26,4)</f>
        <v>#N/A</v>
      </c>
      <c r="D27" s="813" t="s">
        <v>1784</v>
      </c>
      <c r="E27" s="807"/>
      <c r="F27" s="808"/>
      <c r="G27" s="1592"/>
      <c r="H27" s="2528"/>
      <c r="I27" s="788"/>
      <c r="J27" s="789"/>
      <c r="K27" s="822" t="s">
        <v>1785</v>
      </c>
      <c r="L27" s="785" t="s">
        <v>1786</v>
      </c>
      <c r="M27" s="823" t="e">
        <f ca="1">INDIRECT("'数据-取费表'!ag"&amp;$G$1)</f>
        <v>#N/A</v>
      </c>
    </row>
    <row r="28" spans="1:33" s="2065" customFormat="1" ht="18" customHeight="1">
      <c r="A28" s="1650" t="s">
        <v>1843</v>
      </c>
      <c r="B28" s="785" t="s">
        <v>688</v>
      </c>
      <c r="C28" s="53">
        <f>ROUND(F28/(1+'数据-取费表'!C42),4)</f>
        <v>5.33E-2</v>
      </c>
      <c r="D28" s="813" t="s">
        <v>2303</v>
      </c>
      <c r="E28" s="785" t="s">
        <v>1787</v>
      </c>
      <c r="F28" s="810">
        <f>'数据-取费表'!B41</f>
        <v>5.6000000000000001E-2</v>
      </c>
      <c r="G28" s="1593"/>
      <c r="H28" s="1830"/>
      <c r="I28" s="792"/>
      <c r="J28" s="793"/>
      <c r="K28" s="817"/>
      <c r="L28" s="785" t="s">
        <v>1788</v>
      </c>
      <c r="M28" s="795"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4" t="s">
        <v>1789</v>
      </c>
      <c r="I29" s="825" t="s">
        <v>1790</v>
      </c>
      <c r="J29" s="826" t="e">
        <f ca="1">ROUND(J26/(1+F40)^F41,0)</f>
        <v>#N/A</v>
      </c>
      <c r="K29" s="827" t="s">
        <v>1791</v>
      </c>
      <c r="L29" s="828"/>
      <c r="M29" s="829"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3" t="e">
        <f ca="1">ROUND(C31+C36+C37+C38,0)</f>
        <v>#N/A</v>
      </c>
      <c r="D30" s="1822" t="s">
        <v>1793</v>
      </c>
      <c r="E30" s="2511"/>
      <c r="F30" s="2516"/>
      <c r="G30" s="2063"/>
      <c r="H30" s="2066"/>
      <c r="I30" s="2067"/>
      <c r="J30" s="2068"/>
      <c r="K30" s="2069"/>
      <c r="L30" s="2070"/>
      <c r="M30" s="2071"/>
    </row>
    <row r="31" spans="1:33" ht="18" customHeight="1">
      <c r="A31" s="1649" t="s">
        <v>1832</v>
      </c>
      <c r="B31" s="785" t="s">
        <v>657</v>
      </c>
      <c r="C31" s="53" t="e">
        <f ca="1">ROUND(IF(项目基本情况!B11="自然人",C5*F31,C32+C33+C34),1)</f>
        <v>#N/A</v>
      </c>
      <c r="D31" s="1980" t="s">
        <v>1794</v>
      </c>
      <c r="E31" s="1978" t="s">
        <v>1795</v>
      </c>
      <c r="F31" s="811" t="e">
        <f ca="1">IF(项目基本情况!B11="企业","",IF(INDIRECT("'数据-取费表'!c"&amp;$G$1)="住宅",5%,IF(F6*F7*F8/12/(1+'数据-取费表'!C42)&gt;20000,12%,7%)))</f>
        <v>#N/A</v>
      </c>
      <c r="G31" s="2063"/>
      <c r="H31" s="2066"/>
      <c r="I31" s="2067"/>
      <c r="J31" s="2068"/>
      <c r="K31" s="2069"/>
      <c r="L31" s="2070"/>
      <c r="M31" s="2071"/>
    </row>
    <row r="32" spans="1:33" ht="18" customHeight="1">
      <c r="A32" s="1648" t="s">
        <v>1833</v>
      </c>
      <c r="B32" s="785" t="s">
        <v>1796</v>
      </c>
      <c r="C32" s="53" t="e">
        <f ca="1">ROUND(C5*F32/1.05,1)</f>
        <v>#N/A</v>
      </c>
      <c r="D32" s="1978" t="s">
        <v>1797</v>
      </c>
      <c r="E32" s="785" t="s">
        <v>1798</v>
      </c>
      <c r="F32" s="810">
        <f>'数据-取费表'!B41</f>
        <v>5.6000000000000001E-2</v>
      </c>
      <c r="G32" s="2063"/>
      <c r="H32" s="2072"/>
      <c r="I32" s="2073"/>
      <c r="J32" s="2074"/>
      <c r="K32" s="2075"/>
      <c r="L32" s="2076"/>
      <c r="M32" s="2077"/>
    </row>
    <row r="33" spans="1:18" ht="18" customHeight="1">
      <c r="A33" s="1648" t="s">
        <v>1834</v>
      </c>
      <c r="B33" s="785" t="s">
        <v>1799</v>
      </c>
      <c r="C33" s="53" t="e">
        <f ca="1">IF(D33="按租金收入计税",ROUND(C5*F33,1),IF(D33="按房产原值计税",ROUND(C29*F33*0.7,1),INDIRECT("'数据-取费表'!Aj"&amp;$G$1)))</f>
        <v>#N/A</v>
      </c>
      <c r="D33" s="812" t="s">
        <v>1682</v>
      </c>
      <c r="E33" s="785" t="s">
        <v>1798</v>
      </c>
      <c r="F33" s="810">
        <f>IF(D33="按租金收入计税",'数据-取费表'!B51,'数据-取费表'!B50)</f>
        <v>1.2E-2</v>
      </c>
      <c r="G33" s="2063"/>
      <c r="H33" s="2078"/>
      <c r="I33" s="2078"/>
      <c r="J33" s="2078"/>
      <c r="K33" s="2079"/>
      <c r="L33" s="2078"/>
      <c r="M33" s="2078"/>
    </row>
    <row r="34" spans="1:18" ht="18" customHeight="1">
      <c r="A34" s="1651" t="s">
        <v>1835</v>
      </c>
      <c r="B34" s="342" t="s">
        <v>1800</v>
      </c>
      <c r="C34" s="54" t="e">
        <f ca="1">ROUND(F34*F35/10000,1)</f>
        <v>#N/A</v>
      </c>
      <c r="D34" s="815" t="s">
        <v>1801</v>
      </c>
      <c r="E34" s="785" t="s">
        <v>1802</v>
      </c>
      <c r="F34" s="641">
        <f>'数据-取费表'!B52</f>
        <v>9</v>
      </c>
      <c r="G34" s="2063"/>
      <c r="H34" s="2066"/>
      <c r="I34" s="836" t="s">
        <v>1815</v>
      </c>
      <c r="J34" s="837"/>
      <c r="K34" s="2081"/>
      <c r="L34" s="2080"/>
      <c r="M34" s="2080"/>
    </row>
    <row r="35" spans="1:18" ht="18" customHeight="1">
      <c r="A35" s="816"/>
      <c r="B35" s="794"/>
      <c r="C35" s="69"/>
      <c r="D35" s="817"/>
      <c r="E35" s="785" t="s">
        <v>1803</v>
      </c>
      <c r="F35" s="786" t="e">
        <f ca="1">INDIRECT("'数据-取费表'!r"&amp;$G$1)</f>
        <v>#N/A</v>
      </c>
      <c r="G35" s="2063"/>
      <c r="H35" s="2066"/>
      <c r="I35" s="838" t="s">
        <v>1816</v>
      </c>
      <c r="J35" s="839" t="e">
        <f ca="1">ROUND(C13*J36,0)</f>
        <v>#N/A</v>
      </c>
      <c r="K35" s="2079"/>
      <c r="L35" s="2078"/>
      <c r="M35" s="2078"/>
    </row>
    <row r="36" spans="1:18" ht="18" customHeight="1">
      <c r="A36" s="1649" t="s">
        <v>1891</v>
      </c>
      <c r="B36" s="785" t="s">
        <v>1804</v>
      </c>
      <c r="C36" s="53" t="e">
        <f ca="1">ROUND(C29*F36,1)</f>
        <v>#N/A</v>
      </c>
      <c r="D36" s="1978" t="s">
        <v>1805</v>
      </c>
      <c r="E36" s="785" t="s">
        <v>1798</v>
      </c>
      <c r="F36" s="818" t="e">
        <f ca="1">INDIRECT("'数据-取费表'!Ak"&amp;$G$1)</f>
        <v>#N/A</v>
      </c>
      <c r="G36" s="2063"/>
      <c r="H36" s="2078"/>
      <c r="I36" s="840" t="s">
        <v>1817</v>
      </c>
      <c r="J36" s="841" t="e">
        <f ca="1">INDIRECT("'数据-取费表'!j"&amp;$G$1)</f>
        <v>#N/A</v>
      </c>
      <c r="K36" s="2083"/>
      <c r="L36" s="2078"/>
      <c r="M36" s="2078"/>
    </row>
    <row r="37" spans="1:18" ht="18" customHeight="1">
      <c r="A37" s="1649" t="s">
        <v>1892</v>
      </c>
      <c r="B37" s="785" t="s">
        <v>680</v>
      </c>
      <c r="C37" s="53" t="e">
        <f ca="1">ROUND(C13*F37,1)</f>
        <v>#N/A</v>
      </c>
      <c r="D37" s="1978" t="s">
        <v>1806</v>
      </c>
      <c r="E37" s="785" t="s">
        <v>1798</v>
      </c>
      <c r="F37" s="819" t="e">
        <f ca="1">INDIRECT("'数据-取费表'!Al"&amp;$G$1)</f>
        <v>#N/A</v>
      </c>
      <c r="G37" s="2063"/>
      <c r="H37" s="2078"/>
      <c r="I37" s="842" t="s">
        <v>1818</v>
      </c>
      <c r="J37" s="843"/>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4" t="s">
        <v>1819</v>
      </c>
      <c r="J38" s="845"/>
      <c r="K38" s="2084"/>
      <c r="L38" s="2078"/>
      <c r="M38" s="2078"/>
    </row>
    <row r="39" spans="1:18" ht="24.6" customHeight="1" thickTop="1">
      <c r="A39" s="1830" t="s">
        <v>1896</v>
      </c>
      <c r="B39" s="3037" t="s">
        <v>2830</v>
      </c>
      <c r="C39" s="793" t="e">
        <f ca="1">C5-C30</f>
        <v>#N/A</v>
      </c>
      <c r="D39" s="2573" t="s">
        <v>1808</v>
      </c>
      <c r="E39" s="2574"/>
      <c r="F39" s="2575"/>
      <c r="G39" s="2063"/>
      <c r="H39" s="2078"/>
      <c r="I39" s="838" t="s">
        <v>1820</v>
      </c>
      <c r="J39" s="846" t="e">
        <f ca="1">ROUND(J35/C39,3)</f>
        <v>#N/A</v>
      </c>
      <c r="K39" s="2084"/>
      <c r="L39" s="2078"/>
      <c r="M39" s="2078"/>
    </row>
    <row r="40" spans="1:18" ht="18" customHeight="1">
      <c r="A40" s="782" t="s">
        <v>1897</v>
      </c>
      <c r="B40" s="2233" t="s">
        <v>2305</v>
      </c>
      <c r="C40" s="784" t="e">
        <f ca="1">ROUND(C39*(1-((1+F42)/(1+F40))^F41)/(F40-F42),0)</f>
        <v>#N/A</v>
      </c>
      <c r="D40" s="815" t="s">
        <v>1809</v>
      </c>
      <c r="E40" s="785" t="s">
        <v>2424</v>
      </c>
      <c r="F40" s="795" t="e">
        <f ca="1">INDIRECT("'数据-取费表'!I"&amp;$G$1)</f>
        <v>#N/A</v>
      </c>
      <c r="G40" s="2063"/>
      <c r="H40" s="2063"/>
      <c r="I40" s="838" t="s">
        <v>1821</v>
      </c>
      <c r="J40" s="846" t="e">
        <f ca="1">1-J39</f>
        <v>#N/A</v>
      </c>
      <c r="K40" s="2084"/>
      <c r="L40" s="2063"/>
      <c r="M40" s="2063"/>
    </row>
    <row r="41" spans="1:18" ht="18" customHeight="1">
      <c r="A41" s="787"/>
      <c r="B41" s="788"/>
      <c r="C41" s="789"/>
      <c r="D41" s="822" t="s">
        <v>1810</v>
      </c>
      <c r="E41" s="785" t="s">
        <v>2975</v>
      </c>
      <c r="F41" s="823" t="e">
        <f ca="1">IF(INDIRECT("'数据-取费表'!af"&amp;$G$1)=0,INDIRECT("'数据-取费表'!ae"&amp;$G$1),INDIRECT("'数据-取费表'!af"&amp;$G$1))</f>
        <v>#N/A</v>
      </c>
      <c r="G41" s="2063"/>
      <c r="H41" s="1989"/>
      <c r="I41" s="844" t="s">
        <v>1822</v>
      </c>
      <c r="J41" s="847"/>
      <c r="K41" s="2083"/>
      <c r="L41" s="1989"/>
      <c r="M41" s="1989"/>
    </row>
    <row r="42" spans="1:18" ht="18" customHeight="1">
      <c r="A42" s="791"/>
      <c r="B42" s="792"/>
      <c r="C42" s="793"/>
      <c r="D42" s="817"/>
      <c r="E42" s="785" t="s">
        <v>1811</v>
      </c>
      <c r="F42" s="795" t="e">
        <f ca="1">INDIRECT("'数据-取费表'!v"&amp;$G$1)</f>
        <v>#N/A</v>
      </c>
      <c r="G42" s="2063"/>
      <c r="H42" s="1989"/>
      <c r="I42" s="848" t="s">
        <v>1823</v>
      </c>
      <c r="J42" s="846" t="e">
        <f ca="1">ROUND(C13/C40,3)</f>
        <v>#N/A</v>
      </c>
      <c r="K42" s="2083"/>
      <c r="L42" s="1989"/>
      <c r="M42" s="1989"/>
    </row>
    <row r="43" spans="1:18" ht="18" customHeight="1" thickBot="1">
      <c r="A43" s="824" t="s">
        <v>1789</v>
      </c>
      <c r="B43" s="825" t="s">
        <v>1812</v>
      </c>
      <c r="C43" s="826" t="e">
        <f ca="1">ROUND(C40*10000/F43,0)</f>
        <v>#N/A</v>
      </c>
      <c r="D43" s="827" t="s">
        <v>1813</v>
      </c>
      <c r="E43" s="828" t="s">
        <v>1814</v>
      </c>
      <c r="F43" s="829" t="e">
        <f ca="1">INDIRECT("'数据-取费表'!k"&amp;$G$1)</f>
        <v>#N/A</v>
      </c>
      <c r="G43" s="2063"/>
      <c r="H43" s="1989"/>
      <c r="I43" s="848" t="s">
        <v>1824</v>
      </c>
      <c r="J43" s="849"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3049</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7"/>
      <c r="B49" s="788"/>
      <c r="C49" s="789"/>
      <c r="D49" s="790"/>
      <c r="E49" s="785" t="s">
        <v>1741</v>
      </c>
      <c r="F49" s="786"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7"/>
      <c r="B50" s="788"/>
      <c r="C50" s="789"/>
      <c r="D50" s="790"/>
      <c r="E50" s="785" t="s">
        <v>1742</v>
      </c>
      <c r="F50" s="786"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7"/>
      <c r="B51" s="788"/>
      <c r="C51" s="789"/>
      <c r="D51" s="790"/>
      <c r="E51" s="785"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2" t="s">
        <v>2543</v>
      </c>
      <c r="B52" s="2519" t="s">
        <v>2465</v>
      </c>
      <c r="C52" s="800">
        <f ca="1">ROUND(IF(F52="押一",F48*F50*F49/12*F11,IF(F52="押二",F48*F50*F49/12*2*F11,IF(F52="押三",F48*F50*F49/12*3*F11,C53*F11)))/10000,0)</f>
        <v>0</v>
      </c>
      <c r="D52" s="2526" t="s">
        <v>2472</v>
      </c>
      <c r="E52" s="2523" t="s">
        <v>2470</v>
      </c>
      <c r="F52" s="2646"/>
      <c r="I52" s="2386" t="s">
        <v>2426</v>
      </c>
      <c r="J52" s="2400">
        <v>0.09</v>
      </c>
      <c r="K52" s="2386" t="s">
        <v>2425</v>
      </c>
      <c r="L52" s="2400"/>
      <c r="O52" s="2426" t="s">
        <v>2391</v>
      </c>
      <c r="P52" s="2424" t="s">
        <v>2392</v>
      </c>
      <c r="Q52" s="2427">
        <f>J52</f>
        <v>0.09</v>
      </c>
      <c r="R52" s="2428"/>
    </row>
    <row r="53" spans="1:18" s="2060" customFormat="1" ht="39.75" customHeight="1" thickBot="1">
      <c r="A53" s="787"/>
      <c r="B53" s="2520" t="s">
        <v>2580</v>
      </c>
      <c r="C53" s="2524"/>
      <c r="D53" s="2526"/>
      <c r="E53" s="2523"/>
      <c r="F53" s="801"/>
      <c r="I53" s="2387" t="s">
        <v>2353</v>
      </c>
      <c r="J53" s="2401" t="e">
        <f ca="1">IF(M47="住宅",J51,IF(D1="——",MIN(J51,L48),IF(D1="土地（套用方法）",MIN(J51,L48-'数据-取费表'!B20))))</f>
        <v>#N/A</v>
      </c>
      <c r="K53" s="3473" t="s">
        <v>2977</v>
      </c>
      <c r="L53" s="3474"/>
      <c r="O53" s="2426" t="s">
        <v>2393</v>
      </c>
      <c r="P53" s="2424" t="s">
        <v>2394</v>
      </c>
      <c r="Q53" s="2425" t="e">
        <f ca="1">J53</f>
        <v>#N/A</v>
      </c>
      <c r="R53" s="2424" t="s">
        <v>2395</v>
      </c>
    </row>
    <row r="54" spans="1:18" s="2060" customFormat="1" ht="18" customHeight="1" thickBot="1">
      <c r="A54" s="2562" t="s">
        <v>2474</v>
      </c>
      <c r="B54" s="2563" t="s">
        <v>2466</v>
      </c>
      <c r="C54" s="2564"/>
      <c r="D54" s="2526"/>
      <c r="E54" s="2523"/>
      <c r="F54" s="801"/>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8">
        <v>2</v>
      </c>
      <c r="B55" s="799" t="s">
        <v>645</v>
      </c>
      <c r="C55" s="800" t="e">
        <f ca="1">C13</f>
        <v>#N/A</v>
      </c>
      <c r="D55" s="796"/>
      <c r="E55" s="796"/>
      <c r="F55" s="801"/>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2306</v>
      </c>
      <c r="C56" s="53" t="e">
        <f ca="1">C29</f>
        <v>#N/A</v>
      </c>
      <c r="D56" s="2665"/>
      <c r="E56" s="785"/>
      <c r="F56" s="810"/>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8" t="s">
        <v>1750</v>
      </c>
      <c r="B57" s="799" t="s">
        <v>652</v>
      </c>
      <c r="C57" s="800" t="e">
        <f ca="1">ROUND(C58+C63+C64+C65,0)</f>
        <v>#N/A</v>
      </c>
      <c r="D57" s="26" t="s">
        <v>1752</v>
      </c>
      <c r="E57" s="2666"/>
      <c r="F57" s="56"/>
      <c r="I57" s="2405" t="s">
        <v>2363</v>
      </c>
      <c r="J57" s="2407" t="e">
        <f ca="1">IF(OR(M47="住宅",J51&lt;L48,J56="是"),"——",J51-L48)</f>
        <v>#N/A</v>
      </c>
      <c r="K57" s="2384" t="s">
        <v>2368</v>
      </c>
      <c r="L57" s="2393" t="e">
        <f ca="1">IF(L48&lt;J51,"——",IF(L55="比较法",L49,IF(L55="基准地价",L50,L51)))</f>
        <v>#N/A</v>
      </c>
      <c r="O57" s="2423" t="s">
        <v>2384</v>
      </c>
      <c r="P57" s="2424" t="s">
        <v>2414</v>
      </c>
      <c r="Q57" s="2425" t="e">
        <f ca="1">C40+J29</f>
        <v>#N/A</v>
      </c>
      <c r="R57" s="2424" t="s">
        <v>2385</v>
      </c>
    </row>
    <row r="58" spans="1:18" s="2060" customFormat="1" ht="28.5" customHeight="1" thickBot="1">
      <c r="A58" s="1649" t="s">
        <v>1826</v>
      </c>
      <c r="B58" s="785" t="s">
        <v>657</v>
      </c>
      <c r="C58" s="53" t="e">
        <f ca="1">ROUND(IF(项目基本情况!B11="自然人",C47*F58,C59+C60+C61),1)</f>
        <v>#N/A</v>
      </c>
      <c r="D58" s="2664" t="s">
        <v>658</v>
      </c>
      <c r="E58" s="2665" t="s">
        <v>691</v>
      </c>
      <c r="F58" s="811" t="e">
        <f ca="1">IF(项目基本情况!B11="企业","",IF(INDIRECT("'数据-取费表'!c"&amp;$G$1)="住宅",5%,IF(F48*F49*F50/12/(1+'数据-取费表'!C42)&gt;20000,12%,7%)))</f>
        <v>#N/A</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5" t="s">
        <v>661</v>
      </c>
      <c r="C59" s="53" t="e">
        <f ca="1">ROUND(C47*F59/1.05,1)</f>
        <v>#N/A</v>
      </c>
      <c r="D59" s="2665" t="s">
        <v>1758</v>
      </c>
      <c r="E59" s="785" t="s">
        <v>1749</v>
      </c>
      <c r="F59" s="810">
        <f t="shared" ref="F59:F65" si="0">F32</f>
        <v>5.6000000000000001E-2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5" t="s">
        <v>1760</v>
      </c>
      <c r="C60" s="53" t="e">
        <f ca="1">IF(D60="按租金收入计税",ROUND(C47*F60,1),IF(D60="按房产原值计税",ROUND(C56*F60*0.7,1),INDIRECT("'数据-取费表'!Aj"&amp;$G$1)))</f>
        <v>#N/A</v>
      </c>
      <c r="D60" s="2665" t="str">
        <f>D33</f>
        <v>按房产原值计税</v>
      </c>
      <c r="E60" s="785" t="s">
        <v>1749</v>
      </c>
      <c r="F60" s="810">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2" t="s">
        <v>669</v>
      </c>
      <c r="C61" s="54" t="e">
        <f ca="1">ROUND(F61*F62/10000,1)</f>
        <v>#N/A</v>
      </c>
      <c r="D61" s="815" t="s">
        <v>670</v>
      </c>
      <c r="E61" s="785" t="s">
        <v>671</v>
      </c>
      <c r="F61" s="641">
        <f t="shared" si="0"/>
        <v>9</v>
      </c>
      <c r="K61" s="2087"/>
      <c r="O61" s="2426" t="s">
        <v>2391</v>
      </c>
      <c r="P61" s="2424" t="s">
        <v>2399</v>
      </c>
      <c r="Q61" s="2425" t="e">
        <f ca="1">L58</f>
        <v>#N/A</v>
      </c>
      <c r="R61" s="2428" t="s">
        <v>2400</v>
      </c>
    </row>
    <row r="62" spans="1:18" s="2060" customFormat="1" ht="15.75" thickBot="1">
      <c r="A62" s="816"/>
      <c r="B62" s="794"/>
      <c r="C62" s="69"/>
      <c r="D62" s="817"/>
      <c r="E62" s="785" t="s">
        <v>675</v>
      </c>
      <c r="F62" s="786" t="e">
        <f t="shared" ca="1" si="0"/>
        <v>#N/A</v>
      </c>
      <c r="I62" s="2410" t="s">
        <v>2372</v>
      </c>
      <c r="J62" s="2411" t="s">
        <v>2373</v>
      </c>
      <c r="K62" s="2411" t="s">
        <v>2374</v>
      </c>
      <c r="L62" s="2411" t="s">
        <v>2355</v>
      </c>
      <c r="M62" s="3131" t="s">
        <v>2952</v>
      </c>
      <c r="O62" s="2426" t="s">
        <v>2393</v>
      </c>
      <c r="P62" s="2424" t="str">
        <f>K59</f>
        <v>建设期及建筑物耐用年限下的土地年期修正系数Kn</v>
      </c>
      <c r="Q62" s="2425" t="e">
        <f ca="1">L59</f>
        <v>#N/A</v>
      </c>
      <c r="R62" s="2428" t="s">
        <v>2402</v>
      </c>
    </row>
    <row r="63" spans="1:18" s="2060" customFormat="1" ht="15.75" thickBot="1">
      <c r="A63" s="1649" t="s">
        <v>1891</v>
      </c>
      <c r="B63" s="785" t="s">
        <v>677</v>
      </c>
      <c r="C63" s="53" t="e">
        <f ca="1">ROUND(C56*F63,1)</f>
        <v>#N/A</v>
      </c>
      <c r="D63" s="2665" t="s">
        <v>1805</v>
      </c>
      <c r="E63" s="785" t="s">
        <v>1749</v>
      </c>
      <c r="F63" s="818"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5" t="s">
        <v>680</v>
      </c>
      <c r="C64" s="53" t="e">
        <f ca="1">ROUND(C55*F64,1)</f>
        <v>#N/A</v>
      </c>
      <c r="D64" s="2665" t="s">
        <v>681</v>
      </c>
      <c r="E64" s="785" t="s">
        <v>1749</v>
      </c>
      <c r="F64" s="819"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5" t="s">
        <v>667</v>
      </c>
      <c r="C65" s="53" t="e">
        <f ca="1">ROUND(C47*F65,1)</f>
        <v>#N/A</v>
      </c>
      <c r="D65" s="2665" t="s">
        <v>684</v>
      </c>
      <c r="E65" s="785" t="s">
        <v>1749</v>
      </c>
      <c r="F65" s="795"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8" t="s">
        <v>1778</v>
      </c>
      <c r="B66" s="3038" t="s">
        <v>2830</v>
      </c>
      <c r="C66" s="800" t="e">
        <f ca="1">C47-C57</f>
        <v>#N/A</v>
      </c>
      <c r="D66" s="2664" t="s">
        <v>701</v>
      </c>
      <c r="E66" s="2663"/>
      <c r="F66" s="821"/>
      <c r="K66" s="2087"/>
      <c r="O66" s="2423" t="s">
        <v>2384</v>
      </c>
      <c r="P66" s="2424" t="s">
        <v>2414</v>
      </c>
      <c r="Q66" s="2425" t="e">
        <f ca="1">C40+J29</f>
        <v>#N/A</v>
      </c>
      <c r="R66" s="2424" t="s">
        <v>2385</v>
      </c>
    </row>
    <row r="67" spans="1:18" s="2060" customFormat="1" ht="20.25" thickBot="1">
      <c r="A67" s="782" t="s">
        <v>1782</v>
      </c>
      <c r="B67" s="2233" t="s">
        <v>2305</v>
      </c>
      <c r="C67" s="784" t="e">
        <f ca="1">ROUND(C66*(1-((1+F69)/(1+F67))^F68)/(F67-F69),0)</f>
        <v>#N/A</v>
      </c>
      <c r="D67" s="815" t="s">
        <v>705</v>
      </c>
      <c r="E67" s="785" t="s">
        <v>706</v>
      </c>
      <c r="F67" s="795" t="e">
        <f ca="1">F40</f>
        <v>#N/A</v>
      </c>
      <c r="K67" s="2087"/>
      <c r="O67" s="2423" t="s">
        <v>2386</v>
      </c>
      <c r="P67" s="2424" t="s">
        <v>2417</v>
      </c>
      <c r="Q67" s="2425" t="e">
        <f ca="1">L60</f>
        <v>#N/A</v>
      </c>
      <c r="R67" s="2428" t="s">
        <v>2419</v>
      </c>
    </row>
    <row r="68" spans="1:18" ht="21.75" thickBot="1">
      <c r="A68" s="787"/>
      <c r="B68" s="788"/>
      <c r="C68" s="789"/>
      <c r="D68" s="822" t="s">
        <v>1810</v>
      </c>
      <c r="E68" s="785" t="s">
        <v>1786</v>
      </c>
      <c r="F68" s="823" t="e">
        <f ca="1">F41</f>
        <v>#N/A</v>
      </c>
      <c r="O68" s="2426" t="s">
        <v>2388</v>
      </c>
      <c r="P68" s="2424" t="s">
        <v>2418</v>
      </c>
      <c r="Q68" s="2430" t="e">
        <f ca="1">L51</f>
        <v>#N/A</v>
      </c>
      <c r="R68" s="2431" t="s">
        <v>2421</v>
      </c>
    </row>
    <row r="69" spans="1:18" ht="20.25" thickBot="1">
      <c r="A69" s="791"/>
      <c r="B69" s="792"/>
      <c r="C69" s="793"/>
      <c r="D69" s="817"/>
      <c r="E69" s="785" t="s">
        <v>711</v>
      </c>
      <c r="F69" s="2372"/>
      <c r="O69" s="2426" t="s">
        <v>2389</v>
      </c>
      <c r="P69" s="2432" t="s">
        <v>2403</v>
      </c>
      <c r="Q69" s="2425" t="e">
        <f ca="1">ROUND(Q70-Q71*Q72,0)</f>
        <v>#N/A</v>
      </c>
      <c r="R69" s="2428"/>
    </row>
    <row r="70" spans="1:18" ht="15.75" thickBot="1">
      <c r="A70" s="824" t="s">
        <v>1789</v>
      </c>
      <c r="B70" s="825" t="s">
        <v>1812</v>
      </c>
      <c r="C70" s="826" t="e">
        <f ca="1">ROUND(C67*10000/F70,0)</f>
        <v>#N/A</v>
      </c>
      <c r="D70" s="827" t="s">
        <v>1813</v>
      </c>
      <c r="E70" s="828" t="s">
        <v>1814</v>
      </c>
      <c r="F70" s="829"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4" sqref="H3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35</v>
      </c>
      <c r="D1" s="3158" t="s">
        <v>3066</v>
      </c>
      <c r="E1" s="2412" t="s">
        <v>871</v>
      </c>
      <c r="F1" s="2413" t="e">
        <f ca="1">J53</f>
        <v>#N/A</v>
      </c>
      <c r="G1" s="775"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4" t="s">
        <v>467</v>
      </c>
      <c r="B2" s="776" t="e">
        <f ca="1">C40+J29+L46</f>
        <v>#N/A</v>
      </c>
      <c r="C2" s="2058"/>
      <c r="D2" s="2056"/>
      <c r="E2" s="2057"/>
      <c r="F2" s="2057"/>
      <c r="G2" s="1590"/>
      <c r="H2" s="2058"/>
      <c r="I2" s="2058"/>
      <c r="J2" s="2058"/>
      <c r="K2" s="2059"/>
      <c r="L2" s="2058"/>
      <c r="M2" s="2058"/>
    </row>
    <row r="3" spans="1:33" ht="18" customHeight="1" thickBot="1">
      <c r="A3" s="834" t="s">
        <v>520</v>
      </c>
      <c r="B3" s="835">
        <f ca="1">IF(ISERROR(B2*10000/F43),0,ROUND(B2*10000/F43,0))</f>
        <v>0</v>
      </c>
      <c r="C3" s="2058"/>
      <c r="D3" s="2056"/>
      <c r="E3" s="2057"/>
      <c r="F3" s="2057"/>
      <c r="G3" s="1590"/>
      <c r="H3" s="777" t="s">
        <v>696</v>
      </c>
      <c r="I3" s="1363"/>
      <c r="J3" s="1363"/>
      <c r="K3" s="1591"/>
      <c r="L3" s="1363"/>
      <c r="M3" s="1363"/>
    </row>
    <row r="4" spans="1:33" ht="18" customHeight="1">
      <c r="A4" s="778" t="s">
        <v>631</v>
      </c>
      <c r="B4" s="779" t="s">
        <v>632</v>
      </c>
      <c r="C4" s="779" t="s">
        <v>633</v>
      </c>
      <c r="D4" s="779" t="s">
        <v>634</v>
      </c>
      <c r="E4" s="780" t="s">
        <v>635</v>
      </c>
      <c r="F4" s="781"/>
      <c r="G4" s="1592"/>
      <c r="H4" s="778" t="s">
        <v>631</v>
      </c>
      <c r="I4" s="779" t="s">
        <v>632</v>
      </c>
      <c r="J4" s="779" t="s">
        <v>633</v>
      </c>
      <c r="K4" s="779" t="s">
        <v>634</v>
      </c>
      <c r="L4" s="780" t="s">
        <v>635</v>
      </c>
      <c r="M4" s="781"/>
    </row>
    <row r="5" spans="1:33" ht="18" customHeight="1">
      <c r="A5" s="782">
        <v>1</v>
      </c>
      <c r="B5" s="783" t="s">
        <v>2464</v>
      </c>
      <c r="C5" s="55" t="e">
        <f ca="1">C6+C10+C12</f>
        <v>#N/A</v>
      </c>
      <c r="D5" s="2521" t="s">
        <v>2467</v>
      </c>
      <c r="E5" s="2515"/>
      <c r="F5" s="2516"/>
      <c r="G5" s="1592"/>
      <c r="H5" s="782">
        <v>1</v>
      </c>
      <c r="I5" s="783" t="s">
        <v>2464</v>
      </c>
      <c r="J5" s="55" t="e">
        <f ca="1">J6+J10+J12</f>
        <v>#N/A</v>
      </c>
      <c r="K5" s="2521" t="s">
        <v>2467</v>
      </c>
      <c r="L5" s="2515"/>
      <c r="M5" s="2516"/>
    </row>
    <row r="6" spans="1:33" ht="18" customHeight="1">
      <c r="A6" s="1831" t="s">
        <v>1826</v>
      </c>
      <c r="B6" s="3453" t="s">
        <v>2469</v>
      </c>
      <c r="C6" s="784" t="e">
        <f ca="1">ROUND(F6*F8*F7*(1-F9)/10000,0)</f>
        <v>#N/A</v>
      </c>
      <c r="D6" s="2522" t="s">
        <v>2468</v>
      </c>
      <c r="E6" s="785" t="s">
        <v>638</v>
      </c>
      <c r="F6" s="786" t="e">
        <f ca="1">INDIRECT("'数据-取费表'!u"&amp;$G$1)</f>
        <v>#N/A</v>
      </c>
      <c r="G6" s="1592"/>
      <c r="H6" s="2529" t="s">
        <v>1826</v>
      </c>
      <c r="I6" s="3453" t="s">
        <v>2469</v>
      </c>
      <c r="J6" s="784" t="e">
        <f ca="1">ROUND(M6*M8*M7*(1-M9)/10000,0)</f>
        <v>#N/A</v>
      </c>
      <c r="K6" s="342" t="s">
        <v>637</v>
      </c>
      <c r="L6" s="785" t="s">
        <v>638</v>
      </c>
      <c r="M6" s="786" t="e">
        <f ca="1">INDIRECT("'数据-取费表'!z"&amp;$G$1)</f>
        <v>#N/A</v>
      </c>
    </row>
    <row r="7" spans="1:33" ht="18" customHeight="1">
      <c r="A7" s="2525"/>
      <c r="B7" s="3454"/>
      <c r="C7" s="789"/>
      <c r="D7" s="790"/>
      <c r="E7" s="785" t="s">
        <v>639</v>
      </c>
      <c r="F7" s="786" t="e">
        <f ca="1">IF(INDIRECT("'数据-取费表'!ah"&amp;$G$1)="",INDIRECT("'数据-取费表'!k"&amp;$G$1),INDIRECT("'数据-取费表'!ah"&amp;$G$1))</f>
        <v>#N/A</v>
      </c>
      <c r="G7" s="1592"/>
      <c r="H7" s="2514"/>
      <c r="I7" s="3454"/>
      <c r="J7" s="789"/>
      <c r="K7" s="790"/>
      <c r="L7" s="785" t="s">
        <v>639</v>
      </c>
      <c r="M7" s="786" t="e">
        <f ca="1">F7</f>
        <v>#N/A</v>
      </c>
    </row>
    <row r="8" spans="1:33" ht="18" customHeight="1">
      <c r="A8" s="2518"/>
      <c r="B8" s="3455"/>
      <c r="C8" s="789"/>
      <c r="D8" s="790"/>
      <c r="E8" s="785" t="s">
        <v>640</v>
      </c>
      <c r="F8" s="786" t="e">
        <f ca="1">INDIRECT("'数据-取费表'!ai"&amp;$G$1)</f>
        <v>#N/A</v>
      </c>
      <c r="G8" s="1592"/>
      <c r="H8" s="2514"/>
      <c r="I8" s="3455"/>
      <c r="J8" s="789"/>
      <c r="K8" s="790"/>
      <c r="L8" s="785" t="s">
        <v>640</v>
      </c>
      <c r="M8" s="786" t="e">
        <f ca="1">INDIRECT("'数据-取费表'!ai"&amp;$G$1)</f>
        <v>#N/A</v>
      </c>
    </row>
    <row r="9" spans="1:33" ht="18" customHeight="1">
      <c r="A9" s="787"/>
      <c r="B9" s="3456"/>
      <c r="C9" s="789"/>
      <c r="D9" s="790"/>
      <c r="E9" s="785" t="s">
        <v>641</v>
      </c>
      <c r="F9" s="795" t="e">
        <f ca="1">INDIRECT("'数据-取费表'!w"&amp;$G$1)</f>
        <v>#N/A</v>
      </c>
      <c r="G9" s="1592"/>
      <c r="H9" s="2530"/>
      <c r="I9" s="3455"/>
      <c r="J9" s="789"/>
      <c r="K9" s="790"/>
      <c r="L9" s="796" t="s">
        <v>641</v>
      </c>
      <c r="M9" s="797" t="e">
        <f ca="1">INDIRECT("'数据-取费表'!ab"&amp;$G$1)</f>
        <v>#N/A</v>
      </c>
    </row>
    <row r="10" spans="1:33" ht="18" customHeight="1">
      <c r="A10" s="1831" t="s">
        <v>1827</v>
      </c>
      <c r="B10" s="2519" t="s">
        <v>2465</v>
      </c>
      <c r="C10" s="800" t="e">
        <f ca="1">ROUND(IF(F10="押一",F6*F8*F7/12*F11,IF(F10="押二",F6*F8*F7/12*2*F11,IF(F10="押三",F6*F8*F7/12*3*F11,C11*F11)))/10000,0)</f>
        <v>#N/A</v>
      </c>
      <c r="D10" s="2526" t="s">
        <v>2472</v>
      </c>
      <c r="E10" s="2523" t="s">
        <v>2470</v>
      </c>
      <c r="F10" s="2646" t="s">
        <v>3067</v>
      </c>
      <c r="G10" s="1592"/>
      <c r="H10" s="2586" t="s">
        <v>1827</v>
      </c>
      <c r="I10" s="2591" t="s">
        <v>2465</v>
      </c>
      <c r="J10" s="784">
        <f ca="1">ROUND(IF(M10="押一",M6*M8*M7/12*M11,IF(M10="押二",M6*M8*M7/12*2*M11,IF(M10="押三",M6*M8*M7/12*3*M11,J11*M11)))/10000,0)</f>
        <v>0</v>
      </c>
      <c r="K10" s="2526" t="s">
        <v>2472</v>
      </c>
      <c r="L10" s="2523" t="s">
        <v>2470</v>
      </c>
      <c r="M10" s="2646"/>
    </row>
    <row r="11" spans="1:33" ht="18" customHeight="1">
      <c r="A11" s="791"/>
      <c r="B11" s="2520" t="s">
        <v>2580</v>
      </c>
      <c r="C11" s="2524"/>
      <c r="D11" s="790"/>
      <c r="E11" s="2523" t="s">
        <v>2462</v>
      </c>
      <c r="F11" s="797">
        <f ca="1">'数据-取费表'!B39</f>
        <v>1.4999999999999999E-2</v>
      </c>
      <c r="G11" s="1592"/>
      <c r="H11" s="2587"/>
      <c r="I11" s="2520" t="s">
        <v>2580</v>
      </c>
      <c r="J11" s="2524"/>
      <c r="K11" s="2588"/>
      <c r="L11" s="2523" t="s">
        <v>2462</v>
      </c>
      <c r="M11" s="2517">
        <f ca="1">'数据-取费表'!B39</f>
        <v>1.4999999999999999E-2</v>
      </c>
    </row>
    <row r="12" spans="1:33" ht="18" customHeight="1" thickBot="1">
      <c r="A12" s="2562" t="s">
        <v>2474</v>
      </c>
      <c r="B12" s="2563" t="s">
        <v>2466</v>
      </c>
      <c r="C12" s="2564"/>
      <c r="D12" s="2565"/>
      <c r="E12" s="2566"/>
      <c r="F12" s="2567"/>
      <c r="G12" s="1592"/>
      <c r="H12" s="2576" t="s">
        <v>2474</v>
      </c>
      <c r="I12" s="2589" t="s">
        <v>2466</v>
      </c>
      <c r="J12" s="2590"/>
      <c r="K12" s="2565"/>
      <c r="L12" s="2566"/>
      <c r="M12" s="2579"/>
    </row>
    <row r="13" spans="1:33" ht="18" customHeight="1" thickTop="1">
      <c r="A13" s="1830">
        <v>2</v>
      </c>
      <c r="B13" s="1828" t="s">
        <v>645</v>
      </c>
      <c r="C13" s="793" t="e">
        <f ca="1">ROUND(C29*F13,0)</f>
        <v>#N/A</v>
      </c>
      <c r="D13" s="1835" t="s">
        <v>2301</v>
      </c>
      <c r="E13" s="1835" t="s">
        <v>644</v>
      </c>
      <c r="F13" s="2561" t="e">
        <f ca="1">INDIRECT("'数据-取费表'!y"&amp;$G$1)</f>
        <v>#N/A</v>
      </c>
      <c r="G13" s="1592"/>
      <c r="H13" s="1830">
        <v>2</v>
      </c>
      <c r="I13" s="1828" t="s">
        <v>645</v>
      </c>
      <c r="J13" s="1820" t="e">
        <f ca="1">ROUND(J14*J15,0)</f>
        <v>#N/A</v>
      </c>
      <c r="K13" s="1822" t="s">
        <v>643</v>
      </c>
      <c r="L13" s="2577"/>
      <c r="M13" s="2578"/>
    </row>
    <row r="14" spans="1:33" ht="18" customHeight="1">
      <c r="A14" s="1648" t="s">
        <v>1833</v>
      </c>
      <c r="B14" s="785" t="s">
        <v>646</v>
      </c>
      <c r="C14" s="805" t="e">
        <f ca="1">INDIRECT("'数据-取费表'!m"&amp;$G$1)+INDIRECT("'数据-取费表'!t"&amp;$G$1)</f>
        <v>#N/A</v>
      </c>
      <c r="D14" s="3190" t="s">
        <v>647</v>
      </c>
      <c r="E14" s="3191"/>
      <c r="F14" s="806"/>
      <c r="G14" s="1592"/>
      <c r="H14" s="1649" t="s">
        <v>1826</v>
      </c>
      <c r="I14" s="2232" t="s">
        <v>2833</v>
      </c>
      <c r="J14" s="53" t="e">
        <f ca="1">C29</f>
        <v>#N/A</v>
      </c>
      <c r="K14" s="26"/>
      <c r="L14" s="802"/>
      <c r="M14" s="803"/>
    </row>
    <row r="15" spans="1:33" s="2065" customFormat="1" ht="18" customHeight="1" thickBot="1">
      <c r="A15" s="1648" t="s">
        <v>1834</v>
      </c>
      <c r="B15" s="785" t="s">
        <v>648</v>
      </c>
      <c r="C15" s="53" t="e">
        <f ca="1">ROUND(C14*F15,0)</f>
        <v>#N/A</v>
      </c>
      <c r="D15" s="807" t="s">
        <v>649</v>
      </c>
      <c r="E15" s="807" t="s">
        <v>650</v>
      </c>
      <c r="F15" s="808">
        <f>'数据-取费表'!B33</f>
        <v>0.03</v>
      </c>
      <c r="G15" s="1593"/>
      <c r="H15" s="2576" t="s">
        <v>1891</v>
      </c>
      <c r="I15" s="2571" t="s">
        <v>644</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5" t="s">
        <v>651</v>
      </c>
      <c r="C16" s="53" t="e">
        <f ca="1">ROUND(INDIRECT("'数据-取费表'!m"&amp;$G$1)*F16,0)</f>
        <v>#N/A</v>
      </c>
      <c r="D16" s="785" t="s">
        <v>649</v>
      </c>
      <c r="E16" s="785" t="s">
        <v>650</v>
      </c>
      <c r="F16" s="810" t="e">
        <f ca="1">IF(INDIRECT("'数据-取费表'!c"&amp;$G$1)="住宅",'数据-取费表'!B34,0)</f>
        <v>#N/A</v>
      </c>
      <c r="G16" s="1592"/>
      <c r="H16" s="1830" t="s">
        <v>1750</v>
      </c>
      <c r="I16" s="1828" t="s">
        <v>652</v>
      </c>
      <c r="J16" s="793" t="e">
        <f ca="1">ROUND(J17+J22+J23+J24,0)</f>
        <v>#N/A</v>
      </c>
      <c r="K16" s="1822" t="s">
        <v>653</v>
      </c>
      <c r="L16" s="3192"/>
      <c r="M16" s="2516"/>
    </row>
    <row r="17" spans="1:33" s="2065" customFormat="1" ht="18" customHeight="1">
      <c r="A17" s="1648" t="s">
        <v>1889</v>
      </c>
      <c r="B17" s="785" t="s">
        <v>654</v>
      </c>
      <c r="C17" s="53" t="e">
        <f ca="1">ROUND(F17*(F43+INDIRECT("'数据-取费表'!S"&amp;$G$1))/10000,0)</f>
        <v>#N/A</v>
      </c>
      <c r="D17" s="785" t="s">
        <v>655</v>
      </c>
      <c r="E17" s="785" t="s">
        <v>656</v>
      </c>
      <c r="F17" s="56">
        <f>'数据-取费表'!B35</f>
        <v>150</v>
      </c>
      <c r="G17" s="1593"/>
      <c r="H17" s="1649" t="s">
        <v>1826</v>
      </c>
      <c r="I17" s="785" t="s">
        <v>657</v>
      </c>
      <c r="J17" s="53" t="e">
        <f ca="1">ROUND(IF(项目基本情况!B11="自然人",J5*M17,J18+J19+J20),0)</f>
        <v>#N/A</v>
      </c>
      <c r="K17" s="3190" t="s">
        <v>658</v>
      </c>
      <c r="L17" s="3189" t="s">
        <v>659</v>
      </c>
      <c r="M17" s="811" t="e">
        <f ca="1">IF(项目基本情况!B11="企业","",IF(INDIRECT("'数据-取费表'!c"&amp;$G$1)="住宅",5%,IF(M6*M7*M8/12/(1+'数据-取费表'!C42)&gt;20000,12%,7%)))</f>
        <v>#N/A</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5" t="s">
        <v>660</v>
      </c>
      <c r="C18" s="53" t="e">
        <f ca="1">ROUND(C14*F18,0)</f>
        <v>#N/A</v>
      </c>
      <c r="D18" s="785" t="s">
        <v>649</v>
      </c>
      <c r="E18" s="785" t="s">
        <v>650</v>
      </c>
      <c r="F18" s="810">
        <f>'数据-取费表'!B36</f>
        <v>1.4999999999999999E-2</v>
      </c>
      <c r="G18" s="1593"/>
      <c r="H18" s="1648" t="s">
        <v>1833</v>
      </c>
      <c r="I18" s="785" t="s">
        <v>661</v>
      </c>
      <c r="J18" s="53" t="e">
        <f ca="1">ROUND(J5*M18/1.05,1)</f>
        <v>#N/A</v>
      </c>
      <c r="K18" s="3189" t="s">
        <v>662</v>
      </c>
      <c r="L18" s="785" t="s">
        <v>650</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5" t="s">
        <v>663</v>
      </c>
      <c r="C19" s="53" t="e">
        <f ca="1">SUM(C14:C18)</f>
        <v>#N/A</v>
      </c>
      <c r="D19" s="259" t="s">
        <v>664</v>
      </c>
      <c r="E19" s="3194"/>
      <c r="F19" s="56"/>
      <c r="G19" s="1592"/>
      <c r="H19" s="1648" t="s">
        <v>1834</v>
      </c>
      <c r="I19" s="785" t="s">
        <v>665</v>
      </c>
      <c r="J19" s="53" t="e">
        <f ca="1">IF(K19="按租金收入计税",ROUND(J5*M19,1),ROUND(C29*F33*0.7,1))</f>
        <v>#N/A</v>
      </c>
      <c r="K19" s="812" t="s">
        <v>666</v>
      </c>
      <c r="L19" s="785" t="s">
        <v>650</v>
      </c>
      <c r="M19" s="810">
        <f>IF(K19="按租金收入计税",'数据-取费表'!B51,'数据-取费表'!B50)</f>
        <v>1.2E-2</v>
      </c>
    </row>
    <row r="20" spans="1:33" s="2065" customFormat="1" ht="18" customHeight="1">
      <c r="A20" s="1649" t="s">
        <v>1891</v>
      </c>
      <c r="B20" s="785" t="s">
        <v>667</v>
      </c>
      <c r="C20" s="53" t="e">
        <f ca="1">ROUND(C19*F20,0)</f>
        <v>#N/A</v>
      </c>
      <c r="D20" s="813" t="s">
        <v>668</v>
      </c>
      <c r="E20" s="785" t="s">
        <v>650</v>
      </c>
      <c r="F20" s="810">
        <f>'数据-取费表'!B37</f>
        <v>0.01</v>
      </c>
      <c r="G20" s="1593"/>
      <c r="H20" s="1651" t="s">
        <v>1835</v>
      </c>
      <c r="I20" s="342" t="s">
        <v>669</v>
      </c>
      <c r="J20" s="54" t="e">
        <f ca="1">ROUND(M20*M21/10000,0)</f>
        <v>#N/A</v>
      </c>
      <c r="K20" s="815" t="s">
        <v>670</v>
      </c>
      <c r="L20" s="785" t="s">
        <v>671</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5" t="s">
        <v>672</v>
      </c>
      <c r="C21" s="53" t="s">
        <v>1766</v>
      </c>
      <c r="D21" s="813" t="s">
        <v>2302</v>
      </c>
      <c r="E21" s="785" t="s">
        <v>674</v>
      </c>
      <c r="F21" s="810">
        <f>'数据-取费表'!B38</f>
        <v>1.4999999999999999E-2</v>
      </c>
      <c r="G21" s="1593"/>
      <c r="H21" s="2531"/>
      <c r="I21" s="794"/>
      <c r="J21" s="69"/>
      <c r="K21" s="817"/>
      <c r="L21" s="785" t="s">
        <v>675</v>
      </c>
      <c r="M21" s="786"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5" t="s">
        <v>676</v>
      </c>
      <c r="C22" s="53"/>
      <c r="D22" s="2597" t="str">
        <f>IF(F23&lt;=1,"单利计息。","复利计息。")&amp;"建造成本、管理费用、销售费用产生的利息。"</f>
        <v>复利计息。建造成本、管理费用、销售费用产生的利息。</v>
      </c>
      <c r="E22" s="3194"/>
      <c r="F22" s="56"/>
      <c r="G22" s="1592"/>
      <c r="H22" s="1649" t="s">
        <v>1891</v>
      </c>
      <c r="I22" s="785" t="s">
        <v>677</v>
      </c>
      <c r="J22" s="53" t="e">
        <f ca="1">ROUND(J14*M22,0)</f>
        <v>#N/A</v>
      </c>
      <c r="K22" s="3189" t="s">
        <v>678</v>
      </c>
      <c r="L22" s="785" t="s">
        <v>650</v>
      </c>
      <c r="M22" s="818" t="e">
        <f ca="1">INDIRECT("'数据-取费表'!Ak"&amp;$G$1)</f>
        <v>#N/A</v>
      </c>
    </row>
    <row r="23" spans="1:33" s="2065" customFormat="1" ht="18" customHeight="1">
      <c r="A23" s="1648" t="s">
        <v>1833</v>
      </c>
      <c r="B23" s="785" t="s">
        <v>2442</v>
      </c>
      <c r="C23" s="53" t="e">
        <f ca="1">ROUND(IF('数据-取费表'!B22&lt;=1,(C19+C20)*F24*F23/2,(C19+C20)*(POWER((1+F24),F23/2)-1)),0)</f>
        <v>#N/A</v>
      </c>
      <c r="D23" s="2596" t="str">
        <f>IF(F23&lt;=1,"(建造成本+管理费用)×利率×(建设周期÷2)","(建造成本+管理费用)×((1+利率)^(建设周期÷2)-1)")</f>
        <v>(建造成本+管理费用)×((1+利率)^(建设周期÷2)-1)</v>
      </c>
      <c r="E23" s="785" t="s">
        <v>679</v>
      </c>
      <c r="F23" s="641">
        <f>'数据-取费表'!B20</f>
        <v>1.5</v>
      </c>
      <c r="G23" s="1593"/>
      <c r="H23" s="1649" t="s">
        <v>1892</v>
      </c>
      <c r="I23" s="785" t="s">
        <v>680</v>
      </c>
      <c r="J23" s="53" t="e">
        <f ca="1">ROUND(J13*M23,0)</f>
        <v>#N/A</v>
      </c>
      <c r="K23" s="3189" t="s">
        <v>681</v>
      </c>
      <c r="L23" s="785" t="s">
        <v>650</v>
      </c>
      <c r="M23" s="819"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5" t="s">
        <v>682</v>
      </c>
      <c r="C24" s="53">
        <f ca="1">ROUND(IF('数据-取费表'!B22&lt;=1,F21*F24*F23/2,F21*(POWER((1+F24),F23/2)-1)),4)</f>
        <v>5.0000000000000001E-4</v>
      </c>
      <c r="D24" s="2596" t="str">
        <f>IF(F23&lt;=1,"销售费用×利率×(建设周期÷2)","销售费用×((1+利率)^(建设周期÷2)-1)")</f>
        <v>销售费用×((1+利率)^(建设周期÷2)-1)</v>
      </c>
      <c r="E24" s="785" t="s">
        <v>683</v>
      </c>
      <c r="F24" s="820">
        <f ca="1">'数据-取费表'!B40</f>
        <v>4.7500000000000001E-2</v>
      </c>
      <c r="G24" s="1593"/>
      <c r="H24" s="2576" t="s">
        <v>1893</v>
      </c>
      <c r="I24" s="2571" t="s">
        <v>667</v>
      </c>
      <c r="J24" s="2569" t="e">
        <f ca="1">ROUND(J5*M24,0)</f>
        <v>#N/A</v>
      </c>
      <c r="K24" s="2570" t="s">
        <v>684</v>
      </c>
      <c r="L24" s="2571" t="s">
        <v>650</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5" t="s">
        <v>685</v>
      </c>
      <c r="C25" s="53"/>
      <c r="D25" s="259" t="s">
        <v>686</v>
      </c>
      <c r="E25" s="3194"/>
      <c r="F25" s="56"/>
      <c r="G25" s="1592"/>
      <c r="H25" s="1830" t="s">
        <v>1778</v>
      </c>
      <c r="I25" s="3037" t="s">
        <v>2830</v>
      </c>
      <c r="J25" s="793" t="e">
        <f ca="1">J5-J16</f>
        <v>#N/A</v>
      </c>
      <c r="K25" s="2573" t="s">
        <v>701</v>
      </c>
      <c r="L25" s="2574"/>
      <c r="M25" s="2575"/>
    </row>
    <row r="26" spans="1:33" ht="18" customHeight="1">
      <c r="A26" s="1648" t="s">
        <v>1833</v>
      </c>
      <c r="B26" s="785" t="s">
        <v>2443</v>
      </c>
      <c r="C26" s="53" t="e">
        <f ca="1">ROUND((C19+C20)*F26,0)</f>
        <v>#N/A</v>
      </c>
      <c r="D26" s="813" t="s">
        <v>702</v>
      </c>
      <c r="E26" s="796" t="s">
        <v>703</v>
      </c>
      <c r="F26" s="795" t="e">
        <f ca="1">INDIRECT("'数据-取费表'!q"&amp;$G$1)</f>
        <v>#N/A</v>
      </c>
      <c r="G26" s="1592"/>
      <c r="H26" s="2527" t="s">
        <v>1782</v>
      </c>
      <c r="I26" s="2233" t="s">
        <v>2835</v>
      </c>
      <c r="J26" s="784" t="e">
        <f ca="1">IF(J5&lt;&gt;0,ROUND(J25*(1-((1+M28)/(1+M26))^M27)/(M26-M28),0),0)</f>
        <v>#N/A</v>
      </c>
      <c r="K26" s="815" t="s">
        <v>705</v>
      </c>
      <c r="L26" s="785" t="s">
        <v>2424</v>
      </c>
      <c r="M26" s="795" t="e">
        <f ca="1">INDIRECT("'数据-取费表'!I"&amp;$G$1)</f>
        <v>#N/A</v>
      </c>
    </row>
    <row r="27" spans="1:33" ht="18" customHeight="1">
      <c r="A27" s="1648" t="s">
        <v>1834</v>
      </c>
      <c r="B27" s="785" t="s">
        <v>687</v>
      </c>
      <c r="C27" s="53" t="e">
        <f ca="1">ROUND(F21*F26,4)</f>
        <v>#N/A</v>
      </c>
      <c r="D27" s="813" t="s">
        <v>707</v>
      </c>
      <c r="E27" s="807"/>
      <c r="F27" s="808"/>
      <c r="G27" s="1592"/>
      <c r="H27" s="2528"/>
      <c r="I27" s="788"/>
      <c r="J27" s="789"/>
      <c r="K27" s="822" t="s">
        <v>708</v>
      </c>
      <c r="L27" s="785" t="s">
        <v>709</v>
      </c>
      <c r="M27" s="823" t="e">
        <f ca="1">INDIRECT("'数据-取费表'!ag"&amp;$G$1)</f>
        <v>#N/A</v>
      </c>
    </row>
    <row r="28" spans="1:33" s="2065" customFormat="1" ht="18" customHeight="1">
      <c r="A28" s="1650" t="s">
        <v>1843</v>
      </c>
      <c r="B28" s="785" t="s">
        <v>688</v>
      </c>
      <c r="C28" s="53">
        <f>ROUND(F28/(1+'数据-取费表'!C42),4)</f>
        <v>5.33E-2</v>
      </c>
      <c r="D28" s="813" t="s">
        <v>2303</v>
      </c>
      <c r="E28" s="785" t="s">
        <v>650</v>
      </c>
      <c r="F28" s="810">
        <f>'数据-取费表'!B41</f>
        <v>5.6000000000000001E-2</v>
      </c>
      <c r="G28" s="1593"/>
      <c r="H28" s="1830"/>
      <c r="I28" s="792"/>
      <c r="J28" s="793"/>
      <c r="K28" s="817"/>
      <c r="L28" s="785" t="s">
        <v>711</v>
      </c>
      <c r="M28" s="795"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t="e">
        <f ca="1">ROUND((C19+C20+C23+C26)/(1-F21-C24-C27-C28),0)</f>
        <v>#N/A</v>
      </c>
      <c r="D29" s="2570"/>
      <c r="E29" s="2571"/>
      <c r="F29" s="2572"/>
      <c r="G29" s="1593"/>
      <c r="H29" s="824" t="s">
        <v>1789</v>
      </c>
      <c r="I29" s="825" t="s">
        <v>1790</v>
      </c>
      <c r="J29" s="826" t="e">
        <f ca="1">ROUND(J26/(1+F40)^F41,0)</f>
        <v>#N/A</v>
      </c>
      <c r="K29" s="827" t="s">
        <v>689</v>
      </c>
      <c r="L29" s="828"/>
      <c r="M29" s="829"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652</v>
      </c>
      <c r="C30" s="793" t="e">
        <f ca="1">ROUND(C31+C36+C37+C38,0)</f>
        <v>#N/A</v>
      </c>
      <c r="D30" s="1822" t="s">
        <v>653</v>
      </c>
      <c r="E30" s="3192"/>
      <c r="F30" s="2516"/>
      <c r="G30" s="2063"/>
      <c r="H30" s="2066"/>
      <c r="I30" s="2067"/>
      <c r="J30" s="2068"/>
      <c r="K30" s="2069"/>
      <c r="L30" s="2070"/>
      <c r="M30" s="2071"/>
    </row>
    <row r="31" spans="1:33" ht="18" customHeight="1">
      <c r="A31" s="1649" t="s">
        <v>1826</v>
      </c>
      <c r="B31" s="785" t="s">
        <v>657</v>
      </c>
      <c r="C31" s="53" t="e">
        <f ca="1">ROUND(IF(项目基本情况!B11="自然人",C5*F31,C32+C33+C34),1)</f>
        <v>#N/A</v>
      </c>
      <c r="D31" s="3190" t="s">
        <v>658</v>
      </c>
      <c r="E31" s="3189" t="s">
        <v>691</v>
      </c>
      <c r="F31" s="811" t="e">
        <f ca="1">IF(项目基本情况!B11="企业","",IF(INDIRECT("'数据-取费表'!c"&amp;$G$1)="住宅",5%,IF(F6*F7*F8/12/(1+'数据-取费表'!C42)&gt;20000,12%,7%)))</f>
        <v>#N/A</v>
      </c>
      <c r="G31" s="2063"/>
      <c r="H31" s="2066"/>
      <c r="I31" s="2067"/>
      <c r="J31" s="2068"/>
      <c r="K31" s="2069"/>
      <c r="L31" s="2070"/>
      <c r="M31" s="2071"/>
    </row>
    <row r="32" spans="1:33" ht="18" customHeight="1">
      <c r="A32" s="1648" t="s">
        <v>1833</v>
      </c>
      <c r="B32" s="785" t="s">
        <v>661</v>
      </c>
      <c r="C32" s="53" t="e">
        <f ca="1">ROUND(C5*F32/1.05,1)</f>
        <v>#N/A</v>
      </c>
      <c r="D32" s="3189" t="s">
        <v>662</v>
      </c>
      <c r="E32" s="785" t="s">
        <v>650</v>
      </c>
      <c r="F32" s="810">
        <f>'数据-取费表'!B41</f>
        <v>5.6000000000000001E-2</v>
      </c>
      <c r="G32" s="2063"/>
      <c r="H32" s="2072"/>
      <c r="I32" s="2073"/>
      <c r="J32" s="2074"/>
      <c r="K32" s="2075"/>
      <c r="L32" s="2076"/>
      <c r="M32" s="2077"/>
    </row>
    <row r="33" spans="1:18" ht="18" customHeight="1">
      <c r="A33" s="1648" t="s">
        <v>1834</v>
      </c>
      <c r="B33" s="785" t="s">
        <v>665</v>
      </c>
      <c r="C33" s="53" t="e">
        <f ca="1">IF(D33="按租金收入计税",ROUND(C5*F33,1),IF(D33="按房产原值计税",ROUND(C29*F33*0.7,1),INDIRECT("'数据-取费表'!Aj"&amp;$G$1)))</f>
        <v>#N/A</v>
      </c>
      <c r="D33" s="812" t="s">
        <v>1682</v>
      </c>
      <c r="E33" s="785" t="s">
        <v>650</v>
      </c>
      <c r="F33" s="810">
        <f>IF(D33="按租金收入计税",'数据-取费表'!B51,'数据-取费表'!B50)</f>
        <v>1.2E-2</v>
      </c>
      <c r="G33" s="2063"/>
      <c r="H33" s="2078"/>
      <c r="I33" s="2078"/>
      <c r="J33" s="2078"/>
      <c r="K33" s="2079"/>
      <c r="L33" s="2078"/>
      <c r="M33" s="2078"/>
    </row>
    <row r="34" spans="1:18" ht="18" customHeight="1">
      <c r="A34" s="1651" t="s">
        <v>1835</v>
      </c>
      <c r="B34" s="342" t="s">
        <v>669</v>
      </c>
      <c r="C34" s="54" t="e">
        <f ca="1">ROUND(F34*F35/10000,1)</f>
        <v>#N/A</v>
      </c>
      <c r="D34" s="815" t="s">
        <v>670</v>
      </c>
      <c r="E34" s="785" t="s">
        <v>671</v>
      </c>
      <c r="F34" s="641">
        <f>'数据-取费表'!B52</f>
        <v>9</v>
      </c>
      <c r="G34" s="2063"/>
      <c r="H34" s="2066"/>
      <c r="I34" s="836" t="s">
        <v>1815</v>
      </c>
      <c r="J34" s="837"/>
      <c r="K34" s="2081"/>
      <c r="L34" s="2080"/>
      <c r="M34" s="2080"/>
    </row>
    <row r="35" spans="1:18" ht="18" customHeight="1">
      <c r="A35" s="816"/>
      <c r="B35" s="794"/>
      <c r="C35" s="69"/>
      <c r="D35" s="817"/>
      <c r="E35" s="785" t="s">
        <v>675</v>
      </c>
      <c r="F35" s="786" t="e">
        <f ca="1">INDIRECT("'数据-取费表'!r"&amp;$G$1)</f>
        <v>#N/A</v>
      </c>
      <c r="G35" s="2063"/>
      <c r="H35" s="2066"/>
      <c r="I35" s="838" t="s">
        <v>1816</v>
      </c>
      <c r="J35" s="839" t="e">
        <f ca="1">ROUND(C13*J36,0)</f>
        <v>#N/A</v>
      </c>
      <c r="K35" s="2079"/>
      <c r="L35" s="2078"/>
      <c r="M35" s="2078"/>
    </row>
    <row r="36" spans="1:18" ht="18" customHeight="1">
      <c r="A36" s="1649" t="s">
        <v>1891</v>
      </c>
      <c r="B36" s="785" t="s">
        <v>677</v>
      </c>
      <c r="C36" s="53" t="e">
        <f ca="1">ROUND(C29*F36,1)</f>
        <v>#N/A</v>
      </c>
      <c r="D36" s="3189" t="s">
        <v>692</v>
      </c>
      <c r="E36" s="785" t="s">
        <v>650</v>
      </c>
      <c r="F36" s="818" t="e">
        <f ca="1">INDIRECT("'数据-取费表'!Ak"&amp;$G$1)</f>
        <v>#N/A</v>
      </c>
      <c r="G36" s="2063"/>
      <c r="H36" s="2078"/>
      <c r="I36" s="840" t="s">
        <v>1817</v>
      </c>
      <c r="J36" s="841" t="e">
        <f ca="1">INDIRECT("'数据-取费表'!j"&amp;$G$1)</f>
        <v>#N/A</v>
      </c>
      <c r="K36" s="2083"/>
      <c r="L36" s="2078"/>
      <c r="M36" s="2078"/>
    </row>
    <row r="37" spans="1:18" ht="18" customHeight="1">
      <c r="A37" s="1649" t="s">
        <v>1892</v>
      </c>
      <c r="B37" s="785" t="s">
        <v>680</v>
      </c>
      <c r="C37" s="53" t="e">
        <f ca="1">ROUND(C13*F37,1)</f>
        <v>#N/A</v>
      </c>
      <c r="D37" s="3189" t="s">
        <v>681</v>
      </c>
      <c r="E37" s="785" t="s">
        <v>650</v>
      </c>
      <c r="F37" s="819" t="e">
        <f ca="1">INDIRECT("'数据-取费表'!Al"&amp;$G$1)</f>
        <v>#N/A</v>
      </c>
      <c r="G37" s="2063"/>
      <c r="H37" s="2078"/>
      <c r="I37" s="842" t="s">
        <v>1818</v>
      </c>
      <c r="J37" s="843"/>
      <c r="K37" s="2083"/>
      <c r="L37" s="2078"/>
      <c r="M37" s="2078"/>
    </row>
    <row r="38" spans="1:18" ht="18" customHeight="1" thickBot="1">
      <c r="A38" s="2576" t="s">
        <v>1893</v>
      </c>
      <c r="B38" s="2571" t="s">
        <v>667</v>
      </c>
      <c r="C38" s="2569" t="e">
        <f ca="1">ROUND(C5*F38,1)</f>
        <v>#N/A</v>
      </c>
      <c r="D38" s="2570" t="s">
        <v>684</v>
      </c>
      <c r="E38" s="2571" t="s">
        <v>650</v>
      </c>
      <c r="F38" s="2567" t="e">
        <f ca="1">INDIRECT("'数据-取费表'!Am"&amp;$G$1)</f>
        <v>#N/A</v>
      </c>
      <c r="G38" s="2063"/>
      <c r="H38" s="2078"/>
      <c r="I38" s="844" t="s">
        <v>1819</v>
      </c>
      <c r="J38" s="845"/>
      <c r="K38" s="2084"/>
      <c r="L38" s="2078"/>
      <c r="M38" s="2078"/>
    </row>
    <row r="39" spans="1:18" ht="24.6" customHeight="1" thickTop="1">
      <c r="A39" s="1830" t="s">
        <v>1778</v>
      </c>
      <c r="B39" s="3037" t="s">
        <v>2830</v>
      </c>
      <c r="C39" s="793" t="e">
        <f ca="1">C5-C30</f>
        <v>#N/A</v>
      </c>
      <c r="D39" s="2573" t="s">
        <v>701</v>
      </c>
      <c r="E39" s="2574"/>
      <c r="F39" s="2575"/>
      <c r="G39" s="2063"/>
      <c r="H39" s="2078"/>
      <c r="I39" s="838" t="s">
        <v>1820</v>
      </c>
      <c r="J39" s="846" t="e">
        <f ca="1">ROUND(J35/C39,3)</f>
        <v>#N/A</v>
      </c>
      <c r="K39" s="2084"/>
      <c r="L39" s="2078"/>
      <c r="M39" s="2078"/>
    </row>
    <row r="40" spans="1:18" ht="18" customHeight="1">
      <c r="A40" s="782" t="s">
        <v>1782</v>
      </c>
      <c r="B40" s="2233" t="s">
        <v>2305</v>
      </c>
      <c r="C40" s="784" t="e">
        <f ca="1">ROUND(C39*(1-((1+F42)/(1+F40))^F41)/(F40-F42),0)</f>
        <v>#N/A</v>
      </c>
      <c r="D40" s="815" t="s">
        <v>705</v>
      </c>
      <c r="E40" s="785" t="s">
        <v>2424</v>
      </c>
      <c r="F40" s="795" t="e">
        <f ca="1">INDIRECT("'数据-取费表'!I"&amp;$G$1)</f>
        <v>#N/A</v>
      </c>
      <c r="G40" s="2063"/>
      <c r="H40" s="2063"/>
      <c r="I40" s="838" t="s">
        <v>1821</v>
      </c>
      <c r="J40" s="846" t="e">
        <f ca="1">1-J39</f>
        <v>#N/A</v>
      </c>
      <c r="K40" s="2084"/>
      <c r="L40" s="2063"/>
      <c r="M40" s="2063"/>
    </row>
    <row r="41" spans="1:18" ht="18" customHeight="1">
      <c r="A41" s="787"/>
      <c r="B41" s="788"/>
      <c r="C41" s="789"/>
      <c r="D41" s="822" t="s">
        <v>1810</v>
      </c>
      <c r="E41" s="785" t="s">
        <v>709</v>
      </c>
      <c r="F41" s="823" t="e">
        <f ca="1">IF(INDIRECT("'数据-取费表'!af"&amp;$G$1)=0,INDIRECT("'数据-取费表'!ae"&amp;$G$1),INDIRECT("'数据-取费表'!af"&amp;$G$1))</f>
        <v>#N/A</v>
      </c>
      <c r="G41" s="2063"/>
      <c r="H41" s="1989"/>
      <c r="I41" s="844" t="s">
        <v>1822</v>
      </c>
      <c r="J41" s="847"/>
      <c r="K41" s="2083"/>
      <c r="L41" s="1989"/>
      <c r="M41" s="1989"/>
    </row>
    <row r="42" spans="1:18" ht="18" customHeight="1">
      <c r="A42" s="791"/>
      <c r="B42" s="792"/>
      <c r="C42" s="793"/>
      <c r="D42" s="817"/>
      <c r="E42" s="785" t="s">
        <v>711</v>
      </c>
      <c r="F42" s="795" t="e">
        <f ca="1">INDIRECT("'数据-取费表'!v"&amp;$G$1)</f>
        <v>#N/A</v>
      </c>
      <c r="G42" s="2063"/>
      <c r="H42" s="1989"/>
      <c r="I42" s="848" t="s">
        <v>1823</v>
      </c>
      <c r="J42" s="846" t="e">
        <f ca="1">ROUND(C13/C40,3)</f>
        <v>#N/A</v>
      </c>
      <c r="K42" s="2083"/>
      <c r="L42" s="1989"/>
      <c r="M42" s="1989"/>
    </row>
    <row r="43" spans="1:18" ht="18" customHeight="1" thickBot="1">
      <c r="A43" s="824" t="s">
        <v>1789</v>
      </c>
      <c r="B43" s="825" t="s">
        <v>1812</v>
      </c>
      <c r="C43" s="826" t="e">
        <f ca="1">ROUND(C40*10000/F43,0)</f>
        <v>#N/A</v>
      </c>
      <c r="D43" s="827" t="s">
        <v>1813</v>
      </c>
      <c r="E43" s="828" t="s">
        <v>1814</v>
      </c>
      <c r="F43" s="829" t="e">
        <f ca="1">INDIRECT("'数据-取费表'!k"&amp;$G$1)</f>
        <v>#N/A</v>
      </c>
      <c r="G43" s="2063"/>
      <c r="H43" s="1989"/>
      <c r="I43" s="848" t="s">
        <v>1824</v>
      </c>
      <c r="J43" s="849"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#N/A</v>
      </c>
      <c r="D46" s="2086"/>
      <c r="E46" s="2086"/>
      <c r="F46" s="2086"/>
      <c r="I46" s="2379" t="s">
        <v>2347</v>
      </c>
      <c r="J46" s="2380"/>
      <c r="K46" s="2381"/>
      <c r="L46" s="2382" t="e">
        <f ca="1">IF(M47="住宅",0,IF(L48&gt;J51,L60,J60))</f>
        <v>#N/A</v>
      </c>
      <c r="O46" s="2419" t="s">
        <v>2415</v>
      </c>
      <c r="P46" s="1592"/>
      <c r="Q46" s="1604"/>
      <c r="R46" s="1592"/>
    </row>
    <row r="47" spans="1:18" s="2060" customFormat="1" ht="18" customHeight="1" thickBot="1">
      <c r="A47" s="2373">
        <v>1</v>
      </c>
      <c r="B47" s="2374" t="s">
        <v>636</v>
      </c>
      <c r="C47" s="2599" t="e">
        <f ca="1">C48+C52+C54</f>
        <v>#N/A</v>
      </c>
      <c r="D47" s="2086"/>
      <c r="E47" s="2086"/>
      <c r="F47" s="2086"/>
      <c r="I47" s="2383" t="s">
        <v>2348</v>
      </c>
      <c r="J47" s="2388" t="s">
        <v>3049</v>
      </c>
      <c r="K47" s="2389" t="s">
        <v>2354</v>
      </c>
      <c r="L47" s="2390" t="e">
        <f ca="1">INDIRECT("'数据-取费表'!d"&amp;$G$1)</f>
        <v>#N/A</v>
      </c>
      <c r="M47" s="1604" t="str">
        <f>IF(ISNUMBER(FIND("住宅",C1)),"住宅","非住宅")</f>
        <v>非住宅</v>
      </c>
      <c r="O47" s="2420" t="s">
        <v>2380</v>
      </c>
      <c r="P47" s="2421" t="s">
        <v>2381</v>
      </c>
      <c r="Q47" s="2422" t="s">
        <v>2382</v>
      </c>
      <c r="R47" s="2421" t="s">
        <v>2383</v>
      </c>
    </row>
    <row r="48" spans="1:18" s="2060" customFormat="1" ht="18" customHeight="1" thickBot="1">
      <c r="A48" s="2668" t="s">
        <v>1872</v>
      </c>
      <c r="B48" s="2669" t="s">
        <v>2545</v>
      </c>
      <c r="C48" s="2375" t="e">
        <f ca="1">ROUND(F48*F50*F49*(1-F51)/10000,0)</f>
        <v>#N/A</v>
      </c>
      <c r="D48" s="2376" t="s">
        <v>637</v>
      </c>
      <c r="E48" s="2377" t="s">
        <v>2300</v>
      </c>
      <c r="F48" s="2378"/>
      <c r="G48" s="2091"/>
      <c r="I48" s="2384" t="s">
        <v>2349</v>
      </c>
      <c r="J48" s="2391" t="s">
        <v>2355</v>
      </c>
      <c r="K48" s="2392" t="s">
        <v>2356</v>
      </c>
      <c r="L48" s="2393" t="e">
        <f ca="1">INDIRECT("'数据-取费表'!f"&amp;$G$1)</f>
        <v>#N/A</v>
      </c>
      <c r="O48" s="2423" t="s">
        <v>2384</v>
      </c>
      <c r="P48" s="2424" t="s">
        <v>2410</v>
      </c>
      <c r="Q48" s="2425" t="e">
        <f ca="1">C40+J29</f>
        <v>#N/A</v>
      </c>
      <c r="R48" s="2424" t="s">
        <v>2385</v>
      </c>
    </row>
    <row r="49" spans="1:18" s="2060" customFormat="1" ht="18" customHeight="1" thickBot="1">
      <c r="A49" s="787"/>
      <c r="B49" s="788"/>
      <c r="C49" s="789"/>
      <c r="D49" s="790"/>
      <c r="E49" s="785" t="s">
        <v>639</v>
      </c>
      <c r="F49" s="786" t="e">
        <f ca="1">F7</f>
        <v>#N/A</v>
      </c>
      <c r="G49" s="2091"/>
      <c r="H49" s="2094"/>
      <c r="I49" s="2384" t="s">
        <v>2350</v>
      </c>
      <c r="J49" s="2394">
        <v>2020</v>
      </c>
      <c r="K49" s="2395" t="s">
        <v>2357</v>
      </c>
      <c r="L49" s="2396"/>
      <c r="O49" s="2423" t="s">
        <v>2386</v>
      </c>
      <c r="P49" s="2424" t="s">
        <v>2411</v>
      </c>
      <c r="Q49" s="2425" t="e">
        <f ca="1">J60</f>
        <v>#N/A</v>
      </c>
      <c r="R49" s="2424" t="s">
        <v>2387</v>
      </c>
    </row>
    <row r="50" spans="1:18" s="2060" customFormat="1" ht="18" customHeight="1" thickBot="1">
      <c r="A50" s="787"/>
      <c r="B50" s="788"/>
      <c r="C50" s="789"/>
      <c r="D50" s="790"/>
      <c r="E50" s="785" t="s">
        <v>640</v>
      </c>
      <c r="F50" s="786" t="e">
        <f ca="1">F8</f>
        <v>#N/A</v>
      </c>
      <c r="G50" s="2096"/>
      <c r="H50" s="2094"/>
      <c r="I50" s="2384" t="s">
        <v>2351</v>
      </c>
      <c r="J50" s="2397">
        <f>SUMPRODUCT((I63:I65=J47)*(J62:L62=J48)*(J63:L65))</f>
        <v>60</v>
      </c>
      <c r="K50" s="2395" t="s">
        <v>2358</v>
      </c>
      <c r="L50" s="2396"/>
      <c r="O50" s="2426" t="s">
        <v>2388</v>
      </c>
      <c r="P50" s="2424" t="s">
        <v>2412</v>
      </c>
      <c r="Q50" s="2425" t="e">
        <f ca="1">C29</f>
        <v>#N/A</v>
      </c>
      <c r="R50" s="2424" t="s">
        <v>2385</v>
      </c>
    </row>
    <row r="51" spans="1:18" s="2060" customFormat="1" ht="18" customHeight="1" thickBot="1">
      <c r="A51" s="787"/>
      <c r="B51" s="788"/>
      <c r="C51" s="789"/>
      <c r="D51" s="790"/>
      <c r="E51" s="785" t="s">
        <v>641</v>
      </c>
      <c r="F51" s="2372"/>
      <c r="H51" s="2094"/>
      <c r="I51" s="2385" t="s">
        <v>2352</v>
      </c>
      <c r="J51" s="2398">
        <f>IF(J49="",J50,J49+J50-YEAR('数据-取费表'!B2))</f>
        <v>62</v>
      </c>
      <c r="K51" s="2384" t="s">
        <v>2359</v>
      </c>
      <c r="L51" s="2399" t="e">
        <f ca="1">ROUND(-PV(INDIRECT("'数据-取费表'!h"&amp;$G$1),L48,(C39-C13*J36),0),0)</f>
        <v>#N/A</v>
      </c>
      <c r="O51" s="2426" t="s">
        <v>2389</v>
      </c>
      <c r="P51" s="2424" t="s">
        <v>2390</v>
      </c>
      <c r="Q51" s="2427" t="e">
        <f ca="1">J58</f>
        <v>#N/A</v>
      </c>
      <c r="R51" s="2428"/>
    </row>
    <row r="52" spans="1:18" s="2060" customFormat="1" ht="18" customHeight="1" thickBot="1">
      <c r="A52" s="782" t="s">
        <v>2543</v>
      </c>
      <c r="B52" s="2519" t="s">
        <v>2465</v>
      </c>
      <c r="C52" s="800">
        <f ca="1">ROUND(IF(F52="押一",F48*F50*F49/12*F11,IF(F52="押二",F48*F50*F49/12*2*F11,IF(F52="押三",F48*F50*F49/12*3*F11,C53*F11)))/10000,0)</f>
        <v>0</v>
      </c>
      <c r="D52" s="2526" t="s">
        <v>2472</v>
      </c>
      <c r="E52" s="2523" t="s">
        <v>2470</v>
      </c>
      <c r="F52" s="2646"/>
      <c r="I52" s="2386" t="s">
        <v>2426</v>
      </c>
      <c r="J52" s="2400">
        <v>0.09</v>
      </c>
      <c r="K52" s="2386" t="s">
        <v>2425</v>
      </c>
      <c r="L52" s="2400"/>
      <c r="O52" s="2426" t="s">
        <v>2391</v>
      </c>
      <c r="P52" s="2424" t="s">
        <v>2392</v>
      </c>
      <c r="Q52" s="2427">
        <f>J52</f>
        <v>0.09</v>
      </c>
      <c r="R52" s="2428"/>
    </row>
    <row r="53" spans="1:18" s="2060" customFormat="1" ht="39.75" customHeight="1" thickBot="1">
      <c r="A53" s="787"/>
      <c r="B53" s="2520" t="s">
        <v>2580</v>
      </c>
      <c r="C53" s="2524"/>
      <c r="D53" s="2526"/>
      <c r="E53" s="2523"/>
      <c r="F53" s="801"/>
      <c r="I53" s="2387" t="s">
        <v>2353</v>
      </c>
      <c r="J53" s="2401" t="e">
        <f ca="1">IF(M47="住宅",J51,IF(D1="——",MIN(J51,L48),IF(D1="土地（套用方法）",MIN(J51,L48-'数据-取费表'!B20))))</f>
        <v>#N/A</v>
      </c>
      <c r="K53" s="3473" t="s">
        <v>2977</v>
      </c>
      <c r="L53" s="3474"/>
      <c r="O53" s="2426" t="s">
        <v>2393</v>
      </c>
      <c r="P53" s="2424" t="s">
        <v>2394</v>
      </c>
      <c r="Q53" s="2425" t="e">
        <f ca="1">J53</f>
        <v>#N/A</v>
      </c>
      <c r="R53" s="2424" t="s">
        <v>2395</v>
      </c>
    </row>
    <row r="54" spans="1:18" s="2060" customFormat="1" ht="18" customHeight="1" thickBot="1">
      <c r="A54" s="2562" t="s">
        <v>2474</v>
      </c>
      <c r="B54" s="2563" t="s">
        <v>2466</v>
      </c>
      <c r="C54" s="2564"/>
      <c r="D54" s="2526"/>
      <c r="E54" s="2523"/>
      <c r="F54" s="801"/>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2396</v>
      </c>
      <c r="P54" s="2424" t="s">
        <v>2413</v>
      </c>
      <c r="Q54" s="2425" t="e">
        <f ca="1">Q48+Q49</f>
        <v>#N/A</v>
      </c>
      <c r="R54" s="2428" t="s">
        <v>2397</v>
      </c>
    </row>
    <row r="55" spans="1:18" s="2060" customFormat="1" ht="18" customHeight="1" thickTop="1" thickBot="1">
      <c r="A55" s="798">
        <v>2</v>
      </c>
      <c r="B55" s="799" t="s">
        <v>645</v>
      </c>
      <c r="C55" s="800" t="e">
        <f ca="1">C13</f>
        <v>#N/A</v>
      </c>
      <c r="D55" s="796"/>
      <c r="E55" s="796"/>
      <c r="F55" s="801"/>
      <c r="I55" s="3129" t="s">
        <v>2360</v>
      </c>
      <c r="J55" s="3128" t="e">
        <f ca="1">ROUND(IF(J47="钢混",J57/J50,1-(1-2%)*(J50-J57)/J50),3)</f>
        <v>#N/A</v>
      </c>
      <c r="K55" s="2402" t="s">
        <v>2361</v>
      </c>
      <c r="L55" s="2403"/>
      <c r="O55" s="2429" t="s">
        <v>2416</v>
      </c>
      <c r="P55" s="1592"/>
      <c r="Q55" s="1604"/>
      <c r="R55" s="1592"/>
    </row>
    <row r="56" spans="1:18" s="2060" customFormat="1" ht="42.75" customHeight="1" thickBot="1">
      <c r="A56" s="1650"/>
      <c r="B56" s="2232" t="s">
        <v>2304</v>
      </c>
      <c r="C56" s="53" t="e">
        <f ca="1">C29</f>
        <v>#N/A</v>
      </c>
      <c r="D56" s="3189"/>
      <c r="E56" s="785"/>
      <c r="F56" s="810"/>
      <c r="I56" s="2404" t="s">
        <v>2362</v>
      </c>
      <c r="J56" s="3152" t="s">
        <v>1680</v>
      </c>
      <c r="K56" s="2384" t="s">
        <v>2367</v>
      </c>
      <c r="L56" s="2393" t="e">
        <f ca="1">IF(L48&lt;J51,"——",L48-J51)</f>
        <v>#N/A</v>
      </c>
      <c r="O56" s="2420" t="s">
        <v>2380</v>
      </c>
      <c r="P56" s="2421" t="s">
        <v>2381</v>
      </c>
      <c r="Q56" s="2422" t="s">
        <v>2382</v>
      </c>
      <c r="R56" s="2421" t="s">
        <v>2383</v>
      </c>
    </row>
    <row r="57" spans="1:18" s="2060" customFormat="1" ht="28.5" customHeight="1" thickBot="1">
      <c r="A57" s="798" t="s">
        <v>1750</v>
      </c>
      <c r="B57" s="799" t="s">
        <v>652</v>
      </c>
      <c r="C57" s="800" t="e">
        <f ca="1">ROUND(C58+C63+C64+C65,0)</f>
        <v>#N/A</v>
      </c>
      <c r="D57" s="26" t="s">
        <v>653</v>
      </c>
      <c r="E57" s="3194"/>
      <c r="F57" s="56"/>
      <c r="I57" s="2405" t="s">
        <v>2363</v>
      </c>
      <c r="J57" s="2407" t="e">
        <f ca="1">IF(OR(M47="住宅",J51&lt;L48,J56="是"),"——",J51-L48)</f>
        <v>#N/A</v>
      </c>
      <c r="K57" s="2384" t="s">
        <v>2368</v>
      </c>
      <c r="L57" s="2393" t="e">
        <f ca="1">IF(L48&lt;J51,"——",IF(L55="比较法",L49,IF(L55="基准地价",L50,L51)))</f>
        <v>#N/A</v>
      </c>
      <c r="O57" s="2423" t="s">
        <v>2384</v>
      </c>
      <c r="P57" s="2424" t="s">
        <v>2410</v>
      </c>
      <c r="Q57" s="2425" t="e">
        <f ca="1">C40+J29</f>
        <v>#N/A</v>
      </c>
      <c r="R57" s="2424" t="s">
        <v>2385</v>
      </c>
    </row>
    <row r="58" spans="1:18" s="2060" customFormat="1" ht="28.5" customHeight="1" thickBot="1">
      <c r="A58" s="1649" t="s">
        <v>1826</v>
      </c>
      <c r="B58" s="785" t="s">
        <v>657</v>
      </c>
      <c r="C58" s="53" t="e">
        <f ca="1">ROUND(IF(项目基本情况!B11="自然人",C47*F58,C59+C60+C61),1)</f>
        <v>#N/A</v>
      </c>
      <c r="D58" s="3190" t="s">
        <v>658</v>
      </c>
      <c r="E58" s="3189" t="s">
        <v>691</v>
      </c>
      <c r="F58" s="811" t="e">
        <f ca="1">IF(项目基本情况!B11="企业","",IF(INDIRECT("'数据-取费表'!c"&amp;$G$1)="住宅",5%,IF(F48*F49*F50/12/(1+'数据-取费表'!C42)&gt;20000,12%,7%)))</f>
        <v>#N/A</v>
      </c>
      <c r="I58" s="2405" t="s">
        <v>2364</v>
      </c>
      <c r="J58" s="3130" t="e">
        <f ca="1">IF(J55&lt;0.4,0.4,J55)</f>
        <v>#N/A</v>
      </c>
      <c r="K58" s="2384" t="s">
        <v>2369</v>
      </c>
      <c r="L58" s="2393" t="e">
        <f ca="1">ROUND(POWER(1+L52,L47-L48)*(POWER(1+L52,L48)-1)/(POWER(1+L52,L47)-1),4)</f>
        <v>#N/A</v>
      </c>
      <c r="O58" s="2423" t="s">
        <v>2386</v>
      </c>
      <c r="P58" s="2424" t="s">
        <v>2417</v>
      </c>
      <c r="Q58" s="2425" t="e">
        <f ca="1">L60</f>
        <v>#N/A</v>
      </c>
      <c r="R58" s="2428" t="s">
        <v>2419</v>
      </c>
    </row>
    <row r="59" spans="1:18" s="2060" customFormat="1" ht="28.5" customHeight="1" thickBot="1">
      <c r="A59" s="1648" t="s">
        <v>1833</v>
      </c>
      <c r="B59" s="785" t="s">
        <v>661</v>
      </c>
      <c r="C59" s="53" t="e">
        <f ca="1">ROUND(C47*F59/1.05,1)</f>
        <v>#N/A</v>
      </c>
      <c r="D59" s="3189" t="s">
        <v>662</v>
      </c>
      <c r="E59" s="785" t="s">
        <v>650</v>
      </c>
      <c r="F59" s="810">
        <f t="shared" ref="F59:F65" si="0">F32</f>
        <v>5.6000000000000001E-2</v>
      </c>
      <c r="I59" s="2405" t="s">
        <v>2365</v>
      </c>
      <c r="J59" s="2407" t="e">
        <f ca="1">IF(OR(M47="住宅",J51&lt;L48,J56="是"),"——",ROUND(C29*J58,0))</f>
        <v>#N/A</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2388</v>
      </c>
      <c r="P59" s="2424" t="s">
        <v>2418</v>
      </c>
      <c r="Q59" s="2425">
        <f>IF(L55="比较法",L49,IF(L55="基准地价",L50,0))</f>
        <v>0</v>
      </c>
      <c r="R59" s="2424" t="s">
        <v>2385</v>
      </c>
    </row>
    <row r="60" spans="1:18" s="2060" customFormat="1" ht="18" customHeight="1" thickBot="1">
      <c r="A60" s="1648" t="s">
        <v>1834</v>
      </c>
      <c r="B60" s="785" t="s">
        <v>665</v>
      </c>
      <c r="C60" s="53" t="e">
        <f ca="1">IF(D60="按租金收入计税",ROUND(C47*F60,1),IF(D60="按房产原值计税",ROUND(C56*F60*0.7,1),INDIRECT("'数据-取费表'!Aj"&amp;$G$1)))</f>
        <v>#N/A</v>
      </c>
      <c r="D60" s="3189" t="str">
        <f>D33</f>
        <v>按房产原值计税</v>
      </c>
      <c r="E60" s="785" t="s">
        <v>650</v>
      </c>
      <c r="F60" s="810">
        <f t="shared" si="0"/>
        <v>1.2E-2</v>
      </c>
      <c r="I60" s="2406" t="s">
        <v>2366</v>
      </c>
      <c r="J60" s="2408" t="e">
        <f ca="1">IF(OR(M47="住宅",J51&lt;L48,J56="是"),"0",ROUND(J59/(1+J52)^J53,0))</f>
        <v>#N/A</v>
      </c>
      <c r="K60" s="2409" t="s">
        <v>2371</v>
      </c>
      <c r="L60" s="2408" t="e">
        <f ca="1">IF(OR(M47="住宅",L48&lt;J51),0,ROUND(L57*(L58/L59-1),0))</f>
        <v>#N/A</v>
      </c>
      <c r="O60" s="2426" t="s">
        <v>2389</v>
      </c>
      <c r="P60" s="2424" t="s">
        <v>2398</v>
      </c>
      <c r="Q60" s="2427">
        <f>L52</f>
        <v>0</v>
      </c>
      <c r="R60" s="2428"/>
    </row>
    <row r="61" spans="1:18" s="2060" customFormat="1" ht="18" customHeight="1" thickBot="1">
      <c r="A61" s="1651" t="s">
        <v>1835</v>
      </c>
      <c r="B61" s="342" t="s">
        <v>669</v>
      </c>
      <c r="C61" s="54" t="e">
        <f ca="1">ROUND(F61*F62/10000,1)</f>
        <v>#N/A</v>
      </c>
      <c r="D61" s="815" t="s">
        <v>670</v>
      </c>
      <c r="E61" s="785" t="s">
        <v>671</v>
      </c>
      <c r="F61" s="641">
        <f t="shared" si="0"/>
        <v>9</v>
      </c>
      <c r="K61" s="2087"/>
      <c r="O61" s="2426" t="s">
        <v>2391</v>
      </c>
      <c r="P61" s="2424" t="s">
        <v>2399</v>
      </c>
      <c r="Q61" s="2425" t="e">
        <f ca="1">L58</f>
        <v>#N/A</v>
      </c>
      <c r="R61" s="2428" t="s">
        <v>2400</v>
      </c>
    </row>
    <row r="62" spans="1:18" s="2060" customFormat="1" ht="15.75" thickBot="1">
      <c r="A62" s="816"/>
      <c r="B62" s="794"/>
      <c r="C62" s="69"/>
      <c r="D62" s="817"/>
      <c r="E62" s="785" t="s">
        <v>675</v>
      </c>
      <c r="F62" s="786" t="e">
        <f t="shared" ca="1" si="0"/>
        <v>#N/A</v>
      </c>
      <c r="I62" s="2410" t="s">
        <v>2372</v>
      </c>
      <c r="J62" s="2411" t="s">
        <v>2373</v>
      </c>
      <c r="K62" s="2411" t="s">
        <v>2374</v>
      </c>
      <c r="L62" s="2411" t="s">
        <v>2355</v>
      </c>
      <c r="M62" s="3131" t="s">
        <v>2952</v>
      </c>
      <c r="O62" s="2426" t="s">
        <v>2393</v>
      </c>
      <c r="P62" s="2424" t="str">
        <f>K59</f>
        <v>建设期及建筑物耐用年限下的土地年期修正系数Kn</v>
      </c>
      <c r="Q62" s="2425" t="e">
        <f ca="1">L59</f>
        <v>#N/A</v>
      </c>
      <c r="R62" s="2428" t="s">
        <v>2402</v>
      </c>
    </row>
    <row r="63" spans="1:18" s="2060" customFormat="1" ht="15.75" thickBot="1">
      <c r="A63" s="1649" t="s">
        <v>1891</v>
      </c>
      <c r="B63" s="785" t="s">
        <v>677</v>
      </c>
      <c r="C63" s="53" t="e">
        <f ca="1">ROUND(C56*F63,1)</f>
        <v>#N/A</v>
      </c>
      <c r="D63" s="3189" t="s">
        <v>692</v>
      </c>
      <c r="E63" s="785" t="s">
        <v>650</v>
      </c>
      <c r="F63" s="818" t="e">
        <f t="shared" ca="1" si="0"/>
        <v>#N/A</v>
      </c>
      <c r="I63" s="2410" t="s">
        <v>2375</v>
      </c>
      <c r="J63" s="2411">
        <v>70</v>
      </c>
      <c r="K63" s="2411">
        <v>50</v>
      </c>
      <c r="L63" s="2411">
        <v>80</v>
      </c>
      <c r="M63" s="3132">
        <v>0.02</v>
      </c>
      <c r="O63" s="2423" t="s">
        <v>2396</v>
      </c>
      <c r="P63" s="2424" t="s">
        <v>2413</v>
      </c>
      <c r="Q63" s="2425" t="e">
        <f ca="1">Q57+Q58</f>
        <v>#N/A</v>
      </c>
      <c r="R63" s="2428" t="s">
        <v>2397</v>
      </c>
    </row>
    <row r="64" spans="1:18" s="2060" customFormat="1" ht="16.5" thickBot="1">
      <c r="A64" s="1649" t="s">
        <v>1892</v>
      </c>
      <c r="B64" s="785" t="s">
        <v>680</v>
      </c>
      <c r="C64" s="53" t="e">
        <f ca="1">ROUND(C55*F64,1)</f>
        <v>#N/A</v>
      </c>
      <c r="D64" s="3189" t="s">
        <v>681</v>
      </c>
      <c r="E64" s="785" t="s">
        <v>650</v>
      </c>
      <c r="F64" s="819" t="e">
        <f t="shared" ca="1" si="0"/>
        <v>#N/A</v>
      </c>
      <c r="I64" s="2410" t="s">
        <v>2376</v>
      </c>
      <c r="J64" s="2411">
        <v>50</v>
      </c>
      <c r="K64" s="2411">
        <v>35</v>
      </c>
      <c r="L64" s="2411">
        <v>60</v>
      </c>
      <c r="M64" s="3133">
        <v>0</v>
      </c>
      <c r="O64" s="2429" t="s">
        <v>2420</v>
      </c>
      <c r="P64" s="1592"/>
      <c r="Q64" s="1604"/>
      <c r="R64" s="1592"/>
    </row>
    <row r="65" spans="1:18" s="2060" customFormat="1" ht="15.75" thickBot="1">
      <c r="A65" s="1649" t="s">
        <v>1893</v>
      </c>
      <c r="B65" s="785" t="s">
        <v>667</v>
      </c>
      <c r="C65" s="53" t="e">
        <f ca="1">ROUND(C47*F65,1)</f>
        <v>#N/A</v>
      </c>
      <c r="D65" s="3189" t="s">
        <v>684</v>
      </c>
      <c r="E65" s="785" t="s">
        <v>650</v>
      </c>
      <c r="F65" s="795" t="e">
        <f t="shared" ca="1" si="0"/>
        <v>#N/A</v>
      </c>
      <c r="I65" s="2410" t="s">
        <v>2377</v>
      </c>
      <c r="J65" s="2411">
        <v>40</v>
      </c>
      <c r="K65" s="2411">
        <v>30</v>
      </c>
      <c r="L65" s="2411">
        <v>50</v>
      </c>
      <c r="M65" s="3132">
        <v>0.02</v>
      </c>
      <c r="O65" s="2420" t="s">
        <v>2380</v>
      </c>
      <c r="P65" s="2421" t="s">
        <v>2381</v>
      </c>
      <c r="Q65" s="2422" t="s">
        <v>2382</v>
      </c>
      <c r="R65" s="2421" t="s">
        <v>2383</v>
      </c>
    </row>
    <row r="66" spans="1:18" s="2060" customFormat="1" ht="24.75" thickBot="1">
      <c r="A66" s="798" t="s">
        <v>1778</v>
      </c>
      <c r="B66" s="3038" t="s">
        <v>2830</v>
      </c>
      <c r="C66" s="800" t="e">
        <f ca="1">C47-C57</f>
        <v>#N/A</v>
      </c>
      <c r="D66" s="3190" t="s">
        <v>701</v>
      </c>
      <c r="E66" s="3193"/>
      <c r="F66" s="821"/>
      <c r="K66" s="2087"/>
      <c r="O66" s="2423" t="s">
        <v>2384</v>
      </c>
      <c r="P66" s="2424" t="s">
        <v>2410</v>
      </c>
      <c r="Q66" s="2425" t="e">
        <f ca="1">C40+J29</f>
        <v>#N/A</v>
      </c>
      <c r="R66" s="2424" t="s">
        <v>2385</v>
      </c>
    </row>
    <row r="67" spans="1:18" s="2060" customFormat="1" ht="20.25" thickBot="1">
      <c r="A67" s="782" t="s">
        <v>1782</v>
      </c>
      <c r="B67" s="2233" t="s">
        <v>2305</v>
      </c>
      <c r="C67" s="784" t="e">
        <f ca="1">ROUND(C66*(1-((1+F69)/(1+F67))^F68)/(F67-F69),0)</f>
        <v>#N/A</v>
      </c>
      <c r="D67" s="815" t="s">
        <v>705</v>
      </c>
      <c r="E67" s="785" t="s">
        <v>706</v>
      </c>
      <c r="F67" s="795" t="e">
        <f ca="1">F40</f>
        <v>#N/A</v>
      </c>
      <c r="K67" s="2087"/>
      <c r="O67" s="2423" t="s">
        <v>2386</v>
      </c>
      <c r="P67" s="2424" t="s">
        <v>2417</v>
      </c>
      <c r="Q67" s="2425" t="e">
        <f ca="1">L60</f>
        <v>#N/A</v>
      </c>
      <c r="R67" s="2428" t="s">
        <v>2419</v>
      </c>
    </row>
    <row r="68" spans="1:18" ht="21.75" thickBot="1">
      <c r="A68" s="787"/>
      <c r="B68" s="788"/>
      <c r="C68" s="789"/>
      <c r="D68" s="822" t="s">
        <v>1810</v>
      </c>
      <c r="E68" s="785" t="s">
        <v>709</v>
      </c>
      <c r="F68" s="823" t="e">
        <f ca="1">F41</f>
        <v>#N/A</v>
      </c>
      <c r="O68" s="2426" t="s">
        <v>2388</v>
      </c>
      <c r="P68" s="2424" t="s">
        <v>2418</v>
      </c>
      <c r="Q68" s="2430" t="e">
        <f ca="1">L51</f>
        <v>#N/A</v>
      </c>
      <c r="R68" s="2431" t="s">
        <v>2421</v>
      </c>
    </row>
    <row r="69" spans="1:18" ht="20.25" thickBot="1">
      <c r="A69" s="791"/>
      <c r="B69" s="792"/>
      <c r="C69" s="793"/>
      <c r="D69" s="817"/>
      <c r="E69" s="785" t="s">
        <v>711</v>
      </c>
      <c r="F69" s="2372"/>
      <c r="O69" s="2426" t="s">
        <v>2389</v>
      </c>
      <c r="P69" s="2432" t="s">
        <v>2403</v>
      </c>
      <c r="Q69" s="2425" t="e">
        <f ca="1">ROUND(Q70-Q71*Q72,0)</f>
        <v>#N/A</v>
      </c>
      <c r="R69" s="2428"/>
    </row>
    <row r="70" spans="1:18" ht="15.75" thickBot="1">
      <c r="A70" s="824" t="s">
        <v>1789</v>
      </c>
      <c r="B70" s="825" t="s">
        <v>1812</v>
      </c>
      <c r="C70" s="826" t="e">
        <f ca="1">ROUND(C67*10000/F70,0)</f>
        <v>#N/A</v>
      </c>
      <c r="D70" s="827" t="s">
        <v>1813</v>
      </c>
      <c r="E70" s="828" t="s">
        <v>1814</v>
      </c>
      <c r="F70" s="829" t="e">
        <f ca="1">F43</f>
        <v>#N/A</v>
      </c>
      <c r="O70" s="2426" t="s">
        <v>2404</v>
      </c>
      <c r="P70" s="2432" t="s">
        <v>2405</v>
      </c>
      <c r="Q70" s="2425" t="e">
        <f ca="1">C39</f>
        <v>#N/A</v>
      </c>
      <c r="R70" s="2424" t="s">
        <v>2385</v>
      </c>
    </row>
    <row r="71" spans="1:18" ht="15.75" thickBot="1">
      <c r="O71" s="2426" t="s">
        <v>2406</v>
      </c>
      <c r="P71" s="2432" t="s">
        <v>2407</v>
      </c>
      <c r="Q71" s="2425" t="e">
        <f ca="1">C13</f>
        <v>#N/A</v>
      </c>
      <c r="R71" s="2424" t="s">
        <v>2385</v>
      </c>
    </row>
    <row r="72" spans="1:18" ht="15.75" thickBot="1">
      <c r="O72" s="2426" t="s">
        <v>2408</v>
      </c>
      <c r="P72" s="2432" t="s">
        <v>2409</v>
      </c>
      <c r="Q72" s="2427" t="e">
        <f ca="1">J36</f>
        <v>#N/A</v>
      </c>
      <c r="R72" s="2428"/>
    </row>
    <row r="73" spans="1:18" ht="15.75" thickBot="1">
      <c r="O73" s="2426" t="s">
        <v>2391</v>
      </c>
      <c r="P73" s="2424" t="s">
        <v>2398</v>
      </c>
      <c r="Q73" s="2427">
        <f>L52</f>
        <v>0</v>
      </c>
      <c r="R73" s="2428"/>
    </row>
    <row r="74" spans="1:18" ht="20.25" thickBot="1">
      <c r="O74" s="2426" t="s">
        <v>2393</v>
      </c>
      <c r="P74" s="2424" t="s">
        <v>2399</v>
      </c>
      <c r="Q74" s="2425" t="e">
        <f ca="1">L58</f>
        <v>#N/A</v>
      </c>
      <c r="R74" s="2428" t="s">
        <v>2400</v>
      </c>
    </row>
    <row r="75" spans="1:18" ht="15.75" thickBot="1">
      <c r="O75" s="2426" t="s">
        <v>2422</v>
      </c>
      <c r="P75" s="2424" t="str">
        <f>K59</f>
        <v>建设期及建筑物耐用年限下的土地年期修正系数Kn</v>
      </c>
      <c r="Q75" s="2425" t="e">
        <f ca="1">L59</f>
        <v>#N/A</v>
      </c>
      <c r="R75" s="2428" t="s">
        <v>2402</v>
      </c>
    </row>
    <row r="76" spans="1:18" ht="15.75" thickBot="1">
      <c r="O76" s="2423" t="s">
        <v>2396</v>
      </c>
      <c r="P76" s="2424" t="s">
        <v>2413</v>
      </c>
      <c r="Q76" s="2425" t="e">
        <f ca="1">Q66+Q67</f>
        <v>#N/A</v>
      </c>
      <c r="R76" s="242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2478</v>
      </c>
      <c r="B1" s="3476"/>
      <c r="C1" s="3477"/>
      <c r="D1" s="3478">
        <f>SUM(I10,I15,I20,I21,I23)</f>
        <v>0</v>
      </c>
      <c r="E1" s="3478"/>
      <c r="F1" s="3478"/>
      <c r="G1" s="3478"/>
      <c r="H1" s="3478"/>
      <c r="I1" s="3479"/>
    </row>
    <row r="2" spans="1:9">
      <c r="A2" s="3480" t="s">
        <v>2479</v>
      </c>
      <c r="B2" s="3481" t="s">
        <v>2480</v>
      </c>
      <c r="C2" s="3481"/>
      <c r="D2" s="2532" t="s">
        <v>2481</v>
      </c>
      <c r="E2" s="2532" t="s">
        <v>2482</v>
      </c>
      <c r="F2" s="2532" t="s">
        <v>2483</v>
      </c>
      <c r="G2" s="2532" t="s">
        <v>2484</v>
      </c>
      <c r="H2" s="2532" t="s">
        <v>2485</v>
      </c>
      <c r="I2" s="2533" t="s">
        <v>2486</v>
      </c>
    </row>
    <row r="3" spans="1:9">
      <c r="A3" s="3480"/>
      <c r="B3" s="3481" t="s">
        <v>2487</v>
      </c>
      <c r="C3" s="3481"/>
      <c r="D3" s="2534"/>
      <c r="E3" s="2532"/>
      <c r="F3" s="2535"/>
      <c r="G3" s="2535"/>
      <c r="H3" s="2536"/>
      <c r="I3" s="2537">
        <f>ROUND(D3*E3*F3*G3*H3/10000,0)</f>
        <v>0</v>
      </c>
    </row>
    <row r="4" spans="1:9">
      <c r="A4" s="3480"/>
      <c r="B4" s="3481" t="s">
        <v>2488</v>
      </c>
      <c r="C4" s="3481"/>
      <c r="D4" s="2534"/>
      <c r="E4" s="2532"/>
      <c r="F4" s="2535"/>
      <c r="G4" s="2535"/>
      <c r="H4" s="2536"/>
      <c r="I4" s="2537">
        <f t="shared" ref="I4:I9" si="0">ROUND(D4*E4*F4*G4*H4/10000,0)</f>
        <v>0</v>
      </c>
    </row>
    <row r="5" spans="1:9">
      <c r="A5" s="3480"/>
      <c r="B5" s="3481" t="s">
        <v>2489</v>
      </c>
      <c r="C5" s="3481"/>
      <c r="D5" s="2534"/>
      <c r="E5" s="2532"/>
      <c r="F5" s="2535"/>
      <c r="G5" s="2535"/>
      <c r="H5" s="2536"/>
      <c r="I5" s="2537">
        <f t="shared" si="0"/>
        <v>0</v>
      </c>
    </row>
    <row r="6" spans="1:9">
      <c r="A6" s="3480"/>
      <c r="B6" s="3481" t="s">
        <v>2490</v>
      </c>
      <c r="C6" s="3481"/>
      <c r="D6" s="2534"/>
      <c r="E6" s="2532"/>
      <c r="F6" s="2535"/>
      <c r="G6" s="2535"/>
      <c r="H6" s="2536"/>
      <c r="I6" s="2537">
        <f t="shared" si="0"/>
        <v>0</v>
      </c>
    </row>
    <row r="7" spans="1:9">
      <c r="A7" s="3480"/>
      <c r="B7" s="3481" t="s">
        <v>2491</v>
      </c>
      <c r="C7" s="3481"/>
      <c r="D7" s="2534"/>
      <c r="E7" s="2532"/>
      <c r="F7" s="2535"/>
      <c r="G7" s="2535"/>
      <c r="H7" s="2536"/>
      <c r="I7" s="2537">
        <f t="shared" si="0"/>
        <v>0</v>
      </c>
    </row>
    <row r="8" spans="1:9">
      <c r="A8" s="3480"/>
      <c r="B8" s="3481" t="s">
        <v>2492</v>
      </c>
      <c r="C8" s="3481"/>
      <c r="D8" s="2534"/>
      <c r="E8" s="2532"/>
      <c r="F8" s="2535"/>
      <c r="G8" s="2535"/>
      <c r="H8" s="2536"/>
      <c r="I8" s="2537">
        <f t="shared" si="0"/>
        <v>0</v>
      </c>
    </row>
    <row r="9" spans="1:9">
      <c r="A9" s="3480"/>
      <c r="B9" s="3481" t="s">
        <v>2493</v>
      </c>
      <c r="C9" s="3481"/>
      <c r="D9" s="2534"/>
      <c r="E9" s="2532"/>
      <c r="F9" s="2535"/>
      <c r="G9" s="2535"/>
      <c r="H9" s="2536"/>
      <c r="I9" s="2537">
        <f t="shared" si="0"/>
        <v>0</v>
      </c>
    </row>
    <row r="10" spans="1:9">
      <c r="A10" s="3480"/>
      <c r="B10" s="3482" t="s">
        <v>2494</v>
      </c>
      <c r="C10" s="3482"/>
      <c r="D10" s="2538">
        <v>527</v>
      </c>
      <c r="E10" s="2538" t="e">
        <f>ROUND(D1*10000/D10/H9,0)</f>
        <v>#DIV/0!</v>
      </c>
      <c r="F10" s="2539"/>
      <c r="G10" s="2539"/>
      <c r="H10" s="2540"/>
      <c r="I10" s="2541">
        <f>SUM(I3:I9)</f>
        <v>0</v>
      </c>
    </row>
    <row r="11" spans="1:9" ht="14.25">
      <c r="A11" s="3480" t="s">
        <v>2495</v>
      </c>
      <c r="B11" s="3481" t="s">
        <v>2496</v>
      </c>
      <c r="C11" s="3481"/>
      <c r="D11" s="2534" t="s">
        <v>2497</v>
      </c>
      <c r="E11" s="2534" t="s">
        <v>2498</v>
      </c>
      <c r="F11" s="2535" t="s">
        <v>2499</v>
      </c>
      <c r="G11" s="2535" t="s">
        <v>2500</v>
      </c>
      <c r="H11" s="2542" t="s">
        <v>2501</v>
      </c>
      <c r="I11" s="2533" t="s">
        <v>2502</v>
      </c>
    </row>
    <row r="12" spans="1:9">
      <c r="A12" s="3480"/>
      <c r="B12" s="3481" t="s">
        <v>2503</v>
      </c>
      <c r="C12" s="3481"/>
      <c r="D12" s="2534"/>
      <c r="E12" s="2534"/>
      <c r="F12" s="2535"/>
      <c r="G12" s="2536"/>
      <c r="H12" s="2543"/>
      <c r="I12" s="2533">
        <f>ROUND(D12*E12*F12*G12/10000,0)</f>
        <v>0</v>
      </c>
    </row>
    <row r="13" spans="1:9">
      <c r="A13" s="3480"/>
      <c r="B13" s="3481" t="s">
        <v>2504</v>
      </c>
      <c r="C13" s="3481"/>
      <c r="D13" s="2534"/>
      <c r="E13" s="2534"/>
      <c r="F13" s="2535"/>
      <c r="G13" s="2536"/>
      <c r="H13" s="2543"/>
      <c r="I13" s="2533">
        <f>ROUND(D13*E13*F13*G13/10000,0)</f>
        <v>0</v>
      </c>
    </row>
    <row r="14" spans="1:9">
      <c r="A14" s="3480"/>
      <c r="B14" s="3481" t="s">
        <v>2505</v>
      </c>
      <c r="C14" s="3481"/>
      <c r="D14" s="2534"/>
      <c r="E14" s="2534"/>
      <c r="F14" s="2535"/>
      <c r="G14" s="2536"/>
      <c r="H14" s="2543"/>
      <c r="I14" s="2533">
        <f>ROUND(D14*E14*F14*G14/10000,0)</f>
        <v>0</v>
      </c>
    </row>
    <row r="15" spans="1:9">
      <c r="A15" s="3480"/>
      <c r="B15" s="3482" t="s">
        <v>2494</v>
      </c>
      <c r="C15" s="3482"/>
      <c r="D15" s="2538"/>
      <c r="E15" s="2538">
        <f>SUM(E12:E14)</f>
        <v>0</v>
      </c>
      <c r="F15" s="2539"/>
      <c r="G15" s="2536"/>
      <c r="H15" s="2543"/>
      <c r="I15" s="2544">
        <f>SUM(I12:I14)</f>
        <v>0</v>
      </c>
    </row>
    <row r="16" spans="1:9" ht="24">
      <c r="A16" s="3480" t="s">
        <v>2506</v>
      </c>
      <c r="B16" s="3481" t="s">
        <v>2507</v>
      </c>
      <c r="C16" s="3481"/>
      <c r="D16" s="2534" t="s">
        <v>2508</v>
      </c>
      <c r="E16" s="2545" t="s">
        <v>2509</v>
      </c>
      <c r="F16" s="2535" t="s">
        <v>2510</v>
      </c>
      <c r="G16" s="2536" t="s">
        <v>2500</v>
      </c>
      <c r="H16" s="2542" t="s">
        <v>2501</v>
      </c>
      <c r="I16" s="2533" t="s">
        <v>2502</v>
      </c>
    </row>
    <row r="17" spans="1:9" ht="14.25">
      <c r="A17" s="3480"/>
      <c r="B17" s="3481" t="s">
        <v>2511</v>
      </c>
      <c r="C17" s="3481"/>
      <c r="D17" s="2534"/>
      <c r="E17" s="2534"/>
      <c r="F17" s="2535"/>
      <c r="G17" s="2536"/>
      <c r="H17" s="2546"/>
      <c r="I17" s="2547">
        <f>ROUND(D17*E17*F17*G17/10000,0)</f>
        <v>0</v>
      </c>
    </row>
    <row r="18" spans="1:9" ht="14.25">
      <c r="A18" s="3480"/>
      <c r="B18" s="3481" t="s">
        <v>2512</v>
      </c>
      <c r="C18" s="3481"/>
      <c r="D18" s="2534"/>
      <c r="E18" s="2534"/>
      <c r="F18" s="2535"/>
      <c r="G18" s="2536"/>
      <c r="H18" s="2546"/>
      <c r="I18" s="2547">
        <f>ROUND(D18*E18*F18*G18/10000,0)</f>
        <v>0</v>
      </c>
    </row>
    <row r="19" spans="1:9" ht="14.25">
      <c r="A19" s="3480"/>
      <c r="B19" s="3481" t="s">
        <v>2513</v>
      </c>
      <c r="C19" s="3481"/>
      <c r="D19" s="2534"/>
      <c r="E19" s="2534"/>
      <c r="F19" s="2535"/>
      <c r="G19" s="2536"/>
      <c r="H19" s="2546"/>
      <c r="I19" s="2547">
        <f>ROUND(D19*E19*F19*G19/10000,0)</f>
        <v>0</v>
      </c>
    </row>
    <row r="20" spans="1:9">
      <c r="A20" s="3480"/>
      <c r="B20" s="3482" t="s">
        <v>2494</v>
      </c>
      <c r="C20" s="3482"/>
      <c r="D20" s="2538">
        <f>SUM(D17:D19)</f>
        <v>0</v>
      </c>
      <c r="E20" s="2538"/>
      <c r="F20" s="2539"/>
      <c r="G20" s="2536"/>
      <c r="H20" s="2543"/>
      <c r="I20" s="2544">
        <f>SUM(I17:I19)</f>
        <v>0</v>
      </c>
    </row>
    <row r="21" spans="1:9">
      <c r="A21" s="3480" t="s">
        <v>2514</v>
      </c>
      <c r="B21" s="3484"/>
      <c r="C21" s="3484"/>
      <c r="D21" s="3484"/>
      <c r="E21" s="3484"/>
      <c r="F21" s="3484"/>
      <c r="G21" s="3484"/>
      <c r="H21" s="2548">
        <v>0.1</v>
      </c>
      <c r="I21" s="2541">
        <f>ROUND(I10*H21,0)</f>
        <v>0</v>
      </c>
    </row>
    <row r="22" spans="1:9" ht="14.25">
      <c r="A22" s="3485" t="s">
        <v>2515</v>
      </c>
      <c r="B22" s="3486"/>
      <c r="C22" s="3487"/>
      <c r="D22" s="2549" t="s">
        <v>2516</v>
      </c>
      <c r="E22" s="2549" t="s">
        <v>2517</v>
      </c>
      <c r="F22" s="2550" t="s">
        <v>2518</v>
      </c>
      <c r="G22" s="2550" t="s">
        <v>2519</v>
      </c>
      <c r="H22" s="2542" t="s">
        <v>2520</v>
      </c>
      <c r="I22" s="2533" t="s">
        <v>2521</v>
      </c>
    </row>
    <row r="23" spans="1:9" ht="14.25" thickBot="1">
      <c r="A23" s="3488"/>
      <c r="B23" s="3489"/>
      <c r="C23" s="3490"/>
      <c r="D23" s="2551"/>
      <c r="E23" s="2551"/>
      <c r="F23" s="2551"/>
      <c r="G23" s="2552"/>
      <c r="H23" s="2553"/>
      <c r="I23" s="2554">
        <f>ROUND(E23*D23*F23*(1-G23)/10000,0)</f>
        <v>0</v>
      </c>
    </row>
    <row r="26" spans="1:9">
      <c r="A26" s="2555" t="s">
        <v>2522</v>
      </c>
      <c r="B26" s="2555"/>
      <c r="C26" s="2555"/>
      <c r="D26" s="2555"/>
      <c r="E26" s="3491">
        <f>C27-C30-C31-C32</f>
        <v>0</v>
      </c>
      <c r="F26" s="3491"/>
      <c r="G26" s="3491"/>
      <c r="H26" s="3070" t="s">
        <v>2851</v>
      </c>
    </row>
    <row r="27" spans="1:9">
      <c r="A27" s="2556">
        <v>1</v>
      </c>
      <c r="B27" s="2557" t="s">
        <v>2523</v>
      </c>
      <c r="C27" s="2557"/>
      <c r="D27" s="2557"/>
      <c r="E27" s="3492"/>
      <c r="F27" s="3492"/>
      <c r="G27" s="3492"/>
    </row>
    <row r="28" spans="1:9">
      <c r="A28" s="2558" t="s">
        <v>2524</v>
      </c>
      <c r="B28" s="2557" t="s">
        <v>2525</v>
      </c>
      <c r="C28" s="2557"/>
      <c r="D28" s="2557"/>
      <c r="E28" s="3492"/>
      <c r="F28" s="3492"/>
      <c r="G28" s="3492"/>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483"/>
      <c r="F32" s="3483"/>
      <c r="G32" s="3483"/>
    </row>
    <row r="33" spans="1:7" hidden="1">
      <c r="A33" s="3493" t="s">
        <v>2533</v>
      </c>
      <c r="B33" s="3494"/>
      <c r="C33" s="3494"/>
      <c r="D33" s="3495"/>
      <c r="E33" s="3491"/>
      <c r="F33" s="3491"/>
      <c r="G33" s="3491"/>
    </row>
    <row r="34" spans="1:7" hidden="1">
      <c r="A34" s="2560">
        <v>1</v>
      </c>
      <c r="B34" s="2557" t="s">
        <v>2534</v>
      </c>
      <c r="C34" s="2557"/>
      <c r="D34" s="2557"/>
      <c r="E34" s="3492"/>
      <c r="F34" s="3492"/>
      <c r="G34" s="3492"/>
    </row>
    <row r="35" spans="1:7" hidden="1">
      <c r="A35" s="2560">
        <v>2</v>
      </c>
      <c r="B35" s="2557" t="s">
        <v>2535</v>
      </c>
      <c r="C35" s="2557"/>
      <c r="D35" s="2557"/>
      <c r="E35" s="3492"/>
      <c r="F35" s="3492"/>
      <c r="G35" s="3492"/>
    </row>
    <row r="36" spans="1:7" hidden="1">
      <c r="A36" s="2560">
        <v>3</v>
      </c>
      <c r="B36" s="2557" t="s">
        <v>2536</v>
      </c>
      <c r="C36" s="2557"/>
      <c r="D36" s="2557"/>
      <c r="E36" s="3492"/>
      <c r="F36" s="3492"/>
      <c r="G36" s="3492"/>
    </row>
    <row r="37" spans="1:7" hidden="1">
      <c r="A37" s="2560">
        <v>4</v>
      </c>
      <c r="B37" s="2557" t="s">
        <v>2537</v>
      </c>
      <c r="C37" s="2557"/>
      <c r="D37" s="2557"/>
      <c r="E37" s="3492"/>
      <c r="F37" s="3492"/>
      <c r="G37" s="3492"/>
    </row>
    <row r="38" spans="1:7" hidden="1">
      <c r="A38" s="3493" t="s">
        <v>2538</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2" t="s">
        <v>604</v>
      </c>
      <c r="B1" s="743"/>
      <c r="C1" s="2183"/>
      <c r="D1" s="2183"/>
      <c r="E1" s="2183"/>
      <c r="F1" s="2183"/>
      <c r="G1" s="2109"/>
    </row>
    <row r="2" spans="1:25" s="2060" customFormat="1" ht="18" customHeight="1">
      <c r="A2" s="424" t="s">
        <v>467</v>
      </c>
      <c r="B2" s="426">
        <f ca="1">C23</f>
        <v>0</v>
      </c>
      <c r="C2" s="2109"/>
      <c r="D2" s="2109"/>
      <c r="E2" s="2109"/>
      <c r="F2" s="2109"/>
      <c r="G2" s="2109"/>
    </row>
    <row r="3" spans="1:25" s="2060" customFormat="1" ht="18" customHeight="1">
      <c r="A3" s="1379" t="s">
        <v>1687</v>
      </c>
      <c r="B3" s="426">
        <f ca="1">ROUND(B2*10000/'数据-汇总表'!E3,0)</f>
        <v>0</v>
      </c>
      <c r="C3" s="2109"/>
      <c r="D3" s="2109"/>
      <c r="E3" s="2109"/>
      <c r="F3" s="2109"/>
      <c r="G3" s="2109"/>
    </row>
    <row r="4" spans="1:25" s="2060" customFormat="1" ht="18" customHeight="1">
      <c r="A4" s="427" t="s">
        <v>468</v>
      </c>
      <c r="B4" s="428">
        <f ca="1">ROUND(B2*10000/'数据-汇总表'!D3,0)</f>
        <v>0</v>
      </c>
      <c r="C4" s="2062"/>
      <c r="D4" s="2109"/>
      <c r="E4" s="2109"/>
      <c r="F4" s="2109"/>
      <c r="G4" s="2109"/>
    </row>
    <row r="5" spans="1:25" s="2060" customFormat="1" ht="18" customHeight="1" thickBot="1">
      <c r="A5" s="430"/>
      <c r="B5" s="431">
        <f ca="1">ROUND(B2/('数据-汇总表'!D3/666.67),0)</f>
        <v>0</v>
      </c>
      <c r="C5" s="432" t="s">
        <v>469</v>
      </c>
      <c r="D5" s="2109"/>
      <c r="E5" s="2109"/>
      <c r="F5" s="2109"/>
      <c r="G5" s="2109"/>
    </row>
    <row r="6" spans="1:25" s="2184" customFormat="1" ht="13.5" customHeight="1">
      <c r="A6" s="744"/>
      <c r="B6" s="745" t="s">
        <v>605</v>
      </c>
      <c r="C6" s="746" t="s">
        <v>606</v>
      </c>
      <c r="D6" s="746" t="s">
        <v>607</v>
      </c>
      <c r="E6" s="747" t="s">
        <v>608</v>
      </c>
      <c r="F6" s="747" t="s">
        <v>609</v>
      </c>
      <c r="G6" s="748"/>
    </row>
    <row r="7" spans="1:25" s="2184" customFormat="1" ht="13.5" customHeight="1">
      <c r="A7" s="2494">
        <v>1</v>
      </c>
      <c r="B7" s="749" t="s">
        <v>610</v>
      </c>
      <c r="C7" s="750">
        <f>C8+C9</f>
        <v>0</v>
      </c>
      <c r="D7" s="750"/>
      <c r="E7" s="751"/>
      <c r="F7" s="751"/>
      <c r="G7" s="2504"/>
    </row>
    <row r="8" spans="1:25" s="2184" customFormat="1" ht="13.5" customHeight="1">
      <c r="A8" s="2494" t="s">
        <v>2445</v>
      </c>
      <c r="B8" s="2497" t="s">
        <v>2447</v>
      </c>
      <c r="C8" s="2498"/>
      <c r="D8" s="750"/>
      <c r="E8" s="751"/>
      <c r="F8" s="751"/>
      <c r="G8" s="752"/>
    </row>
    <row r="9" spans="1:25" s="2184" customFormat="1" ht="13.5" customHeight="1">
      <c r="A9" s="2494" t="s">
        <v>2446</v>
      </c>
      <c r="B9" s="2497" t="s">
        <v>2448</v>
      </c>
      <c r="C9" s="2498"/>
      <c r="D9" s="750"/>
      <c r="E9" s="751"/>
      <c r="F9" s="751"/>
      <c r="G9" s="752"/>
    </row>
    <row r="10" spans="1:25" s="2184" customFormat="1" ht="36">
      <c r="A10" s="2494">
        <v>2</v>
      </c>
      <c r="B10" s="749" t="s">
        <v>614</v>
      </c>
      <c r="C10" s="750">
        <f>C11+C14+C15</f>
        <v>0</v>
      </c>
      <c r="D10" s="761">
        <f>'数据-汇总表'!E3</f>
        <v>113662.12</v>
      </c>
      <c r="E10" s="750">
        <f>'数据-取费表'!B31</f>
        <v>150</v>
      </c>
      <c r="F10" s="762"/>
      <c r="G10" s="760" t="s">
        <v>615</v>
      </c>
    </row>
    <row r="11" spans="1:25" s="2184" customFormat="1" ht="13.5" customHeight="1">
      <c r="A11" s="2494" t="s">
        <v>2445</v>
      </c>
      <c r="B11" s="753" t="s">
        <v>611</v>
      </c>
      <c r="C11" s="754">
        <f>'数据-取费表'!B29</f>
        <v>0</v>
      </c>
      <c r="D11" s="755"/>
      <c r="E11" s="754"/>
      <c r="F11" s="756"/>
      <c r="G11" s="2503" t="s">
        <v>2456</v>
      </c>
    </row>
    <row r="12" spans="1:25" s="2184" customFormat="1" ht="13.5" customHeight="1">
      <c r="A12" s="2501" t="s">
        <v>2453</v>
      </c>
      <c r="B12" s="757" t="s">
        <v>612</v>
      </c>
      <c r="C12" s="758">
        <f>ROUND(D12*E12/10000,0)</f>
        <v>1705</v>
      </c>
      <c r="D12" s="759">
        <f>'数据-汇总表'!E5</f>
        <v>113662.12</v>
      </c>
      <c r="E12" s="758">
        <f>'数据-取费表'!B27</f>
        <v>150</v>
      </c>
      <c r="F12" s="756"/>
      <c r="G12" s="760"/>
    </row>
    <row r="13" spans="1:25" s="2184" customFormat="1" ht="13.5" customHeight="1">
      <c r="A13" s="2501" t="s">
        <v>2452</v>
      </c>
      <c r="B13" s="757" t="s">
        <v>613</v>
      </c>
      <c r="C13" s="758">
        <f>ROUND(D13*E13/10000,0)</f>
        <v>0</v>
      </c>
      <c r="D13" s="759">
        <f>'数据-汇总表'!E6</f>
        <v>0</v>
      </c>
      <c r="E13" s="758">
        <f>'数据-取费表'!B28</f>
        <v>220</v>
      </c>
      <c r="F13" s="756"/>
      <c r="G13" s="760"/>
    </row>
    <row r="14" spans="1:25" s="2184" customFormat="1" ht="13.5" customHeight="1">
      <c r="A14" s="2494" t="s">
        <v>2446</v>
      </c>
      <c r="B14" s="2500" t="s">
        <v>2449</v>
      </c>
      <c r="C14" s="2498"/>
      <c r="D14" s="759"/>
      <c r="E14" s="758"/>
      <c r="F14" s="2499"/>
      <c r="G14" s="2502" t="s">
        <v>2454</v>
      </c>
    </row>
    <row r="15" spans="1:25" s="2184" customFormat="1" ht="13.5" customHeight="1">
      <c r="A15" s="2494" t="s">
        <v>2451</v>
      </c>
      <c r="B15" s="2500" t="s">
        <v>2450</v>
      </c>
      <c r="C15" s="2498"/>
      <c r="D15" s="759"/>
      <c r="E15" s="758"/>
      <c r="F15" s="2499"/>
      <c r="G15" s="2502" t="s">
        <v>2455</v>
      </c>
    </row>
    <row r="16" spans="1:25" s="2185" customFormat="1" ht="48">
      <c r="A16" s="2494">
        <v>3</v>
      </c>
      <c r="B16" s="749" t="s">
        <v>616</v>
      </c>
      <c r="C16" s="2498"/>
      <c r="D16" s="761"/>
      <c r="E16" s="750"/>
      <c r="F16" s="762"/>
      <c r="G16" s="760"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9" t="s">
        <v>617</v>
      </c>
      <c r="C17" s="2598">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9" t="s">
        <v>618</v>
      </c>
      <c r="C18" s="750">
        <f>ROUND((C7+C10+C16)*F18,0)</f>
        <v>0</v>
      </c>
      <c r="D18" s="763"/>
      <c r="E18" s="764"/>
      <c r="F18" s="762">
        <f>'数据-取费表'!Q16</f>
        <v>0.05</v>
      </c>
      <c r="G18" s="766"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9" t="s">
        <v>620</v>
      </c>
      <c r="C19" s="750">
        <f ca="1">C7+C10+C16+C17+C18</f>
        <v>0</v>
      </c>
      <c r="D19" s="761"/>
      <c r="E19" s="750"/>
      <c r="F19" s="762"/>
      <c r="G19" s="766"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9" t="s">
        <v>622</v>
      </c>
      <c r="C20" s="750">
        <f ca="1">ROUND(C19*F20,0)</f>
        <v>0</v>
      </c>
      <c r="D20" s="761"/>
      <c r="E20" s="750"/>
      <c r="F20" s="1349"/>
      <c r="G20" s="766"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9" t="s">
        <v>624</v>
      </c>
      <c r="C21" s="750">
        <f ca="1">C19+C20</f>
        <v>0</v>
      </c>
      <c r="D21" s="761"/>
      <c r="E21" s="750"/>
      <c r="F21" s="762"/>
      <c r="G21" s="766"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9" t="s">
        <v>626</v>
      </c>
      <c r="C22" s="750">
        <f ca="1">ROUND(C21*F22,0)</f>
        <v>0</v>
      </c>
      <c r="D22" s="761"/>
      <c r="E22" s="750"/>
      <c r="F22" s="767">
        <f>'数据-取费表'!AP16</f>
        <v>0.95099999999999996</v>
      </c>
      <c r="G22" s="766"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8" t="s">
        <v>628</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71"/>
      <c r="E1" s="507"/>
      <c r="F1" s="2834"/>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520</v>
      </c>
      <c r="B3" s="511" t="e">
        <f>C49</f>
        <v>#DIV/0!</v>
      </c>
      <c r="C3" s="853" t="s">
        <v>723</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9"/>
    </row>
    <row r="4" spans="1:29" ht="15">
      <c r="A4" s="513" t="s">
        <v>522</v>
      </c>
      <c r="B4" s="514"/>
      <c r="C4" s="3385" t="s">
        <v>523</v>
      </c>
      <c r="D4" s="3386"/>
      <c r="E4" s="3420" t="s">
        <v>524</v>
      </c>
      <c r="F4" s="3421"/>
      <c r="G4" s="3385" t="s">
        <v>525</v>
      </c>
      <c r="H4" s="3386"/>
      <c r="I4" s="3385" t="s">
        <v>526</v>
      </c>
      <c r="J4" s="3386"/>
      <c r="K4" s="515" t="s">
        <v>527</v>
      </c>
      <c r="L4" s="2134"/>
      <c r="M4" s="2135"/>
      <c r="N4" s="2135"/>
      <c r="O4" s="2135"/>
      <c r="P4" s="3387" t="s">
        <v>528</v>
      </c>
      <c r="Q4" s="3388"/>
      <c r="R4" s="3393" t="s">
        <v>524</v>
      </c>
      <c r="S4" s="3394"/>
      <c r="T4" s="3393" t="s">
        <v>525</v>
      </c>
      <c r="U4" s="3394"/>
      <c r="V4" s="3380" t="s">
        <v>526</v>
      </c>
      <c r="W4" s="3380"/>
      <c r="X4" s="1567"/>
      <c r="Y4" s="3393" t="s">
        <v>528</v>
      </c>
      <c r="Z4" s="3394"/>
      <c r="AA4" s="3382" t="s">
        <v>524</v>
      </c>
      <c r="AB4" s="3380" t="s">
        <v>525</v>
      </c>
      <c r="AC4" s="3382" t="s">
        <v>526</v>
      </c>
    </row>
    <row r="5" spans="1:29" ht="15">
      <c r="A5" s="516"/>
      <c r="B5" s="517"/>
      <c r="C5" s="3403" t="s">
        <v>2937</v>
      </c>
      <c r="D5" s="3402"/>
      <c r="E5" s="3422" t="s">
        <v>2938</v>
      </c>
      <c r="F5" s="3423"/>
      <c r="G5" s="3403" t="s">
        <v>2939</v>
      </c>
      <c r="H5" s="3402"/>
      <c r="I5" s="3403" t="s">
        <v>2940</v>
      </c>
      <c r="J5" s="3402"/>
      <c r="K5" s="515"/>
      <c r="L5" s="2134"/>
      <c r="M5" s="2135"/>
      <c r="N5" s="2135"/>
      <c r="O5" s="2135"/>
      <c r="P5" s="3389"/>
      <c r="Q5" s="3390"/>
      <c r="R5" s="3395"/>
      <c r="S5" s="3396"/>
      <c r="T5" s="3395"/>
      <c r="U5" s="3396"/>
      <c r="V5" s="3380"/>
      <c r="W5" s="3380"/>
      <c r="X5" s="1567"/>
      <c r="Y5" s="3395"/>
      <c r="Z5" s="3396"/>
      <c r="AA5" s="3383"/>
      <c r="AB5" s="3380"/>
      <c r="AC5" s="3383"/>
    </row>
    <row r="6" spans="1:29" ht="15.75" thickBot="1">
      <c r="A6" s="518"/>
      <c r="B6" s="519"/>
      <c r="C6" s="3399" t="s">
        <v>2941</v>
      </c>
      <c r="D6" s="3400"/>
      <c r="E6" s="3418" t="s">
        <v>2941</v>
      </c>
      <c r="F6" s="3419"/>
      <c r="G6" s="3399" t="s">
        <v>2941</v>
      </c>
      <c r="H6" s="3400"/>
      <c r="I6" s="3399" t="s">
        <v>2941</v>
      </c>
      <c r="J6" s="3400"/>
      <c r="K6" s="515" t="s">
        <v>529</v>
      </c>
      <c r="L6" s="2134"/>
      <c r="M6" s="2135"/>
      <c r="N6" s="2135"/>
      <c r="O6" s="2135"/>
      <c r="P6" s="3391"/>
      <c r="Q6" s="3392"/>
      <c r="R6" s="3395"/>
      <c r="S6" s="3396"/>
      <c r="T6" s="3397"/>
      <c r="U6" s="3398"/>
      <c r="V6" s="3380"/>
      <c r="W6" s="3380"/>
      <c r="X6" s="1567"/>
      <c r="Y6" s="3397"/>
      <c r="Z6" s="3398"/>
      <c r="AA6" s="3384"/>
      <c r="AB6" s="3380"/>
      <c r="AC6" s="3384"/>
    </row>
    <row r="7" spans="1:29" s="1220" customFormat="1" ht="15.75" thickBot="1">
      <c r="A7" s="2939"/>
      <c r="B7" s="2946" t="s">
        <v>530</v>
      </c>
      <c r="C7" s="520">
        <f>'数据-取费表'!B2</f>
        <v>43138</v>
      </c>
      <c r="D7" s="521">
        <v>100</v>
      </c>
      <c r="E7" s="522"/>
      <c r="F7" s="523">
        <f>SUMIF(58:58,YEAR(E7)&amp;"-"&amp;MONTH(E7),59:59)</f>
        <v>0</v>
      </c>
      <c r="G7" s="522"/>
      <c r="H7" s="521">
        <f>SUMIF(58:58,YEAR(G7)&amp;"-"&amp;MONTH(G7),59:59)</f>
        <v>0</v>
      </c>
      <c r="I7" s="522"/>
      <c r="J7" s="521">
        <f>SUMIF(58:58,YEAR(I7)&amp;"-"&amp;MONTH(I7),59:59)</f>
        <v>0</v>
      </c>
      <c r="K7" s="525"/>
      <c r="L7" s="2136"/>
      <c r="M7" s="2137"/>
      <c r="N7" s="2137"/>
      <c r="O7" s="2137"/>
      <c r="P7" s="3411" t="s">
        <v>531</v>
      </c>
      <c r="Q7" s="3413"/>
      <c r="R7" s="1568" t="s">
        <v>8</v>
      </c>
      <c r="S7" s="1569">
        <f t="shared" ref="S7:S15" si="0">F7</f>
        <v>0</v>
      </c>
      <c r="T7" s="1568" t="s">
        <v>8</v>
      </c>
      <c r="U7" s="1569">
        <f t="shared" ref="U7:U15" si="1">H7</f>
        <v>0</v>
      </c>
      <c r="V7" s="1568" t="s">
        <v>8</v>
      </c>
      <c r="W7" s="1569">
        <f t="shared" ref="W7:W15" si="2">J7</f>
        <v>0</v>
      </c>
      <c r="X7" s="1570"/>
      <c r="Y7" s="3411" t="s">
        <v>531</v>
      </c>
      <c r="Z7" s="3412"/>
      <c r="AA7" s="1571" t="e">
        <f>D7/F7</f>
        <v>#DIV/0!</v>
      </c>
      <c r="AB7" s="1571" t="e">
        <f>D7/H7</f>
        <v>#DIV/0!</v>
      </c>
      <c r="AC7" s="1571" t="e">
        <f>D7/J7</f>
        <v>#DIV/0!</v>
      </c>
    </row>
    <row r="8" spans="1:29" s="1220" customFormat="1" ht="15.75" thickBot="1">
      <c r="A8" s="2940"/>
      <c r="B8" s="2947" t="s">
        <v>532</v>
      </c>
      <c r="C8" s="526" t="s">
        <v>577</v>
      </c>
      <c r="D8" s="521">
        <v>100</v>
      </c>
      <c r="E8" s="526"/>
      <c r="F8" s="523">
        <f>SUMIF(61:61,E8,62:62)-SUMIF(61:61,C8,62:62)+100</f>
        <v>0</v>
      </c>
      <c r="G8" s="526"/>
      <c r="H8" s="521">
        <f>SUMIF(61:61,G8,62:62)-SUMIF(61:61,C8,62:62)+100</f>
        <v>0</v>
      </c>
      <c r="I8" s="526"/>
      <c r="J8" s="521">
        <f>SUMIF(61:61,I8,62:62)-SUMIF(61:61,C8,62:62)+100</f>
        <v>0</v>
      </c>
      <c r="K8" s="525"/>
      <c r="L8" s="2136"/>
      <c r="M8" s="2137"/>
      <c r="N8" s="2137"/>
      <c r="O8" s="2137"/>
      <c r="P8" s="3411" t="s">
        <v>534</v>
      </c>
      <c r="Q8" s="3412"/>
      <c r="R8" s="1568" t="s">
        <v>8</v>
      </c>
      <c r="S8" s="1569">
        <f t="shared" si="0"/>
        <v>0</v>
      </c>
      <c r="T8" s="1568" t="s">
        <v>8</v>
      </c>
      <c r="U8" s="1569">
        <f t="shared" si="1"/>
        <v>0</v>
      </c>
      <c r="V8" s="1568" t="s">
        <v>8</v>
      </c>
      <c r="W8" s="1569">
        <f t="shared" si="2"/>
        <v>0</v>
      </c>
      <c r="X8" s="1570"/>
      <c r="Y8" s="3411" t="s">
        <v>534</v>
      </c>
      <c r="Z8" s="3412"/>
      <c r="AA8" s="1571" t="e">
        <f t="shared" ref="AA8:AA46" si="3">D8/F8</f>
        <v>#DIV/0!</v>
      </c>
      <c r="AB8" s="1571" t="e">
        <f t="shared" ref="AB8:AB46" si="4">D8/H8</f>
        <v>#DIV/0!</v>
      </c>
      <c r="AC8" s="1571" t="e">
        <f t="shared" ref="AC8:AC46" si="5">D8/J8</f>
        <v>#DIV/0!</v>
      </c>
    </row>
    <row r="9" spans="1:29" s="1220" customFormat="1" ht="15">
      <c r="A9" s="2941"/>
      <c r="B9" s="2948" t="s">
        <v>2764</v>
      </c>
      <c r="C9" s="858"/>
      <c r="D9" s="252">
        <v>100</v>
      </c>
      <c r="E9" s="861"/>
      <c r="F9" s="252">
        <f>SUMIF(63:63,E9,64:64)-SUMIF(63:63,C9,64:64)+100</f>
        <v>100</v>
      </c>
      <c r="G9" s="859"/>
      <c r="H9" s="252">
        <f>SUMIF(63:63,G9,64:64)-SUMIF(63:63,C9,64:64)+100</f>
        <v>100</v>
      </c>
      <c r="I9" s="859"/>
      <c r="J9" s="252">
        <f>SUMIF(63:63,I9,64:64)-SUMIF(63:63,C9,64:64)+100</f>
        <v>100</v>
      </c>
      <c r="K9" s="525"/>
      <c r="L9" s="2136"/>
      <c r="M9" s="2137"/>
      <c r="N9" s="2137"/>
      <c r="O9" s="2138"/>
      <c r="P9" s="3379" t="s">
        <v>536</v>
      </c>
      <c r="Q9" s="1151" t="str">
        <f t="shared" ref="Q9:Q15" si="6">B9</f>
        <v>用途</v>
      </c>
      <c r="R9" s="1568" t="s">
        <v>8</v>
      </c>
      <c r="S9" s="1569">
        <f t="shared" si="0"/>
        <v>100</v>
      </c>
      <c r="T9" s="1568" t="s">
        <v>8</v>
      </c>
      <c r="U9" s="1569">
        <f t="shared" si="1"/>
        <v>100</v>
      </c>
      <c r="V9" s="1568" t="s">
        <v>8</v>
      </c>
      <c r="W9" s="1569">
        <f t="shared" si="2"/>
        <v>100</v>
      </c>
      <c r="X9" s="1570"/>
      <c r="Y9" s="3325" t="s">
        <v>537</v>
      </c>
      <c r="Z9" s="1150" t="str">
        <f t="shared" ref="Z9:Z15" si="7">Q9</f>
        <v>用途</v>
      </c>
      <c r="AA9" s="1571">
        <f t="shared" si="3"/>
        <v>1</v>
      </c>
      <c r="AB9" s="1571">
        <f t="shared" si="4"/>
        <v>1</v>
      </c>
      <c r="AC9" s="1571">
        <f t="shared" si="5"/>
        <v>1</v>
      </c>
    </row>
    <row r="10" spans="1:29" s="1338" customFormat="1" ht="27">
      <c r="A10" s="2942"/>
      <c r="B10" s="2947" t="s">
        <v>2765</v>
      </c>
      <c r="C10" s="862"/>
      <c r="D10" s="253">
        <v>100</v>
      </c>
      <c r="E10" s="862"/>
      <c r="F10" s="253">
        <f>SUMIF(65:65,E10,66:66)-SUMIF(65:65,C10,66:66)+100</f>
        <v>100</v>
      </c>
      <c r="G10" s="863"/>
      <c r="H10" s="253">
        <f>SUMIF(65:65,G10,66:66)-SUMIF(65:65,C10,66:66)+100</f>
        <v>100</v>
      </c>
      <c r="I10" s="862"/>
      <c r="J10" s="253">
        <f>SUMIF(65:65,I10,66:66)-SUMIF(65:65,C10,66:66)+100</f>
        <v>100</v>
      </c>
      <c r="K10" s="585"/>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43"/>
      <c r="B11" s="2947" t="s">
        <v>2766</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1"/>
      <c r="M11" s="2135"/>
      <c r="N11" s="2135"/>
      <c r="O11" s="2142"/>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40"/>
      <c r="F12" s="253">
        <f>SUMIF(70:70,E12,71:71)-SUMIF(70:70,C12,71:71)+100</f>
        <v>100</v>
      </c>
      <c r="G12" s="912"/>
      <c r="H12" s="253">
        <f>SUMIF(70:70,G12,71:71)-SUMIF(70:70,C12,71:71)+100</f>
        <v>100</v>
      </c>
      <c r="I12" s="540"/>
      <c r="J12" s="253">
        <f>SUMIF(70:70,I12,71:71)-SUMIF(70:70,C12,71:71)+100</f>
        <v>100</v>
      </c>
      <c r="K12" s="582"/>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44"/>
      <c r="B13" s="2950">
        <v>111</v>
      </c>
      <c r="C13" s="540"/>
      <c r="D13" s="541">
        <v>100</v>
      </c>
      <c r="E13" s="540"/>
      <c r="F13" s="253">
        <f>SUMIF(72:72,E13,73:73)-SUMIF(72:72,C13,73:73)+100</f>
        <v>100</v>
      </c>
      <c r="G13" s="912"/>
      <c r="H13" s="541">
        <f>SUMIF(72:72,G13,73:73)-SUMIF(72:72,C13,73:73)+100</f>
        <v>100</v>
      </c>
      <c r="I13" s="540"/>
      <c r="J13" s="541">
        <f>SUMIF(72:72,I13,73:73)-SUMIF(72:72,C13,73:73)+100</f>
        <v>100</v>
      </c>
      <c r="K13" s="582"/>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45"/>
      <c r="B14" s="2951">
        <v>111</v>
      </c>
      <c r="C14" s="546"/>
      <c r="D14" s="547">
        <v>100</v>
      </c>
      <c r="E14" s="546"/>
      <c r="F14" s="547">
        <f>SUMIF(74:74,E14,75:75)-SUMIF(74:74,C14,75:75)+100</f>
        <v>100</v>
      </c>
      <c r="G14" s="912"/>
      <c r="H14" s="547">
        <f>SUMIF(74:74,G14,75:75)-SUMIF(74:74,C14,75:75)+100</f>
        <v>100</v>
      </c>
      <c r="I14" s="540"/>
      <c r="J14" s="547">
        <f>SUMIF(74:74,I14,75:75)-SUMIF(74:74,C14,75:75)+100</f>
        <v>100</v>
      </c>
      <c r="K14" s="582"/>
      <c r="L14" s="2143"/>
      <c r="M14" s="2135"/>
      <c r="N14" s="2135"/>
      <c r="O14" s="2142"/>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71.25">
      <c r="A15" s="2937" t="s">
        <v>2762</v>
      </c>
      <c r="B15" s="165"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3"/>
      <c r="M15" s="2135"/>
      <c r="N15" s="2135"/>
      <c r="O15" s="2142"/>
      <c r="P15" s="3414" t="s">
        <v>541</v>
      </c>
      <c r="Q15" s="1572" t="str">
        <f t="shared" si="6"/>
        <v>商业繁华度</v>
      </c>
      <c r="R15" s="1573" t="s">
        <v>8</v>
      </c>
      <c r="S15" s="1574">
        <f t="shared" si="0"/>
        <v>100</v>
      </c>
      <c r="T15" s="1573" t="s">
        <v>8</v>
      </c>
      <c r="U15" s="1574">
        <f t="shared" si="1"/>
        <v>100</v>
      </c>
      <c r="V15" s="1573" t="s">
        <v>8</v>
      </c>
      <c r="W15" s="1574">
        <f t="shared" si="2"/>
        <v>100</v>
      </c>
      <c r="X15" s="1567"/>
      <c r="Y15" s="3414" t="s">
        <v>541</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415"/>
      <c r="Q16" s="1572"/>
      <c r="R16" s="1573"/>
      <c r="S16" s="1574"/>
      <c r="T16" s="1573"/>
      <c r="U16" s="1574"/>
      <c r="V16" s="1573"/>
      <c r="W16" s="1574"/>
      <c r="X16" s="1567"/>
      <c r="Y16" s="3415"/>
      <c r="Z16" s="1575"/>
      <c r="AA16" s="1576">
        <v>1</v>
      </c>
      <c r="AB16" s="1576">
        <v>1</v>
      </c>
      <c r="AC16" s="1576">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3"/>
      <c r="M17" s="2135"/>
      <c r="N17" s="2135"/>
      <c r="O17" s="2142"/>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415"/>
      <c r="Q18" s="1572"/>
      <c r="R18" s="1573"/>
      <c r="S18" s="1574"/>
      <c r="T18" s="1573"/>
      <c r="U18" s="1574"/>
      <c r="V18" s="1573"/>
      <c r="W18" s="1574"/>
      <c r="X18" s="1567"/>
      <c r="Y18" s="3415"/>
      <c r="Z18" s="1575"/>
      <c r="AA18" s="1576">
        <v>1</v>
      </c>
      <c r="AB18" s="1576">
        <v>1</v>
      </c>
      <c r="AC18" s="1576">
        <v>1</v>
      </c>
    </row>
    <row r="19" spans="1:29" ht="42.75">
      <c r="A19" s="533"/>
      <c r="B19" s="2625"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3"/>
      <c r="M19" s="2135"/>
      <c r="N19" s="2135"/>
      <c r="O19" s="2142"/>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3"/>
      <c r="M20" s="2135"/>
      <c r="N20" s="2135"/>
      <c r="O20" s="2142"/>
      <c r="P20" s="3415"/>
      <c r="Q20" s="1572"/>
      <c r="R20" s="1573"/>
      <c r="S20" s="1574"/>
      <c r="T20" s="1573"/>
      <c r="U20" s="1574"/>
      <c r="V20" s="1573"/>
      <c r="W20" s="1574"/>
      <c r="X20" s="1567"/>
      <c r="Y20" s="3415"/>
      <c r="Z20" s="1575"/>
      <c r="AA20" s="1576">
        <v>1</v>
      </c>
      <c r="AB20" s="1576">
        <v>1</v>
      </c>
      <c r="AC20" s="1576">
        <v>1</v>
      </c>
    </row>
    <row r="21" spans="1:29" ht="28.5">
      <c r="A21" s="533"/>
      <c r="B21" s="2618"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3"/>
      <c r="M21" s="2135"/>
      <c r="N21" s="2135"/>
      <c r="O21" s="2142"/>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7"/>
      <c r="L22" s="2143"/>
      <c r="M22" s="2135"/>
      <c r="N22" s="2135"/>
      <c r="O22" s="2142"/>
      <c r="P22" s="3415"/>
      <c r="Q22" s="2604"/>
      <c r="R22" s="1573"/>
      <c r="S22" s="1574"/>
      <c r="T22" s="1573"/>
      <c r="U22" s="1574"/>
      <c r="V22" s="1573"/>
      <c r="W22" s="1574"/>
      <c r="X22" s="2606"/>
      <c r="Y22" s="3415"/>
      <c r="Z22" s="2605"/>
      <c r="AA22" s="1576">
        <v>1</v>
      </c>
      <c r="AB22" s="1576">
        <v>1</v>
      </c>
      <c r="AC22" s="1576">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3"/>
      <c r="M23" s="2135"/>
      <c r="N23" s="2135"/>
      <c r="O23" s="2142"/>
      <c r="P23" s="3415"/>
      <c r="Q23" s="1572" t="str">
        <f>B23</f>
        <v>自然及人文环境</v>
      </c>
      <c r="R23" s="1573" t="s">
        <v>8</v>
      </c>
      <c r="S23" s="1574">
        <f>F23</f>
        <v>100</v>
      </c>
      <c r="T23" s="1573" t="s">
        <v>8</v>
      </c>
      <c r="U23" s="1574">
        <f>H23</f>
        <v>100</v>
      </c>
      <c r="V23" s="1573" t="s">
        <v>8</v>
      </c>
      <c r="W23" s="1574">
        <f>J23</f>
        <v>100</v>
      </c>
      <c r="X23" s="1567"/>
      <c r="Y23" s="3415"/>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415"/>
      <c r="Q25" s="1572" t="str">
        <f t="shared" ref="Q25:Q46" si="11">B25</f>
        <v>临街状况</v>
      </c>
      <c r="R25" s="1573" t="s">
        <v>8</v>
      </c>
      <c r="S25" s="1574">
        <f>F25</f>
        <v>100</v>
      </c>
      <c r="T25" s="1573" t="s">
        <v>8</v>
      </c>
      <c r="U25" s="1574">
        <f>H25</f>
        <v>100</v>
      </c>
      <c r="V25" s="1573" t="s">
        <v>8</v>
      </c>
      <c r="W25" s="1574">
        <f>J25</f>
        <v>100</v>
      </c>
      <c r="X25" s="1567"/>
      <c r="Y25" s="3415"/>
      <c r="Z25" s="1575" t="str">
        <f>Q25</f>
        <v>临街状况</v>
      </c>
      <c r="AA25" s="1576">
        <f t="shared" si="3"/>
        <v>1</v>
      </c>
      <c r="AB25" s="1576">
        <f t="shared" si="4"/>
        <v>1</v>
      </c>
      <c r="AC25" s="1576">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415"/>
      <c r="Q26" s="1572" t="str">
        <f t="shared" si="11"/>
        <v>平面位置/可视性</v>
      </c>
      <c r="R26" s="1573" t="s">
        <v>8</v>
      </c>
      <c r="S26" s="1574">
        <f>F26</f>
        <v>100</v>
      </c>
      <c r="T26" s="1573" t="s">
        <v>8</v>
      </c>
      <c r="U26" s="1574">
        <f>H26</f>
        <v>100</v>
      </c>
      <c r="V26" s="1573" t="s">
        <v>8</v>
      </c>
      <c r="W26" s="1574">
        <f>J26</f>
        <v>100</v>
      </c>
      <c r="X26" s="1567"/>
      <c r="Y26" s="3415"/>
      <c r="Z26" s="1575" t="str">
        <f>Q26</f>
        <v>平面位置/可视性</v>
      </c>
      <c r="AA26" s="1576">
        <f t="shared" si="3"/>
        <v>1</v>
      </c>
      <c r="AB26" s="1576">
        <f t="shared" si="4"/>
        <v>1</v>
      </c>
      <c r="AC26" s="1576">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6"/>
      <c r="M27" s="2137"/>
      <c r="N27" s="2137"/>
      <c r="O27" s="2138"/>
      <c r="P27" s="3415"/>
      <c r="Q27" s="1151" t="str">
        <f t="shared" si="11"/>
        <v>人流量</v>
      </c>
      <c r="R27" s="1568" t="s">
        <v>8</v>
      </c>
      <c r="S27" s="1569">
        <f>F27</f>
        <v>100</v>
      </c>
      <c r="T27" s="1568" t="s">
        <v>8</v>
      </c>
      <c r="U27" s="1569">
        <f>H27</f>
        <v>100</v>
      </c>
      <c r="V27" s="1568" t="s">
        <v>8</v>
      </c>
      <c r="W27" s="1569">
        <f>J27</f>
        <v>100</v>
      </c>
      <c r="X27" s="1570"/>
      <c r="Y27" s="3415"/>
      <c r="Z27" s="1150" t="str">
        <f>Q27</f>
        <v>人流量</v>
      </c>
      <c r="AA27" s="1576">
        <f>D27/F27</f>
        <v>1</v>
      </c>
      <c r="AB27" s="1576">
        <f>D27/H27</f>
        <v>1</v>
      </c>
      <c r="AC27" s="1576">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41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5"/>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415"/>
      <c r="Q29" s="1572">
        <f t="shared" si="11"/>
        <v>111</v>
      </c>
      <c r="R29" s="1573" t="s">
        <v>8</v>
      </c>
      <c r="S29" s="1574">
        <f t="shared" si="12"/>
        <v>100</v>
      </c>
      <c r="T29" s="1573" t="s">
        <v>8</v>
      </c>
      <c r="U29" s="1574">
        <f t="shared" si="13"/>
        <v>100</v>
      </c>
      <c r="V29" s="1573" t="s">
        <v>8</v>
      </c>
      <c r="W29" s="1574">
        <f t="shared" si="14"/>
        <v>100</v>
      </c>
      <c r="X29" s="1567"/>
      <c r="Y29" s="3415"/>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415"/>
      <c r="Q30" s="1572">
        <f t="shared" si="11"/>
        <v>111</v>
      </c>
      <c r="R30" s="1573" t="s">
        <v>8</v>
      </c>
      <c r="S30" s="1574">
        <f t="shared" si="12"/>
        <v>100</v>
      </c>
      <c r="T30" s="1573" t="s">
        <v>8</v>
      </c>
      <c r="U30" s="1574">
        <f t="shared" si="13"/>
        <v>100</v>
      </c>
      <c r="V30" s="1573" t="s">
        <v>8</v>
      </c>
      <c r="W30" s="1574">
        <f t="shared" si="14"/>
        <v>100</v>
      </c>
      <c r="X30" s="1567"/>
      <c r="Y30" s="3415"/>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415"/>
      <c r="Q31" s="1572">
        <f t="shared" si="11"/>
        <v>111</v>
      </c>
      <c r="R31" s="1573" t="s">
        <v>8</v>
      </c>
      <c r="S31" s="1574">
        <f t="shared" si="12"/>
        <v>100</v>
      </c>
      <c r="T31" s="1573" t="s">
        <v>8</v>
      </c>
      <c r="U31" s="1574">
        <f t="shared" si="13"/>
        <v>100</v>
      </c>
      <c r="V31" s="1573" t="s">
        <v>8</v>
      </c>
      <c r="W31" s="1574">
        <f t="shared" si="14"/>
        <v>100</v>
      </c>
      <c r="X31" s="1567"/>
      <c r="Y31" s="3415"/>
      <c r="Z31" s="1575">
        <f t="shared" si="15"/>
        <v>111</v>
      </c>
      <c r="AA31" s="1576">
        <f t="shared" si="3"/>
        <v>1</v>
      </c>
      <c r="AB31" s="1576">
        <f t="shared" si="4"/>
        <v>1</v>
      </c>
      <c r="AC31" s="1576">
        <f t="shared" si="5"/>
        <v>1</v>
      </c>
    </row>
    <row r="32" spans="1:29" ht="15">
      <c r="A32" s="2934" t="s">
        <v>2763</v>
      </c>
      <c r="B32" s="171"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3"/>
      <c r="M32" s="2135"/>
      <c r="N32" s="2135"/>
      <c r="O32" s="2142"/>
      <c r="P32" s="3416" t="s">
        <v>551</v>
      </c>
      <c r="Q32" s="1572" t="str">
        <f t="shared" si="11"/>
        <v>商业类型</v>
      </c>
      <c r="R32" s="1573" t="s">
        <v>8</v>
      </c>
      <c r="S32" s="1574">
        <f t="shared" si="12"/>
        <v>100</v>
      </c>
      <c r="T32" s="1573" t="s">
        <v>8</v>
      </c>
      <c r="U32" s="1574">
        <f t="shared" si="13"/>
        <v>100</v>
      </c>
      <c r="V32" s="1573" t="s">
        <v>8</v>
      </c>
      <c r="W32" s="1574">
        <f t="shared" si="14"/>
        <v>100</v>
      </c>
      <c r="X32" s="1567"/>
      <c r="Y32" s="3417" t="s">
        <v>551</v>
      </c>
      <c r="Z32" s="1575" t="str">
        <f t="shared" si="15"/>
        <v>商业类型</v>
      </c>
      <c r="AA32" s="1576">
        <f t="shared" si="3"/>
        <v>1</v>
      </c>
      <c r="AB32" s="1576">
        <f t="shared" si="4"/>
        <v>1</v>
      </c>
      <c r="AC32" s="1576">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1"/>
      <c r="M33" s="2172"/>
      <c r="N33" s="2172"/>
      <c r="O33" s="2144"/>
      <c r="P33" s="3417"/>
      <c r="Q33" s="1605" t="str">
        <f t="shared" si="11"/>
        <v>项目建筑规模</v>
      </c>
      <c r="R33" s="1577" t="s">
        <v>8</v>
      </c>
      <c r="S33" s="1578" t="e">
        <f t="shared" si="12"/>
        <v>#N/A</v>
      </c>
      <c r="T33" s="1577" t="s">
        <v>8</v>
      </c>
      <c r="U33" s="1578" t="e">
        <f t="shared" si="13"/>
        <v>#N/A</v>
      </c>
      <c r="V33" s="1577" t="s">
        <v>8</v>
      </c>
      <c r="W33" s="1578" t="e">
        <f t="shared" si="14"/>
        <v>#N/A</v>
      </c>
      <c r="X33" s="1579"/>
      <c r="Y33" s="3417"/>
      <c r="Z33" s="1580" t="str">
        <f t="shared" si="15"/>
        <v>项目建筑规模</v>
      </c>
      <c r="AA33" s="1576" t="e">
        <f t="shared" si="3"/>
        <v>#N/A</v>
      </c>
      <c r="AB33" s="1576" t="e">
        <f t="shared" si="4"/>
        <v>#N/A</v>
      </c>
      <c r="AC33" s="1576"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3"/>
      <c r="M34" s="2135"/>
      <c r="N34" s="2135"/>
      <c r="O34" s="2142"/>
      <c r="P34" s="3417"/>
      <c r="Q34" s="1572" t="str">
        <f t="shared" si="11"/>
        <v>建筑结构</v>
      </c>
      <c r="R34" s="1573" t="s">
        <v>8</v>
      </c>
      <c r="S34" s="1574">
        <f t="shared" si="12"/>
        <v>100</v>
      </c>
      <c r="T34" s="1573" t="s">
        <v>8</v>
      </c>
      <c r="U34" s="1574">
        <f t="shared" si="13"/>
        <v>100</v>
      </c>
      <c r="V34" s="1573" t="s">
        <v>8</v>
      </c>
      <c r="W34" s="1574">
        <f t="shared" si="14"/>
        <v>100</v>
      </c>
      <c r="X34" s="1567"/>
      <c r="Y34" s="3417"/>
      <c r="Z34" s="1575" t="str">
        <f t="shared" si="15"/>
        <v>建筑结构</v>
      </c>
      <c r="AA34" s="1576">
        <f t="shared" si="3"/>
        <v>1</v>
      </c>
      <c r="AB34" s="1576">
        <f t="shared" si="4"/>
        <v>1</v>
      </c>
      <c r="AC34" s="1576">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417"/>
      <c r="Q35" s="1572" t="str">
        <f t="shared" si="11"/>
        <v>公共部分装修</v>
      </c>
      <c r="R35" s="1573" t="s">
        <v>8</v>
      </c>
      <c r="S35" s="1574">
        <f t="shared" si="12"/>
        <v>100</v>
      </c>
      <c r="T35" s="1573" t="s">
        <v>8</v>
      </c>
      <c r="U35" s="1574">
        <f t="shared" si="13"/>
        <v>100</v>
      </c>
      <c r="V35" s="1573" t="s">
        <v>8</v>
      </c>
      <c r="W35" s="1574">
        <f t="shared" si="14"/>
        <v>100</v>
      </c>
      <c r="X35" s="1567"/>
      <c r="Y35" s="3417"/>
      <c r="Z35" s="1575" t="str">
        <f t="shared" si="15"/>
        <v>公共部分装修</v>
      </c>
      <c r="AA35" s="1576">
        <f t="shared" si="3"/>
        <v>1</v>
      </c>
      <c r="AB35" s="1576">
        <f t="shared" si="4"/>
        <v>1</v>
      </c>
      <c r="AC35" s="1576">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3"/>
      <c r="M36" s="2135"/>
      <c r="N36" s="2135"/>
      <c r="O36" s="2142"/>
      <c r="P36" s="3417"/>
      <c r="Q36" s="1572" t="str">
        <f t="shared" si="11"/>
        <v>成新度</v>
      </c>
      <c r="R36" s="1573" t="s">
        <v>8</v>
      </c>
      <c r="S36" s="1574" t="e">
        <f t="shared" si="12"/>
        <v>#N/A</v>
      </c>
      <c r="T36" s="1573" t="s">
        <v>8</v>
      </c>
      <c r="U36" s="1574" t="e">
        <f t="shared" si="13"/>
        <v>#N/A</v>
      </c>
      <c r="V36" s="1573" t="s">
        <v>8</v>
      </c>
      <c r="W36" s="1574" t="e">
        <f t="shared" si="14"/>
        <v>#N/A</v>
      </c>
      <c r="X36" s="1567"/>
      <c r="Y36" s="3417"/>
      <c r="Z36" s="1575" t="str">
        <f t="shared" si="15"/>
        <v>成新度</v>
      </c>
      <c r="AA36" s="1576" t="e">
        <f t="shared" si="3"/>
        <v>#N/A</v>
      </c>
      <c r="AB36" s="1576" t="e">
        <f t="shared" si="4"/>
        <v>#N/A</v>
      </c>
      <c r="AC36" s="1576" t="e">
        <f t="shared" si="5"/>
        <v>#N/A</v>
      </c>
    </row>
    <row r="37" spans="1:29" s="1220" customFormat="1" ht="15">
      <c r="A37" s="601"/>
      <c r="B37" s="1896"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417"/>
      <c r="Q37" s="1151" t="str">
        <f t="shared" si="11"/>
        <v>市政基础设施</v>
      </c>
      <c r="R37" s="1568" t="s">
        <v>8</v>
      </c>
      <c r="S37" s="1569">
        <f t="shared" si="12"/>
        <v>100</v>
      </c>
      <c r="T37" s="1568" t="s">
        <v>8</v>
      </c>
      <c r="U37" s="1569">
        <f t="shared" si="13"/>
        <v>100</v>
      </c>
      <c r="V37" s="1568" t="s">
        <v>8</v>
      </c>
      <c r="W37" s="1569">
        <f t="shared" si="14"/>
        <v>100</v>
      </c>
      <c r="X37" s="1570"/>
      <c r="Y37" s="3417"/>
      <c r="Z37" s="1150" t="str">
        <f t="shared" si="15"/>
        <v>市政基础设施</v>
      </c>
      <c r="AA37" s="1571">
        <f t="shared" si="3"/>
        <v>1</v>
      </c>
      <c r="AB37" s="1571">
        <f t="shared" si="4"/>
        <v>1</v>
      </c>
      <c r="AC37" s="1571">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417" t="s">
        <v>767</v>
      </c>
      <c r="Q38" s="1572" t="str">
        <f t="shared" si="11"/>
        <v>业态</v>
      </c>
      <c r="R38" s="1573" t="s">
        <v>8</v>
      </c>
      <c r="S38" s="1574">
        <f t="shared" si="12"/>
        <v>100</v>
      </c>
      <c r="T38" s="1573" t="s">
        <v>8</v>
      </c>
      <c r="U38" s="1574">
        <f t="shared" si="13"/>
        <v>100</v>
      </c>
      <c r="V38" s="1573" t="s">
        <v>8</v>
      </c>
      <c r="W38" s="1574">
        <f t="shared" si="14"/>
        <v>100</v>
      </c>
      <c r="X38" s="1567"/>
      <c r="Y38" s="3417" t="s">
        <v>767</v>
      </c>
      <c r="Z38" s="1575" t="str">
        <f t="shared" si="15"/>
        <v>业态</v>
      </c>
      <c r="AA38" s="1576">
        <f t="shared" si="3"/>
        <v>1</v>
      </c>
      <c r="AB38" s="1576">
        <f t="shared" si="4"/>
        <v>1</v>
      </c>
      <c r="AC38" s="1576">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417"/>
      <c r="Q39" s="1572" t="str">
        <f t="shared" si="11"/>
        <v>层高</v>
      </c>
      <c r="R39" s="1573" t="s">
        <v>8</v>
      </c>
      <c r="S39" s="1574">
        <f t="shared" si="12"/>
        <v>100</v>
      </c>
      <c r="T39" s="1573" t="s">
        <v>8</v>
      </c>
      <c r="U39" s="1574">
        <f t="shared" si="13"/>
        <v>100</v>
      </c>
      <c r="V39" s="1573" t="s">
        <v>8</v>
      </c>
      <c r="W39" s="1574">
        <f t="shared" si="14"/>
        <v>100</v>
      </c>
      <c r="X39" s="1567"/>
      <c r="Y39" s="3417"/>
      <c r="Z39" s="1575" t="str">
        <f t="shared" si="15"/>
        <v>层高</v>
      </c>
      <c r="AA39" s="1576">
        <f t="shared" si="3"/>
        <v>1</v>
      </c>
      <c r="AB39" s="1576">
        <f t="shared" si="4"/>
        <v>1</v>
      </c>
      <c r="AC39" s="1576">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3"/>
      <c r="M40" s="2135"/>
      <c r="N40" s="2135"/>
      <c r="O40" s="2142"/>
      <c r="P40" s="3417"/>
      <c r="Q40" s="1572" t="str">
        <f t="shared" si="11"/>
        <v>单套建筑面积</v>
      </c>
      <c r="R40" s="1573" t="s">
        <v>8</v>
      </c>
      <c r="S40" s="1574">
        <f t="shared" si="12"/>
        <v>100</v>
      </c>
      <c r="T40" s="1573" t="s">
        <v>8</v>
      </c>
      <c r="U40" s="1574">
        <f t="shared" si="13"/>
        <v>100</v>
      </c>
      <c r="V40" s="1573" t="s">
        <v>8</v>
      </c>
      <c r="W40" s="1574">
        <f t="shared" si="14"/>
        <v>100</v>
      </c>
      <c r="X40" s="1567"/>
      <c r="Y40" s="3417"/>
      <c r="Z40" s="1575" t="str">
        <f t="shared" si="15"/>
        <v>单套建筑面积</v>
      </c>
      <c r="AA40" s="1576">
        <f t="shared" si="3"/>
        <v>1</v>
      </c>
      <c r="AB40" s="1576">
        <f t="shared" si="4"/>
        <v>1</v>
      </c>
      <c r="AC40" s="1576">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417"/>
      <c r="Q41" s="1605" t="str">
        <f t="shared" si="11"/>
        <v>进深比</v>
      </c>
      <c r="R41" s="1577" t="s">
        <v>8</v>
      </c>
      <c r="S41" s="1578">
        <f t="shared" si="12"/>
        <v>100</v>
      </c>
      <c r="T41" s="1577" t="s">
        <v>8</v>
      </c>
      <c r="U41" s="1578">
        <f t="shared" si="13"/>
        <v>100</v>
      </c>
      <c r="V41" s="1577" t="s">
        <v>8</v>
      </c>
      <c r="W41" s="1578">
        <f t="shared" si="14"/>
        <v>100</v>
      </c>
      <c r="X41" s="1579"/>
      <c r="Y41" s="3417"/>
      <c r="Z41" s="1580" t="str">
        <f t="shared" si="15"/>
        <v>进深比</v>
      </c>
      <c r="AA41" s="1576">
        <f t="shared" si="3"/>
        <v>1</v>
      </c>
      <c r="AB41" s="1576">
        <f t="shared" si="4"/>
        <v>1</v>
      </c>
      <c r="AC41" s="1576">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417"/>
      <c r="Q42" s="1572" t="str">
        <f t="shared" si="11"/>
        <v>内部装修</v>
      </c>
      <c r="R42" s="1573" t="s">
        <v>8</v>
      </c>
      <c r="S42" s="1574">
        <f t="shared" si="12"/>
        <v>100</v>
      </c>
      <c r="T42" s="1573" t="s">
        <v>8</v>
      </c>
      <c r="U42" s="1574">
        <f t="shared" si="13"/>
        <v>100</v>
      </c>
      <c r="V42" s="1573" t="s">
        <v>8</v>
      </c>
      <c r="W42" s="1574">
        <f t="shared" si="14"/>
        <v>100</v>
      </c>
      <c r="X42" s="1567"/>
      <c r="Y42" s="3417"/>
      <c r="Z42" s="1575" t="str">
        <f t="shared" si="15"/>
        <v>内部装修</v>
      </c>
      <c r="AA42" s="1576">
        <f t="shared" si="3"/>
        <v>1</v>
      </c>
      <c r="AB42" s="1576">
        <f t="shared" si="4"/>
        <v>1</v>
      </c>
      <c r="AC42" s="1576">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417"/>
      <c r="Q43" s="1572" t="str">
        <f t="shared" si="11"/>
        <v>内部装修维护情况</v>
      </c>
      <c r="R43" s="1573" t="s">
        <v>8</v>
      </c>
      <c r="S43" s="1574">
        <f t="shared" si="12"/>
        <v>100</v>
      </c>
      <c r="T43" s="1573" t="s">
        <v>8</v>
      </c>
      <c r="U43" s="1574">
        <f t="shared" si="13"/>
        <v>100</v>
      </c>
      <c r="V43" s="1573" t="s">
        <v>8</v>
      </c>
      <c r="W43" s="1574">
        <f t="shared" si="14"/>
        <v>100</v>
      </c>
      <c r="X43" s="1567"/>
      <c r="Y43" s="3417"/>
      <c r="Z43" s="1575" t="str">
        <f t="shared" si="15"/>
        <v>内部装修维护情况</v>
      </c>
      <c r="AA43" s="1576">
        <f t="shared" si="3"/>
        <v>1</v>
      </c>
      <c r="AB43" s="1576">
        <f t="shared" si="4"/>
        <v>1</v>
      </c>
      <c r="AC43" s="1576">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6"/>
      <c r="M44" s="2137"/>
      <c r="N44" s="2137"/>
      <c r="O44" s="2138"/>
      <c r="P44" s="3417"/>
      <c r="Q44" s="1151">
        <f t="shared" si="11"/>
        <v>111</v>
      </c>
      <c r="R44" s="1568" t="s">
        <v>8</v>
      </c>
      <c r="S44" s="1569">
        <f t="shared" si="12"/>
        <v>100</v>
      </c>
      <c r="T44" s="1568" t="s">
        <v>8</v>
      </c>
      <c r="U44" s="1569">
        <f t="shared" si="13"/>
        <v>100</v>
      </c>
      <c r="V44" s="1568" t="s">
        <v>8</v>
      </c>
      <c r="W44" s="1569">
        <f t="shared" si="14"/>
        <v>100</v>
      </c>
      <c r="X44" s="1570"/>
      <c r="Y44" s="3417"/>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417"/>
      <c r="Q45" s="1572">
        <f t="shared" si="11"/>
        <v>111</v>
      </c>
      <c r="R45" s="1573" t="s">
        <v>8</v>
      </c>
      <c r="S45" s="1574">
        <f t="shared" si="12"/>
        <v>100</v>
      </c>
      <c r="T45" s="1573" t="s">
        <v>8</v>
      </c>
      <c r="U45" s="1574">
        <f t="shared" si="13"/>
        <v>100</v>
      </c>
      <c r="V45" s="1573" t="s">
        <v>8</v>
      </c>
      <c r="W45" s="1574">
        <f t="shared" si="14"/>
        <v>100</v>
      </c>
      <c r="X45" s="1567"/>
      <c r="Y45" s="3417"/>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471"/>
      <c r="Q46" s="1572">
        <f t="shared" si="11"/>
        <v>111</v>
      </c>
      <c r="R46" s="1573" t="s">
        <v>8</v>
      </c>
      <c r="S46" s="1574">
        <f t="shared" si="12"/>
        <v>100</v>
      </c>
      <c r="T46" s="1573" t="s">
        <v>8</v>
      </c>
      <c r="U46" s="1574">
        <f t="shared" si="13"/>
        <v>100</v>
      </c>
      <c r="V46" s="1573" t="s">
        <v>8</v>
      </c>
      <c r="W46" s="1574">
        <f t="shared" si="14"/>
        <v>100</v>
      </c>
      <c r="X46" s="1567"/>
      <c r="Y46" s="3471"/>
      <c r="Z46" s="1575">
        <f t="shared" si="15"/>
        <v>111</v>
      </c>
      <c r="AA46" s="1576">
        <f t="shared" si="3"/>
        <v>1</v>
      </c>
      <c r="AB46" s="1576">
        <f t="shared" si="4"/>
        <v>1</v>
      </c>
      <c r="AC46" s="1576">
        <f t="shared" si="5"/>
        <v>1</v>
      </c>
    </row>
    <row r="47" spans="1:29" ht="15">
      <c r="A47" s="608" t="s">
        <v>737</v>
      </c>
      <c r="B47" s="887"/>
      <c r="C47" s="2652" t="s">
        <v>1</v>
      </c>
      <c r="D47" s="2653"/>
      <c r="E47" s="2654"/>
      <c r="F47" s="2655"/>
      <c r="G47" s="2656"/>
      <c r="H47" s="2657"/>
      <c r="I47" s="2654"/>
      <c r="J47" s="2657"/>
      <c r="K47" s="1611"/>
      <c r="L47" s="2145"/>
      <c r="M47" s="2146"/>
      <c r="N47" s="2135"/>
      <c r="O47" s="2146"/>
      <c r="P47" s="3379" t="str">
        <f>A47</f>
        <v>成交单价（元/平方米）</v>
      </c>
      <c r="Q47" s="3379"/>
      <c r="R47" s="3470">
        <f>E47</f>
        <v>0</v>
      </c>
      <c r="S47" s="3470"/>
      <c r="T47" s="3470">
        <f>G47</f>
        <v>0</v>
      </c>
      <c r="U47" s="3470"/>
      <c r="V47" s="3470">
        <f>I47</f>
        <v>0</v>
      </c>
      <c r="W47" s="3470"/>
      <c r="X47" s="1559"/>
      <c r="Y47" s="1581"/>
      <c r="Z47" s="1559"/>
      <c r="AA47" s="1559"/>
      <c r="AB47" s="1559"/>
      <c r="AC47" s="1559"/>
    </row>
    <row r="48" spans="1:29" ht="15.75" thickBot="1">
      <c r="A48" s="616" t="s">
        <v>2768</v>
      </c>
      <c r="B48" s="888"/>
      <c r="C48" s="2658" t="e">
        <f>R49</f>
        <v>#DIV/0!</v>
      </c>
      <c r="D48" s="2659"/>
      <c r="E48" s="2660" t="e">
        <f>R48</f>
        <v>#DIV/0!</v>
      </c>
      <c r="F48" s="2660"/>
      <c r="G48" s="2658" t="e">
        <f>T48</f>
        <v>#DIV/0!</v>
      </c>
      <c r="H48" s="2659"/>
      <c r="I48" s="2660" t="e">
        <f>V48</f>
        <v>#DIV/0!</v>
      </c>
      <c r="J48" s="2659"/>
      <c r="K48" s="1612"/>
      <c r="L48" s="2145"/>
      <c r="M48" s="2146"/>
      <c r="N48" s="2135"/>
      <c r="O48" s="2146"/>
      <c r="P48" s="3379" t="str">
        <f>A48</f>
        <v>比较价格（元/平方米）</v>
      </c>
      <c r="Q48" s="3379"/>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59"/>
      <c r="Y48" s="1559"/>
      <c r="Z48" s="1559"/>
      <c r="AA48" s="1559"/>
      <c r="AB48" s="1559"/>
      <c r="AC48" s="1559"/>
    </row>
    <row r="49" spans="1:29" ht="15.75" thickBot="1">
      <c r="A49" s="622" t="s">
        <v>2943</v>
      </c>
      <c r="B49" s="623"/>
      <c r="C49" s="2661" t="e">
        <f>R49</f>
        <v>#DIV/0!</v>
      </c>
      <c r="D49" s="2661"/>
      <c r="E49" s="2661"/>
      <c r="F49" s="2661"/>
      <c r="G49" s="2661"/>
      <c r="H49" s="2661"/>
      <c r="I49" s="2661"/>
      <c r="J49" s="2661"/>
      <c r="K49" s="1613"/>
      <c r="L49" s="2145"/>
      <c r="M49" s="2146"/>
      <c r="N49" s="2135"/>
      <c r="O49" s="2146"/>
      <c r="P49" s="3376" t="str">
        <f>A49</f>
        <v>估价对象XX用房的比较价格（楼面单价，元/平方米）</v>
      </c>
      <c r="Q49" s="3377"/>
      <c r="R49" s="3469" t="e">
        <f>IF(F1="售价",ROUND(AVERAGE(R48:V48),0),ROUND(AVERAGE(R48:V48),1))</f>
        <v>#DIV/0!</v>
      </c>
      <c r="S49" s="3469"/>
      <c r="T49" s="3469"/>
      <c r="U49" s="3469"/>
      <c r="V49" s="3469"/>
      <c r="W49" s="346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530</v>
      </c>
      <c r="B58" s="647"/>
      <c r="C58" s="2829" t="str">
        <f>YEAR(C7)&amp;"-"&amp;MONTH(C7)</f>
        <v>2018-2</v>
      </c>
      <c r="D58" s="2831">
        <f>EDATE(C58,-1)</f>
        <v>43101</v>
      </c>
      <c r="E58" s="2831">
        <f t="shared" ref="E58:O58" si="16">EDATE(D58,-1)</f>
        <v>43070</v>
      </c>
      <c r="F58" s="2831">
        <f t="shared" si="16"/>
        <v>43040</v>
      </c>
      <c r="G58" s="2831">
        <f t="shared" si="16"/>
        <v>43009</v>
      </c>
      <c r="H58" s="2831">
        <f t="shared" si="16"/>
        <v>42979</v>
      </c>
      <c r="I58" s="2831">
        <f t="shared" si="16"/>
        <v>42948</v>
      </c>
      <c r="J58" s="2831">
        <f t="shared" si="16"/>
        <v>42917</v>
      </c>
      <c r="K58" s="2831">
        <f t="shared" si="16"/>
        <v>42887</v>
      </c>
      <c r="L58" s="2831">
        <f t="shared" si="16"/>
        <v>42856</v>
      </c>
      <c r="M58" s="2831">
        <f t="shared" si="16"/>
        <v>42826</v>
      </c>
      <c r="N58" s="2831">
        <f t="shared" si="16"/>
        <v>42795</v>
      </c>
      <c r="O58" s="2831">
        <f t="shared" si="16"/>
        <v>42767</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5"/>
    </row>
    <row r="63" spans="1:29">
      <c r="A63" s="665" t="s">
        <v>578</v>
      </c>
      <c r="B63" s="666" t="s">
        <v>535</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2564</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2565</v>
      </c>
      <c r="C82" s="2623" t="s">
        <v>2566</v>
      </c>
      <c r="D82" s="2623" t="s">
        <v>2567</v>
      </c>
      <c r="E82" s="2623" t="s">
        <v>2568</v>
      </c>
      <c r="F82" s="2623" t="s">
        <v>2569</v>
      </c>
      <c r="G82" s="2623" t="s">
        <v>2570</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674" t="s">
        <v>772</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773</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752</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9"/>
      <c r="B112" s="1897" t="s">
        <v>2563</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774</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775</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776</v>
      </c>
      <c r="C118" s="909"/>
      <c r="D118" s="909"/>
      <c r="E118" s="909"/>
      <c r="F118" s="909"/>
      <c r="G118" s="909"/>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9"/>
      <c r="B120" s="674" t="s">
        <v>777</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4"/>
      <c r="G1" s="1601" t="s">
        <v>722</v>
      </c>
      <c r="H1" s="507"/>
      <c r="I1" s="507"/>
      <c r="J1" s="507"/>
      <c r="K1" s="508"/>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0" t="s">
        <v>520</v>
      </c>
      <c r="B3" s="511" t="e">
        <f>C50</f>
        <v>#DIV/0!</v>
      </c>
      <c r="C3" s="853" t="s">
        <v>723</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3" t="s">
        <v>522</v>
      </c>
      <c r="B4" s="514"/>
      <c r="C4" s="3385" t="s">
        <v>523</v>
      </c>
      <c r="D4" s="3386"/>
      <c r="E4" s="3420" t="s">
        <v>524</v>
      </c>
      <c r="F4" s="3421"/>
      <c r="G4" s="3385" t="s">
        <v>525</v>
      </c>
      <c r="H4" s="3386"/>
      <c r="I4" s="3385" t="s">
        <v>526</v>
      </c>
      <c r="J4" s="3386"/>
      <c r="K4" s="515" t="s">
        <v>527</v>
      </c>
      <c r="L4" s="2134"/>
      <c r="M4" s="2135"/>
      <c r="N4" s="2135"/>
      <c r="O4" s="2135"/>
      <c r="P4" s="3497" t="s">
        <v>528</v>
      </c>
      <c r="Q4" s="3388"/>
      <c r="R4" s="3393" t="s">
        <v>524</v>
      </c>
      <c r="S4" s="3394"/>
      <c r="T4" s="3393" t="s">
        <v>525</v>
      </c>
      <c r="U4" s="3394"/>
      <c r="V4" s="3380" t="s">
        <v>526</v>
      </c>
      <c r="W4" s="3380"/>
      <c r="X4" s="1567"/>
      <c r="Y4" s="3393" t="s">
        <v>528</v>
      </c>
      <c r="Z4" s="3394"/>
      <c r="AA4" s="3382" t="s">
        <v>524</v>
      </c>
      <c r="AB4" s="3382" t="s">
        <v>525</v>
      </c>
      <c r="AC4" s="3382" t="s">
        <v>526</v>
      </c>
    </row>
    <row r="5" spans="1:29" ht="15">
      <c r="A5" s="516"/>
      <c r="B5" s="517"/>
      <c r="C5" s="3403" t="s">
        <v>2937</v>
      </c>
      <c r="D5" s="3402"/>
      <c r="E5" s="3422" t="s">
        <v>2938</v>
      </c>
      <c r="F5" s="3423"/>
      <c r="G5" s="3403" t="s">
        <v>2939</v>
      </c>
      <c r="H5" s="3402"/>
      <c r="I5" s="3403" t="s">
        <v>2940</v>
      </c>
      <c r="J5" s="3402"/>
      <c r="K5" s="515"/>
      <c r="L5" s="2134"/>
      <c r="M5" s="2135"/>
      <c r="N5" s="2135"/>
      <c r="O5" s="2135"/>
      <c r="P5" s="3498"/>
      <c r="Q5" s="3390"/>
      <c r="R5" s="3395"/>
      <c r="S5" s="3396"/>
      <c r="T5" s="3395"/>
      <c r="U5" s="3396"/>
      <c r="V5" s="3380"/>
      <c r="W5" s="3380"/>
      <c r="X5" s="1567"/>
      <c r="Y5" s="3395"/>
      <c r="Z5" s="3396"/>
      <c r="AA5" s="3383"/>
      <c r="AB5" s="3383"/>
      <c r="AC5" s="3383"/>
    </row>
    <row r="6" spans="1:29" ht="15.75" thickBot="1">
      <c r="A6" s="518"/>
      <c r="B6" s="519"/>
      <c r="C6" s="3399" t="s">
        <v>2941</v>
      </c>
      <c r="D6" s="3400"/>
      <c r="E6" s="3418" t="s">
        <v>2941</v>
      </c>
      <c r="F6" s="3419"/>
      <c r="G6" s="3399" t="s">
        <v>2941</v>
      </c>
      <c r="H6" s="3400"/>
      <c r="I6" s="3399" t="s">
        <v>2941</v>
      </c>
      <c r="J6" s="3400"/>
      <c r="K6" s="515" t="s">
        <v>529</v>
      </c>
      <c r="L6" s="2134"/>
      <c r="M6" s="2135"/>
      <c r="N6" s="2135"/>
      <c r="O6" s="2135"/>
      <c r="P6" s="3499"/>
      <c r="Q6" s="3392"/>
      <c r="R6" s="3395"/>
      <c r="S6" s="3396"/>
      <c r="T6" s="3397"/>
      <c r="U6" s="3398"/>
      <c r="V6" s="3380"/>
      <c r="W6" s="3380"/>
      <c r="X6" s="1567"/>
      <c r="Y6" s="3397"/>
      <c r="Z6" s="3398"/>
      <c r="AA6" s="3384"/>
      <c r="AB6" s="3384"/>
      <c r="AC6" s="3384"/>
    </row>
    <row r="7" spans="1:29" s="1220" customFormat="1" ht="15.75" thickBot="1">
      <c r="A7" s="2939"/>
      <c r="B7" s="2946" t="s">
        <v>530</v>
      </c>
      <c r="C7" s="520">
        <f>'数据-取费表'!B2</f>
        <v>43138</v>
      </c>
      <c r="D7" s="521">
        <v>100</v>
      </c>
      <c r="E7" s="522"/>
      <c r="F7" s="523">
        <f>SUMIF(59:59,YEAR(E7)&amp;"-"&amp;MONTH(E7),60:60)</f>
        <v>0</v>
      </c>
      <c r="G7" s="522"/>
      <c r="H7" s="521">
        <f>SUMIF(59:59,YEAR(G7)&amp;"-"&amp;MONTH(G7),60:60)</f>
        <v>0</v>
      </c>
      <c r="I7" s="522"/>
      <c r="J7" s="521">
        <f>SUMIF(59:59,YEAR(I7)&amp;"-"&amp;MONTH(I7),60:60)</f>
        <v>0</v>
      </c>
      <c r="K7" s="525"/>
      <c r="L7" s="2136"/>
      <c r="M7" s="2137"/>
      <c r="N7" s="2137"/>
      <c r="O7" s="2137"/>
      <c r="P7" s="3413" t="s">
        <v>531</v>
      </c>
      <c r="Q7" s="3413"/>
      <c r="R7" s="1568" t="s">
        <v>8</v>
      </c>
      <c r="S7" s="1569">
        <f t="shared" ref="S7:S15" si="0">F7</f>
        <v>0</v>
      </c>
      <c r="T7" s="1568" t="s">
        <v>8</v>
      </c>
      <c r="U7" s="1569">
        <f t="shared" ref="U7:U15" si="1">H7</f>
        <v>0</v>
      </c>
      <c r="V7" s="1568" t="s">
        <v>8</v>
      </c>
      <c r="W7" s="1569">
        <f t="shared" ref="W7:W15" si="2">J7</f>
        <v>0</v>
      </c>
      <c r="X7" s="1570"/>
      <c r="Y7" s="3411" t="s">
        <v>531</v>
      </c>
      <c r="Z7" s="3412"/>
      <c r="AA7" s="1571" t="e">
        <f>D7/F7</f>
        <v>#DIV/0!</v>
      </c>
      <c r="AB7" s="1571" t="e">
        <f>D7/H7</f>
        <v>#DIV/0!</v>
      </c>
      <c r="AC7" s="1571" t="e">
        <f>D7/J7</f>
        <v>#DIV/0!</v>
      </c>
    </row>
    <row r="8" spans="1:29" s="1220" customFormat="1" ht="15.75" thickBot="1">
      <c r="A8" s="2940"/>
      <c r="B8" s="2947" t="s">
        <v>532</v>
      </c>
      <c r="C8" s="526" t="s">
        <v>577</v>
      </c>
      <c r="D8" s="521">
        <v>100</v>
      </c>
      <c r="E8" s="526"/>
      <c r="F8" s="523">
        <f>SUMIF(62:62,E8,63:63)-SUMIF(62:62,C8,63:63)+100</f>
        <v>0</v>
      </c>
      <c r="G8" s="526"/>
      <c r="H8" s="521">
        <f>SUMIF(62:62,G8,63:63)-SUMIF(62:62,C8,63:63)+100</f>
        <v>0</v>
      </c>
      <c r="I8" s="526"/>
      <c r="J8" s="521">
        <f>SUMIF(62:62,I8,63:63)-SUMIF(62:62,C8,63:63)+100</f>
        <v>0</v>
      </c>
      <c r="K8" s="525"/>
      <c r="L8" s="2136"/>
      <c r="M8" s="2137"/>
      <c r="N8" s="2137"/>
      <c r="O8" s="2137"/>
      <c r="P8" s="3413" t="s">
        <v>534</v>
      </c>
      <c r="Q8" s="3412"/>
      <c r="R8" s="1568" t="s">
        <v>8</v>
      </c>
      <c r="S8" s="1569">
        <f t="shared" si="0"/>
        <v>0</v>
      </c>
      <c r="T8" s="1568" t="s">
        <v>8</v>
      </c>
      <c r="U8" s="1569">
        <f t="shared" si="1"/>
        <v>0</v>
      </c>
      <c r="V8" s="1568" t="s">
        <v>8</v>
      </c>
      <c r="W8" s="1569">
        <f t="shared" si="2"/>
        <v>0</v>
      </c>
      <c r="X8" s="1570"/>
      <c r="Y8" s="3411" t="s">
        <v>534</v>
      </c>
      <c r="Z8" s="3412"/>
      <c r="AA8" s="1571" t="e">
        <f t="shared" ref="AA8:AA47" si="3">D8/F8</f>
        <v>#DIV/0!</v>
      </c>
      <c r="AB8" s="1571" t="e">
        <f t="shared" ref="AB8:AB47" si="4">D8/H8</f>
        <v>#DIV/0!</v>
      </c>
      <c r="AC8" s="1571" t="e">
        <f t="shared" ref="AC8:AC47" si="5">D8/J8</f>
        <v>#DIV/0!</v>
      </c>
    </row>
    <row r="9" spans="1:29" s="1220" customFormat="1" ht="15">
      <c r="A9" s="2941"/>
      <c r="B9" s="2948" t="s">
        <v>2764</v>
      </c>
      <c r="C9" s="858"/>
      <c r="D9" s="252">
        <v>100</v>
      </c>
      <c r="E9" s="861"/>
      <c r="F9" s="252">
        <f>SUMIF(64:64,E9,65:65)-SUMIF(64:64,C9,65:65)+100</f>
        <v>100</v>
      </c>
      <c r="G9" s="859"/>
      <c r="H9" s="252">
        <f>SUMIF(64:64,G9,65:65)-SUMIF(64:64,C9,65:65)+100</f>
        <v>100</v>
      </c>
      <c r="I9" s="859"/>
      <c r="J9" s="252">
        <f>SUMIF(64:64,I9,65:65)-SUMIF(64:64,C9,65:65)+100</f>
        <v>100</v>
      </c>
      <c r="K9" s="525"/>
      <c r="L9" s="2136"/>
      <c r="M9" s="2137"/>
      <c r="N9" s="2137"/>
      <c r="O9" s="2137"/>
      <c r="P9" s="3379" t="s">
        <v>536</v>
      </c>
      <c r="Q9" s="1151" t="str">
        <f t="shared" ref="Q9:Q15" si="6">B9</f>
        <v>用途</v>
      </c>
      <c r="R9" s="1568" t="s">
        <v>8</v>
      </c>
      <c r="S9" s="1569">
        <f t="shared" si="0"/>
        <v>100</v>
      </c>
      <c r="T9" s="1568" t="s">
        <v>8</v>
      </c>
      <c r="U9" s="1569">
        <f t="shared" si="1"/>
        <v>100</v>
      </c>
      <c r="V9" s="1568" t="s">
        <v>8</v>
      </c>
      <c r="W9" s="1569">
        <f t="shared" si="2"/>
        <v>100</v>
      </c>
      <c r="X9" s="1570"/>
      <c r="Y9" s="3325" t="s">
        <v>537</v>
      </c>
      <c r="Z9" s="1150" t="str">
        <f t="shared" ref="Z9:Z15" si="7">Q9</f>
        <v>用途</v>
      </c>
      <c r="AA9" s="1571">
        <f t="shared" si="3"/>
        <v>1</v>
      </c>
      <c r="AB9" s="1571">
        <f t="shared" si="4"/>
        <v>1</v>
      </c>
      <c r="AC9" s="1571">
        <f t="shared" si="5"/>
        <v>1</v>
      </c>
    </row>
    <row r="10" spans="1:29" s="1338" customFormat="1" ht="27">
      <c r="A10" s="2942"/>
      <c r="B10" s="2947" t="s">
        <v>2765</v>
      </c>
      <c r="C10" s="862"/>
      <c r="D10" s="253">
        <v>100</v>
      </c>
      <c r="E10" s="862"/>
      <c r="F10" s="253">
        <f>SUMIF(66:66,E10,67:67)-SUMIF(66:66,C10,67:67)+100</f>
        <v>100</v>
      </c>
      <c r="G10" s="863"/>
      <c r="H10" s="253">
        <f>SUMIF(66:66,G10,67:67)-SUMIF(66:66,C10,67:67)+100</f>
        <v>100</v>
      </c>
      <c r="I10" s="862"/>
      <c r="J10" s="253">
        <f>SUMIF(66:66,I10,67:67)-SUMIF(66:66,C10,67:67)+100</f>
        <v>100</v>
      </c>
      <c r="K10" s="585"/>
      <c r="L10" s="2139"/>
      <c r="M10" s="2179"/>
      <c r="N10" s="2179"/>
      <c r="O10" s="2179"/>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43"/>
      <c r="B11" s="2947" t="s">
        <v>2766</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1"/>
      <c r="M11" s="2135"/>
      <c r="N11" s="2135"/>
      <c r="O11" s="2135"/>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29"/>
      <c r="F12" s="253">
        <f>SUMIF(71:71,E12,72:72)-SUMIF(71:71,C12,72:72)+100</f>
        <v>100</v>
      </c>
      <c r="G12" s="910"/>
      <c r="H12" s="253">
        <f>SUMIF(71:71,G12,72:72)-SUMIF(71:71,C12,72:72)+100</f>
        <v>100</v>
      </c>
      <c r="I12" s="529"/>
      <c r="J12" s="253">
        <f>SUMIF(71:71,I12,72:72)-SUMIF(71:71,C12,72:72)+100</f>
        <v>100</v>
      </c>
      <c r="K12" s="582"/>
      <c r="L12" s="2136"/>
      <c r="M12" s="2137"/>
      <c r="N12" s="2137"/>
      <c r="O12" s="2137"/>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44"/>
      <c r="B13" s="2950">
        <v>111</v>
      </c>
      <c r="C13" s="540"/>
      <c r="D13" s="541">
        <v>100</v>
      </c>
      <c r="E13" s="529"/>
      <c r="F13" s="253">
        <f>SUMIF(73:73,E13,74:74)-SUMIF(73:73,C13,74:74)+100</f>
        <v>100</v>
      </c>
      <c r="G13" s="910"/>
      <c r="H13" s="541">
        <f>SUMIF(73:73,G13,74:74)-SUMIF(73:73,C13,74:74)+100</f>
        <v>100</v>
      </c>
      <c r="I13" s="529"/>
      <c r="J13" s="541">
        <f>SUMIF(73:73,I13,74:74)-SUMIF(73:73,C13,74:74)+100</f>
        <v>100</v>
      </c>
      <c r="K13" s="582"/>
      <c r="L13" s="2143"/>
      <c r="M13" s="2135"/>
      <c r="N13" s="2135"/>
      <c r="O13" s="2135"/>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45"/>
      <c r="B14" s="2951">
        <v>111</v>
      </c>
      <c r="C14" s="546"/>
      <c r="D14" s="547">
        <v>100</v>
      </c>
      <c r="E14" s="911"/>
      <c r="F14" s="547">
        <f>SUMIF(75:75,E14,76:76)-SUMIF(75:75,C14,76:76)+100</f>
        <v>100</v>
      </c>
      <c r="G14" s="910"/>
      <c r="H14" s="547">
        <f>SUMIF(75:75,G14,76:76)-SUMIF(75:75,C14,76:76)+100</f>
        <v>100</v>
      </c>
      <c r="I14" s="529"/>
      <c r="J14" s="547">
        <f>SUMIF(75:75,I14,76:76)-SUMIF(75:75,C14,76:76)+100</f>
        <v>100</v>
      </c>
      <c r="K14" s="582"/>
      <c r="L14" s="2143"/>
      <c r="M14" s="2135"/>
      <c r="N14" s="2135"/>
      <c r="O14" s="2135"/>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71.25">
      <c r="A15" s="2937" t="s">
        <v>2762</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3"/>
      <c r="M15" s="2135"/>
      <c r="N15" s="2135"/>
      <c r="O15" s="2135"/>
      <c r="P15" s="3414" t="s">
        <v>541</v>
      </c>
      <c r="Q15" s="1572" t="str">
        <f t="shared" si="6"/>
        <v>办公集聚程度</v>
      </c>
      <c r="R15" s="1573" t="s">
        <v>8</v>
      </c>
      <c r="S15" s="1574">
        <f t="shared" si="0"/>
        <v>100</v>
      </c>
      <c r="T15" s="1573" t="s">
        <v>8</v>
      </c>
      <c r="U15" s="1574">
        <f t="shared" si="1"/>
        <v>100</v>
      </c>
      <c r="V15" s="1573" t="s">
        <v>8</v>
      </c>
      <c r="W15" s="1574">
        <f t="shared" si="2"/>
        <v>100</v>
      </c>
      <c r="X15" s="1567"/>
      <c r="Y15" s="3414" t="s">
        <v>541</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3"/>
      <c r="M16" s="2135"/>
      <c r="N16" s="2135"/>
      <c r="O16" s="2135"/>
      <c r="P16" s="3415"/>
      <c r="Q16" s="1572"/>
      <c r="R16" s="1573"/>
      <c r="S16" s="1574"/>
      <c r="T16" s="1573"/>
      <c r="U16" s="1574"/>
      <c r="V16" s="1573"/>
      <c r="W16" s="1574"/>
      <c r="X16" s="1567"/>
      <c r="Y16" s="3415"/>
      <c r="Z16" s="1575"/>
      <c r="AA16" s="1576">
        <v>1</v>
      </c>
      <c r="AB16" s="1576">
        <v>1</v>
      </c>
      <c r="AC16" s="1576">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3"/>
      <c r="M17" s="2135"/>
      <c r="N17" s="2135"/>
      <c r="O17" s="2135"/>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3"/>
      <c r="M18" s="2135"/>
      <c r="N18" s="2135"/>
      <c r="O18" s="2135"/>
      <c r="P18" s="3415"/>
      <c r="Q18" s="1572"/>
      <c r="R18" s="1573"/>
      <c r="S18" s="1574"/>
      <c r="T18" s="1573"/>
      <c r="U18" s="1574"/>
      <c r="V18" s="1573"/>
      <c r="W18" s="1574"/>
      <c r="X18" s="1567"/>
      <c r="Y18" s="3415"/>
      <c r="Z18" s="1575"/>
      <c r="AA18" s="1576">
        <v>1</v>
      </c>
      <c r="AB18" s="1576">
        <v>1</v>
      </c>
      <c r="AC18" s="1576">
        <v>1</v>
      </c>
    </row>
    <row r="19" spans="1:29" ht="42.75">
      <c r="A19" s="533"/>
      <c r="B19" s="2628"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3"/>
      <c r="M19" s="2135"/>
      <c r="N19" s="2135"/>
      <c r="O19" s="2135"/>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3"/>
      <c r="M20" s="2135"/>
      <c r="N20" s="2135"/>
      <c r="O20" s="2135"/>
      <c r="P20" s="3415"/>
      <c r="Q20" s="1572"/>
      <c r="R20" s="1573"/>
      <c r="S20" s="1574"/>
      <c r="T20" s="1573"/>
      <c r="U20" s="1574"/>
      <c r="V20" s="1573"/>
      <c r="W20" s="1574"/>
      <c r="X20" s="1567"/>
      <c r="Y20" s="3415"/>
      <c r="Z20" s="1575"/>
      <c r="AA20" s="1576">
        <v>1</v>
      </c>
      <c r="AB20" s="1576">
        <v>1</v>
      </c>
      <c r="AC20" s="1576">
        <v>1</v>
      </c>
    </row>
    <row r="21" spans="1:29" ht="28.5">
      <c r="A21" s="533"/>
      <c r="B21" s="2616"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3"/>
      <c r="M21" s="2135"/>
      <c r="N21" s="2135"/>
      <c r="O21" s="2135"/>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7"/>
      <c r="L22" s="2143"/>
      <c r="M22" s="2135"/>
      <c r="N22" s="2135"/>
      <c r="O22" s="2135"/>
      <c r="P22" s="3415"/>
      <c r="Q22" s="2604"/>
      <c r="R22" s="1573"/>
      <c r="S22" s="1574"/>
      <c r="T22" s="1573"/>
      <c r="U22" s="1574"/>
      <c r="V22" s="1573"/>
      <c r="W22" s="1574"/>
      <c r="X22" s="2606"/>
      <c r="Y22" s="3415"/>
      <c r="Z22" s="2605"/>
      <c r="AA22" s="1576">
        <v>1</v>
      </c>
      <c r="AB22" s="1576">
        <v>1</v>
      </c>
      <c r="AC22" s="1576">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3"/>
      <c r="M23" s="2135"/>
      <c r="N23" s="2135"/>
      <c r="O23" s="2135"/>
      <c r="P23" s="3415"/>
      <c r="Q23" s="1572" t="str">
        <f>B23</f>
        <v>环境质量</v>
      </c>
      <c r="R23" s="1573" t="s">
        <v>8</v>
      </c>
      <c r="S23" s="1574">
        <f>F23</f>
        <v>100</v>
      </c>
      <c r="T23" s="1573" t="s">
        <v>8</v>
      </c>
      <c r="U23" s="1574">
        <f>H23</f>
        <v>100</v>
      </c>
      <c r="V23" s="1573" t="s">
        <v>8</v>
      </c>
      <c r="W23" s="1574">
        <f>J23</f>
        <v>100</v>
      </c>
      <c r="X23" s="1567"/>
      <c r="Y23" s="3415"/>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3"/>
      <c r="M24" s="2135"/>
      <c r="N24" s="2135"/>
      <c r="O24" s="2135"/>
      <c r="P24" s="3415"/>
      <c r="Q24" s="1572"/>
      <c r="R24" s="1573"/>
      <c r="S24" s="1574"/>
      <c r="T24" s="1573"/>
      <c r="U24" s="1574"/>
      <c r="V24" s="1573"/>
      <c r="W24" s="1574"/>
      <c r="X24" s="1567"/>
      <c r="Y24" s="3415"/>
      <c r="Z24" s="1575"/>
      <c r="AA24" s="1576">
        <v>1</v>
      </c>
      <c r="AB24" s="1576">
        <v>1</v>
      </c>
      <c r="AC24" s="1576">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3"/>
      <c r="M25" s="2135"/>
      <c r="N25" s="2135"/>
      <c r="O25" s="2135"/>
      <c r="P25" s="3415"/>
      <c r="Q25" s="1572" t="str">
        <f>B25</f>
        <v>毗邻道路的类型与等级</v>
      </c>
      <c r="R25" s="1573" t="s">
        <v>8</v>
      </c>
      <c r="S25" s="1574">
        <f>F25</f>
        <v>100</v>
      </c>
      <c r="T25" s="1573" t="s">
        <v>8</v>
      </c>
      <c r="U25" s="1574">
        <f>H25</f>
        <v>100</v>
      </c>
      <c r="V25" s="1573" t="s">
        <v>8</v>
      </c>
      <c r="W25" s="1574">
        <f>J25</f>
        <v>100</v>
      </c>
      <c r="X25" s="1567"/>
      <c r="Y25" s="3415"/>
      <c r="Z25" s="1575" t="str">
        <f>Q25</f>
        <v>毗邻道路的类型与等级</v>
      </c>
      <c r="AA25" s="1576">
        <f t="shared" si="3"/>
        <v>1</v>
      </c>
      <c r="AB25" s="1576">
        <f t="shared" si="4"/>
        <v>1</v>
      </c>
      <c r="AC25" s="1576">
        <f t="shared" si="5"/>
        <v>1</v>
      </c>
    </row>
    <row r="26" spans="1:29" ht="15">
      <c r="A26" s="516"/>
      <c r="B26" s="567"/>
      <c r="C26" s="581"/>
      <c r="D26" s="541"/>
      <c r="E26" s="584"/>
      <c r="F26" s="541"/>
      <c r="G26" s="581"/>
      <c r="H26" s="541"/>
      <c r="I26" s="584"/>
      <c r="J26" s="541"/>
      <c r="K26" s="899"/>
      <c r="L26" s="2143"/>
      <c r="M26" s="2135"/>
      <c r="N26" s="2135"/>
      <c r="O26" s="2135"/>
      <c r="P26" s="3415"/>
      <c r="Q26" s="1572"/>
      <c r="R26" s="1573"/>
      <c r="S26" s="1574"/>
      <c r="T26" s="1573"/>
      <c r="U26" s="1574"/>
      <c r="V26" s="1573"/>
      <c r="W26" s="1574"/>
      <c r="X26" s="1567"/>
      <c r="Y26" s="3415"/>
      <c r="Z26" s="1575"/>
      <c r="AA26" s="1576">
        <v>1</v>
      </c>
      <c r="AB26" s="1576">
        <v>1</v>
      </c>
      <c r="AC26" s="1576">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415"/>
      <c r="Q27" s="1572" t="str">
        <f t="shared" ref="Q27:Q47" si="11">B27</f>
        <v>楼层</v>
      </c>
      <c r="R27" s="1573" t="s">
        <v>8</v>
      </c>
      <c r="S27" s="1574">
        <f>F27</f>
        <v>100</v>
      </c>
      <c r="T27" s="1573" t="s">
        <v>8</v>
      </c>
      <c r="U27" s="1574">
        <f>H27</f>
        <v>100</v>
      </c>
      <c r="V27" s="1573" t="s">
        <v>8</v>
      </c>
      <c r="W27" s="1574">
        <f>J27</f>
        <v>100</v>
      </c>
      <c r="X27" s="1567"/>
      <c r="Y27" s="3415"/>
      <c r="Z27" s="1575" t="str">
        <f>Q27</f>
        <v>楼层</v>
      </c>
      <c r="AA27" s="1576">
        <f t="shared" si="3"/>
        <v>1</v>
      </c>
      <c r="AB27" s="1576">
        <f t="shared" si="4"/>
        <v>1</v>
      </c>
      <c r="AC27" s="1576">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6"/>
      <c r="M28" s="2137"/>
      <c r="N28" s="2137"/>
      <c r="O28" s="2137"/>
      <c r="P28" s="3415"/>
      <c r="Q28" s="1151" t="str">
        <f t="shared" si="11"/>
        <v>朝向</v>
      </c>
      <c r="R28" s="1568" t="s">
        <v>8</v>
      </c>
      <c r="S28" s="1569">
        <f>F28</f>
        <v>100</v>
      </c>
      <c r="T28" s="1568" t="s">
        <v>8</v>
      </c>
      <c r="U28" s="1569">
        <f>H28</f>
        <v>100</v>
      </c>
      <c r="V28" s="1568" t="s">
        <v>8</v>
      </c>
      <c r="W28" s="1569">
        <f>J28</f>
        <v>100</v>
      </c>
      <c r="X28" s="1570"/>
      <c r="Y28" s="3415"/>
      <c r="Z28" s="1150" t="str">
        <f>Q28</f>
        <v>朝向</v>
      </c>
      <c r="AA28" s="1576">
        <f>D28/F28</f>
        <v>1</v>
      </c>
      <c r="AB28" s="1576">
        <f>D28/H28</f>
        <v>1</v>
      </c>
      <c r="AC28" s="1576">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3"/>
      <c r="M29" s="2135"/>
      <c r="N29" s="2135"/>
      <c r="O29" s="2135"/>
      <c r="P29" s="3415"/>
      <c r="Q29" s="1572">
        <f t="shared" si="11"/>
        <v>111</v>
      </c>
      <c r="R29" s="1573" t="s">
        <v>8</v>
      </c>
      <c r="S29" s="1574">
        <f t="shared" ref="S29:S47" si="12">F29</f>
        <v>100</v>
      </c>
      <c r="T29" s="1573" t="s">
        <v>8</v>
      </c>
      <c r="U29" s="1574">
        <f t="shared" ref="U29:U47" si="13">H29</f>
        <v>100</v>
      </c>
      <c r="V29" s="1573" t="s">
        <v>8</v>
      </c>
      <c r="W29" s="1574">
        <f t="shared" ref="W29:W47" si="14">J29</f>
        <v>100</v>
      </c>
      <c r="X29" s="1567"/>
      <c r="Y29" s="3415"/>
      <c r="Z29" s="1575">
        <f t="shared" ref="Z29:Z47" si="15">Q29</f>
        <v>111</v>
      </c>
      <c r="AA29" s="1576">
        <f t="shared" si="3"/>
        <v>1</v>
      </c>
      <c r="AB29" s="1576">
        <f t="shared" si="4"/>
        <v>1</v>
      </c>
      <c r="AC29" s="1576">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3"/>
      <c r="M30" s="2135"/>
      <c r="N30" s="2135"/>
      <c r="O30" s="2135"/>
      <c r="P30" s="3415"/>
      <c r="Q30" s="1572">
        <f t="shared" si="11"/>
        <v>111</v>
      </c>
      <c r="R30" s="1573" t="s">
        <v>8</v>
      </c>
      <c r="S30" s="1574">
        <f t="shared" si="12"/>
        <v>100</v>
      </c>
      <c r="T30" s="1573" t="s">
        <v>8</v>
      </c>
      <c r="U30" s="1574">
        <f t="shared" si="13"/>
        <v>100</v>
      </c>
      <c r="V30" s="1573" t="s">
        <v>8</v>
      </c>
      <c r="W30" s="1574">
        <f t="shared" si="14"/>
        <v>100</v>
      </c>
      <c r="X30" s="1567"/>
      <c r="Y30" s="3415"/>
      <c r="Z30" s="1575">
        <f t="shared" si="15"/>
        <v>111</v>
      </c>
      <c r="AA30" s="1576">
        <f t="shared" si="3"/>
        <v>1</v>
      </c>
      <c r="AB30" s="1576">
        <f t="shared" si="4"/>
        <v>1</v>
      </c>
      <c r="AC30" s="1576">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3"/>
      <c r="M31" s="2135"/>
      <c r="N31" s="2135"/>
      <c r="O31" s="2135"/>
      <c r="P31" s="3415"/>
      <c r="Q31" s="1572">
        <f t="shared" si="11"/>
        <v>111</v>
      </c>
      <c r="R31" s="1573" t="s">
        <v>8</v>
      </c>
      <c r="S31" s="1574">
        <f t="shared" si="12"/>
        <v>100</v>
      </c>
      <c r="T31" s="1573" t="s">
        <v>8</v>
      </c>
      <c r="U31" s="1574">
        <f t="shared" si="13"/>
        <v>100</v>
      </c>
      <c r="V31" s="1573" t="s">
        <v>8</v>
      </c>
      <c r="W31" s="1574">
        <f t="shared" si="14"/>
        <v>100</v>
      </c>
      <c r="X31" s="1567"/>
      <c r="Y31" s="3415"/>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3"/>
      <c r="M32" s="2135"/>
      <c r="N32" s="2135"/>
      <c r="O32" s="2135"/>
      <c r="P32" s="3415"/>
      <c r="Q32" s="1572">
        <f t="shared" si="11"/>
        <v>111</v>
      </c>
      <c r="R32" s="1573" t="s">
        <v>8</v>
      </c>
      <c r="S32" s="1574">
        <f t="shared" si="12"/>
        <v>100</v>
      </c>
      <c r="T32" s="1573" t="s">
        <v>8</v>
      </c>
      <c r="U32" s="1574">
        <f t="shared" si="13"/>
        <v>100</v>
      </c>
      <c r="V32" s="1573" t="s">
        <v>8</v>
      </c>
      <c r="W32" s="1574">
        <f t="shared" si="14"/>
        <v>100</v>
      </c>
      <c r="X32" s="1567"/>
      <c r="Y32" s="3415"/>
      <c r="Z32" s="1575">
        <f t="shared" si="15"/>
        <v>111</v>
      </c>
      <c r="AA32" s="1576">
        <f t="shared" si="3"/>
        <v>1</v>
      </c>
      <c r="AB32" s="1576">
        <f t="shared" si="4"/>
        <v>1</v>
      </c>
      <c r="AC32" s="1576">
        <f t="shared" si="5"/>
        <v>1</v>
      </c>
    </row>
    <row r="33" spans="1:29" ht="15">
      <c r="A33" s="2934" t="s">
        <v>2763</v>
      </c>
      <c r="B33" s="171"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3"/>
      <c r="M33" s="2135"/>
      <c r="N33" s="2135"/>
      <c r="O33" s="2135"/>
      <c r="P33" s="3416" t="s">
        <v>551</v>
      </c>
      <c r="Q33" s="1572" t="str">
        <f t="shared" si="11"/>
        <v>建筑类型</v>
      </c>
      <c r="R33" s="1573" t="s">
        <v>8</v>
      </c>
      <c r="S33" s="1574">
        <f t="shared" si="12"/>
        <v>100</v>
      </c>
      <c r="T33" s="1573" t="s">
        <v>8</v>
      </c>
      <c r="U33" s="1574">
        <f t="shared" si="13"/>
        <v>100</v>
      </c>
      <c r="V33" s="1573" t="s">
        <v>8</v>
      </c>
      <c r="W33" s="1574">
        <f t="shared" si="14"/>
        <v>100</v>
      </c>
      <c r="X33" s="1567"/>
      <c r="Y33" s="3417" t="s">
        <v>551</v>
      </c>
      <c r="Z33" s="1575" t="str">
        <f t="shared" si="15"/>
        <v>建筑类型</v>
      </c>
      <c r="AA33" s="1576">
        <f t="shared" si="3"/>
        <v>1</v>
      </c>
      <c r="AB33" s="1576">
        <f t="shared" si="4"/>
        <v>1</v>
      </c>
      <c r="AC33" s="1576">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1"/>
      <c r="M34" s="2172"/>
      <c r="N34" s="2172"/>
      <c r="O34" s="2172"/>
      <c r="P34" s="3417"/>
      <c r="Q34" s="1605" t="str">
        <f t="shared" si="11"/>
        <v>项目建筑规模</v>
      </c>
      <c r="R34" s="1577" t="s">
        <v>8</v>
      </c>
      <c r="S34" s="1578" t="e">
        <f t="shared" si="12"/>
        <v>#N/A</v>
      </c>
      <c r="T34" s="1577" t="s">
        <v>8</v>
      </c>
      <c r="U34" s="1578" t="e">
        <f t="shared" si="13"/>
        <v>#N/A</v>
      </c>
      <c r="V34" s="1577" t="s">
        <v>8</v>
      </c>
      <c r="W34" s="1578" t="e">
        <f t="shared" si="14"/>
        <v>#N/A</v>
      </c>
      <c r="X34" s="1579"/>
      <c r="Y34" s="3417"/>
      <c r="Z34" s="1580" t="str">
        <f t="shared" si="15"/>
        <v>项目建筑规模</v>
      </c>
      <c r="AA34" s="1576" t="e">
        <f t="shared" si="3"/>
        <v>#N/A</v>
      </c>
      <c r="AB34" s="1576" t="e">
        <f t="shared" si="4"/>
        <v>#N/A</v>
      </c>
      <c r="AC34" s="1576"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417"/>
      <c r="Q35" s="1572" t="str">
        <f t="shared" si="11"/>
        <v>建筑结构</v>
      </c>
      <c r="R35" s="1573" t="s">
        <v>8</v>
      </c>
      <c r="S35" s="1574">
        <f t="shared" si="12"/>
        <v>100</v>
      </c>
      <c r="T35" s="1573" t="s">
        <v>8</v>
      </c>
      <c r="U35" s="1574">
        <f t="shared" si="13"/>
        <v>100</v>
      </c>
      <c r="V35" s="1573" t="s">
        <v>8</v>
      </c>
      <c r="W35" s="1574">
        <f t="shared" si="14"/>
        <v>100</v>
      </c>
      <c r="X35" s="1567"/>
      <c r="Y35" s="3417"/>
      <c r="Z35" s="1575" t="str">
        <f t="shared" si="15"/>
        <v>建筑结构</v>
      </c>
      <c r="AA35" s="1576">
        <f t="shared" si="3"/>
        <v>1</v>
      </c>
      <c r="AB35" s="1576">
        <f t="shared" si="4"/>
        <v>1</v>
      </c>
      <c r="AC35" s="1576">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417"/>
      <c r="Q36" s="1572" t="str">
        <f t="shared" si="11"/>
        <v>公共部分装修</v>
      </c>
      <c r="R36" s="1573" t="s">
        <v>8</v>
      </c>
      <c r="S36" s="1574">
        <f t="shared" si="12"/>
        <v>100</v>
      </c>
      <c r="T36" s="1573" t="s">
        <v>8</v>
      </c>
      <c r="U36" s="1574">
        <f t="shared" si="13"/>
        <v>100</v>
      </c>
      <c r="V36" s="1573" t="s">
        <v>8</v>
      </c>
      <c r="W36" s="1574">
        <f t="shared" si="14"/>
        <v>100</v>
      </c>
      <c r="X36" s="1567"/>
      <c r="Y36" s="3417"/>
      <c r="Z36" s="1575" t="str">
        <f t="shared" si="15"/>
        <v>公共部分装修</v>
      </c>
      <c r="AA36" s="1576">
        <f t="shared" si="3"/>
        <v>1</v>
      </c>
      <c r="AB36" s="1576">
        <f t="shared" si="4"/>
        <v>1</v>
      </c>
      <c r="AC36" s="1576">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3"/>
      <c r="M37" s="2135"/>
      <c r="N37" s="2135"/>
      <c r="O37" s="2135"/>
      <c r="P37" s="3417"/>
      <c r="Q37" s="1572" t="str">
        <f t="shared" si="11"/>
        <v>成新度</v>
      </c>
      <c r="R37" s="1573" t="s">
        <v>8</v>
      </c>
      <c r="S37" s="1574" t="e">
        <f t="shared" si="12"/>
        <v>#N/A</v>
      </c>
      <c r="T37" s="1573" t="s">
        <v>8</v>
      </c>
      <c r="U37" s="1574" t="e">
        <f t="shared" si="13"/>
        <v>#N/A</v>
      </c>
      <c r="V37" s="1573" t="s">
        <v>8</v>
      </c>
      <c r="W37" s="1574" t="e">
        <f t="shared" si="14"/>
        <v>#N/A</v>
      </c>
      <c r="X37" s="1567"/>
      <c r="Y37" s="3417"/>
      <c r="Z37" s="1575" t="str">
        <f t="shared" si="15"/>
        <v>成新度</v>
      </c>
      <c r="AA37" s="1576" t="e">
        <f t="shared" si="3"/>
        <v>#N/A</v>
      </c>
      <c r="AB37" s="1576" t="e">
        <f t="shared" si="4"/>
        <v>#N/A</v>
      </c>
      <c r="AC37" s="1576"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417"/>
      <c r="Q38" s="1151" t="str">
        <f t="shared" si="11"/>
        <v>写字楼等级</v>
      </c>
      <c r="R38" s="1568" t="s">
        <v>8</v>
      </c>
      <c r="S38" s="1569">
        <f t="shared" si="12"/>
        <v>100</v>
      </c>
      <c r="T38" s="1568" t="s">
        <v>8</v>
      </c>
      <c r="U38" s="1569">
        <f t="shared" si="13"/>
        <v>100</v>
      </c>
      <c r="V38" s="1568" t="s">
        <v>8</v>
      </c>
      <c r="W38" s="1569">
        <f t="shared" si="14"/>
        <v>100</v>
      </c>
      <c r="X38" s="1570"/>
      <c r="Y38" s="3417"/>
      <c r="Z38" s="1150" t="str">
        <f t="shared" si="15"/>
        <v>写字楼等级</v>
      </c>
      <c r="AA38" s="1571">
        <f t="shared" si="3"/>
        <v>1</v>
      </c>
      <c r="AB38" s="1571">
        <f t="shared" si="4"/>
        <v>1</v>
      </c>
      <c r="AC38" s="1571">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417" t="s">
        <v>551</v>
      </c>
      <c r="Q39" s="1572" t="str">
        <f t="shared" si="11"/>
        <v>物业管理</v>
      </c>
      <c r="R39" s="1573" t="s">
        <v>8</v>
      </c>
      <c r="S39" s="1574">
        <f t="shared" si="12"/>
        <v>100</v>
      </c>
      <c r="T39" s="1573" t="s">
        <v>8</v>
      </c>
      <c r="U39" s="1574">
        <f t="shared" si="13"/>
        <v>100</v>
      </c>
      <c r="V39" s="1573" t="s">
        <v>8</v>
      </c>
      <c r="W39" s="1574">
        <f t="shared" si="14"/>
        <v>100</v>
      </c>
      <c r="X39" s="1567"/>
      <c r="Y39" s="3417" t="s">
        <v>551</v>
      </c>
      <c r="Z39" s="1575" t="str">
        <f t="shared" si="15"/>
        <v>物业管理</v>
      </c>
      <c r="AA39" s="1576">
        <f t="shared" si="3"/>
        <v>1</v>
      </c>
      <c r="AB39" s="1576">
        <f t="shared" si="4"/>
        <v>1</v>
      </c>
      <c r="AC39" s="1576">
        <f t="shared" si="5"/>
        <v>1</v>
      </c>
    </row>
    <row r="40" spans="1:29" ht="15">
      <c r="A40" s="595"/>
      <c r="B40" s="1896"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417"/>
      <c r="Q40" s="1572" t="str">
        <f t="shared" si="11"/>
        <v>市政基础设施</v>
      </c>
      <c r="R40" s="1573" t="s">
        <v>8</v>
      </c>
      <c r="S40" s="1574">
        <f t="shared" si="12"/>
        <v>100</v>
      </c>
      <c r="T40" s="1573" t="s">
        <v>8</v>
      </c>
      <c r="U40" s="1574">
        <f t="shared" si="13"/>
        <v>100</v>
      </c>
      <c r="V40" s="1573" t="s">
        <v>8</v>
      </c>
      <c r="W40" s="1574">
        <f t="shared" si="14"/>
        <v>100</v>
      </c>
      <c r="X40" s="1567"/>
      <c r="Y40" s="3417"/>
      <c r="Z40" s="1575" t="str">
        <f t="shared" si="15"/>
        <v>市政基础设施</v>
      </c>
      <c r="AA40" s="1576">
        <f t="shared" si="3"/>
        <v>1</v>
      </c>
      <c r="AB40" s="1576">
        <f t="shared" si="4"/>
        <v>1</v>
      </c>
      <c r="AC40" s="1576">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417"/>
      <c r="Q41" s="1572" t="str">
        <f t="shared" si="11"/>
        <v>层高</v>
      </c>
      <c r="R41" s="1573" t="s">
        <v>8</v>
      </c>
      <c r="S41" s="1574">
        <f t="shared" si="12"/>
        <v>100</v>
      </c>
      <c r="T41" s="1573" t="s">
        <v>8</v>
      </c>
      <c r="U41" s="1574">
        <f t="shared" si="13"/>
        <v>100</v>
      </c>
      <c r="V41" s="1573" t="s">
        <v>8</v>
      </c>
      <c r="W41" s="1574">
        <f t="shared" si="14"/>
        <v>100</v>
      </c>
      <c r="X41" s="1567"/>
      <c r="Y41" s="3417"/>
      <c r="Z41" s="1575" t="str">
        <f t="shared" si="15"/>
        <v>层高</v>
      </c>
      <c r="AA41" s="1576">
        <f t="shared" si="3"/>
        <v>1</v>
      </c>
      <c r="AB41" s="1576">
        <f t="shared" si="4"/>
        <v>1</v>
      </c>
      <c r="AC41" s="1576">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417"/>
      <c r="Q42" s="1605" t="str">
        <f t="shared" si="11"/>
        <v>单套建筑面积</v>
      </c>
      <c r="R42" s="1577" t="s">
        <v>8</v>
      </c>
      <c r="S42" s="1578">
        <f t="shared" si="12"/>
        <v>100</v>
      </c>
      <c r="T42" s="1577" t="s">
        <v>8</v>
      </c>
      <c r="U42" s="1578">
        <f t="shared" si="13"/>
        <v>100</v>
      </c>
      <c r="V42" s="1577" t="s">
        <v>8</v>
      </c>
      <c r="W42" s="1578">
        <f t="shared" si="14"/>
        <v>100</v>
      </c>
      <c r="X42" s="1579"/>
      <c r="Y42" s="3417"/>
      <c r="Z42" s="1580" t="str">
        <f t="shared" si="15"/>
        <v>单套建筑面积</v>
      </c>
      <c r="AA42" s="1576">
        <f t="shared" si="3"/>
        <v>1</v>
      </c>
      <c r="AB42" s="1576">
        <f t="shared" si="4"/>
        <v>1</v>
      </c>
      <c r="AC42" s="1576">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417"/>
      <c r="Q43" s="1572" t="str">
        <f t="shared" si="11"/>
        <v>内部装修</v>
      </c>
      <c r="R43" s="1573" t="s">
        <v>8</v>
      </c>
      <c r="S43" s="1574">
        <f t="shared" si="12"/>
        <v>100</v>
      </c>
      <c r="T43" s="1573" t="s">
        <v>8</v>
      </c>
      <c r="U43" s="1574">
        <f t="shared" si="13"/>
        <v>100</v>
      </c>
      <c r="V43" s="1573" t="s">
        <v>8</v>
      </c>
      <c r="W43" s="1574">
        <f t="shared" si="14"/>
        <v>100</v>
      </c>
      <c r="X43" s="1567"/>
      <c r="Y43" s="3417"/>
      <c r="Z43" s="1575" t="str">
        <f t="shared" si="15"/>
        <v>内部装修</v>
      </c>
      <c r="AA43" s="1576">
        <f t="shared" si="3"/>
        <v>1</v>
      </c>
      <c r="AB43" s="1576">
        <f t="shared" si="4"/>
        <v>1</v>
      </c>
      <c r="AC43" s="1576">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417"/>
      <c r="Q44" s="1572" t="str">
        <f t="shared" si="11"/>
        <v>内部装修维护情况</v>
      </c>
      <c r="R44" s="1573" t="s">
        <v>8</v>
      </c>
      <c r="S44" s="1574">
        <f t="shared" si="12"/>
        <v>100</v>
      </c>
      <c r="T44" s="1573" t="s">
        <v>8</v>
      </c>
      <c r="U44" s="1574">
        <f t="shared" si="13"/>
        <v>100</v>
      </c>
      <c r="V44" s="1573" t="s">
        <v>8</v>
      </c>
      <c r="W44" s="1574">
        <f t="shared" si="14"/>
        <v>100</v>
      </c>
      <c r="X44" s="1567"/>
      <c r="Y44" s="3417"/>
      <c r="Z44" s="1575" t="str">
        <f t="shared" si="15"/>
        <v>内部装修维护情况</v>
      </c>
      <c r="AA44" s="1576">
        <f t="shared" si="3"/>
        <v>1</v>
      </c>
      <c r="AB44" s="1576">
        <f t="shared" si="4"/>
        <v>1</v>
      </c>
      <c r="AC44" s="1576">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6"/>
      <c r="M45" s="2137"/>
      <c r="N45" s="2137"/>
      <c r="O45" s="2137"/>
      <c r="P45" s="3417"/>
      <c r="Q45" s="1151">
        <f t="shared" si="11"/>
        <v>111</v>
      </c>
      <c r="R45" s="1568" t="s">
        <v>8</v>
      </c>
      <c r="S45" s="1569">
        <f t="shared" si="12"/>
        <v>100</v>
      </c>
      <c r="T45" s="1568" t="s">
        <v>8</v>
      </c>
      <c r="U45" s="1569">
        <f t="shared" si="13"/>
        <v>100</v>
      </c>
      <c r="V45" s="1568" t="s">
        <v>8</v>
      </c>
      <c r="W45" s="1569">
        <f t="shared" si="14"/>
        <v>100</v>
      </c>
      <c r="X45" s="1570"/>
      <c r="Y45" s="3417"/>
      <c r="Z45" s="1150">
        <f t="shared" si="15"/>
        <v>111</v>
      </c>
      <c r="AA45" s="1571">
        <f t="shared" si="3"/>
        <v>1</v>
      </c>
      <c r="AB45" s="1571">
        <f t="shared" si="4"/>
        <v>1</v>
      </c>
      <c r="AC45" s="1571">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3"/>
      <c r="M46" s="2135"/>
      <c r="N46" s="2135"/>
      <c r="O46" s="2135"/>
      <c r="P46" s="3417"/>
      <c r="Q46" s="1572">
        <f t="shared" si="11"/>
        <v>111</v>
      </c>
      <c r="R46" s="1573" t="s">
        <v>8</v>
      </c>
      <c r="S46" s="1574">
        <f t="shared" si="12"/>
        <v>100</v>
      </c>
      <c r="T46" s="1573" t="s">
        <v>8</v>
      </c>
      <c r="U46" s="1574">
        <f t="shared" si="13"/>
        <v>100</v>
      </c>
      <c r="V46" s="1573" t="s">
        <v>8</v>
      </c>
      <c r="W46" s="1574">
        <f t="shared" si="14"/>
        <v>100</v>
      </c>
      <c r="X46" s="1567"/>
      <c r="Y46" s="3417"/>
      <c r="Z46" s="1575">
        <f t="shared" si="15"/>
        <v>111</v>
      </c>
      <c r="AA46" s="1576">
        <f t="shared" si="3"/>
        <v>1</v>
      </c>
      <c r="AB46" s="1576">
        <f t="shared" si="4"/>
        <v>1</v>
      </c>
      <c r="AC46" s="1576">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3"/>
      <c r="M47" s="2135"/>
      <c r="N47" s="2135"/>
      <c r="O47" s="2135"/>
      <c r="P47" s="3471"/>
      <c r="Q47" s="1572">
        <f t="shared" si="11"/>
        <v>111</v>
      </c>
      <c r="R47" s="1573" t="s">
        <v>8</v>
      </c>
      <c r="S47" s="1574">
        <f t="shared" si="12"/>
        <v>100</v>
      </c>
      <c r="T47" s="1573" t="s">
        <v>8</v>
      </c>
      <c r="U47" s="1574">
        <f t="shared" si="13"/>
        <v>100</v>
      </c>
      <c r="V47" s="1573" t="s">
        <v>8</v>
      </c>
      <c r="W47" s="1574">
        <f t="shared" si="14"/>
        <v>100</v>
      </c>
      <c r="X47" s="1567"/>
      <c r="Y47" s="3471"/>
      <c r="Z47" s="1575">
        <f t="shared" si="15"/>
        <v>111</v>
      </c>
      <c r="AA47" s="1576">
        <f t="shared" si="3"/>
        <v>1</v>
      </c>
      <c r="AB47" s="1576">
        <f t="shared" si="4"/>
        <v>1</v>
      </c>
      <c r="AC47" s="1576">
        <f t="shared" si="5"/>
        <v>1</v>
      </c>
    </row>
    <row r="48" spans="1:29" ht="15">
      <c r="A48" s="608" t="s">
        <v>737</v>
      </c>
      <c r="B48" s="887"/>
      <c r="C48" s="2652" t="s">
        <v>1</v>
      </c>
      <c r="D48" s="2653"/>
      <c r="E48" s="2654"/>
      <c r="F48" s="2655"/>
      <c r="G48" s="2656"/>
      <c r="H48" s="2657"/>
      <c r="I48" s="2654"/>
      <c r="J48" s="2657"/>
      <c r="K48" s="1611"/>
      <c r="L48" s="2145"/>
      <c r="M48" s="2135"/>
      <c r="N48" s="2135"/>
      <c r="O48" s="2135"/>
      <c r="P48" s="3377" t="str">
        <f>A48</f>
        <v>成交单价（元/平方米）</v>
      </c>
      <c r="Q48" s="3379"/>
      <c r="R48" s="3470">
        <f>E48</f>
        <v>0</v>
      </c>
      <c r="S48" s="3470"/>
      <c r="T48" s="3470">
        <f>G48</f>
        <v>0</v>
      </c>
      <c r="U48" s="3470"/>
      <c r="V48" s="3470">
        <f>I48</f>
        <v>0</v>
      </c>
      <c r="W48" s="3470"/>
      <c r="X48" s="1559"/>
      <c r="Y48" s="1581"/>
      <c r="Z48" s="1559"/>
      <c r="AA48" s="1559"/>
      <c r="AB48" s="1559"/>
      <c r="AC48" s="1559"/>
    </row>
    <row r="49" spans="1:29" ht="15.75" thickBot="1">
      <c r="A49" s="616" t="s">
        <v>2768</v>
      </c>
      <c r="B49" s="888"/>
      <c r="C49" s="2658" t="e">
        <f>R50</f>
        <v>#DIV/0!</v>
      </c>
      <c r="D49" s="2659"/>
      <c r="E49" s="2660" t="e">
        <f>R49</f>
        <v>#DIV/0!</v>
      </c>
      <c r="F49" s="2660"/>
      <c r="G49" s="2658" t="e">
        <f>T49</f>
        <v>#DIV/0!</v>
      </c>
      <c r="H49" s="2659"/>
      <c r="I49" s="2660" t="e">
        <f>V49</f>
        <v>#DIV/0!</v>
      </c>
      <c r="J49" s="2659"/>
      <c r="K49" s="1612"/>
      <c r="L49" s="2145"/>
      <c r="M49" s="2135"/>
      <c r="N49" s="2135"/>
      <c r="O49" s="2135"/>
      <c r="P49" s="3377" t="str">
        <f>A49</f>
        <v>比较价格（元/平方米）</v>
      </c>
      <c r="Q49" s="3379"/>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59"/>
      <c r="Y49" s="1559"/>
      <c r="Z49" s="1559"/>
      <c r="AA49" s="1559"/>
      <c r="AB49" s="1559"/>
      <c r="AC49" s="1559"/>
    </row>
    <row r="50" spans="1:29" ht="15.75" thickBot="1">
      <c r="A50" s="622" t="s">
        <v>2943</v>
      </c>
      <c r="B50" s="623"/>
      <c r="C50" s="2661" t="e">
        <f>R50</f>
        <v>#DIV/0!</v>
      </c>
      <c r="D50" s="2661"/>
      <c r="E50" s="2661"/>
      <c r="F50" s="2661"/>
      <c r="G50" s="2661"/>
      <c r="H50" s="2661"/>
      <c r="I50" s="2661"/>
      <c r="J50" s="2661"/>
      <c r="K50" s="1613"/>
      <c r="L50" s="2145"/>
      <c r="M50" s="2135"/>
      <c r="N50" s="2135"/>
      <c r="O50" s="2135"/>
      <c r="P50" s="3496" t="str">
        <f>A50</f>
        <v>估价对象XX用房的比较价格（楼面单价，元/平方米）</v>
      </c>
      <c r="Q50" s="3377"/>
      <c r="R50" s="3469" t="e">
        <f>IF(F1="售价",ROUND(AVERAGE(R49:V49),0),ROUND(AVERAGE(R49:V49),1))</f>
        <v>#DIV/0!</v>
      </c>
      <c r="S50" s="3469"/>
      <c r="T50" s="3469"/>
      <c r="U50" s="3469"/>
      <c r="V50" s="3469"/>
      <c r="W50" s="346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6" t="s">
        <v>530</v>
      </c>
      <c r="B59" s="647"/>
      <c r="C59" s="2829" t="str">
        <f>YEAR(C7)&amp;"-"&amp;MONTH(C7)</f>
        <v>2018-2</v>
      </c>
      <c r="D59" s="2831">
        <f>EDATE(C59,-1)</f>
        <v>43101</v>
      </c>
      <c r="E59" s="2831">
        <f t="shared" ref="E59:O59" si="16">EDATE(D59,-1)</f>
        <v>43070</v>
      </c>
      <c r="F59" s="2831">
        <f t="shared" si="16"/>
        <v>43040</v>
      </c>
      <c r="G59" s="2831">
        <f t="shared" si="16"/>
        <v>43009</v>
      </c>
      <c r="H59" s="2831">
        <f t="shared" si="16"/>
        <v>42979</v>
      </c>
      <c r="I59" s="2831">
        <f t="shared" si="16"/>
        <v>42948</v>
      </c>
      <c r="J59" s="2831">
        <f t="shared" si="16"/>
        <v>42917</v>
      </c>
      <c r="K59" s="2831">
        <f t="shared" si="16"/>
        <v>42887</v>
      </c>
      <c r="L59" s="2831">
        <f t="shared" si="16"/>
        <v>42856</v>
      </c>
      <c r="M59" s="2831">
        <f t="shared" si="16"/>
        <v>42826</v>
      </c>
      <c r="N59" s="2831">
        <f t="shared" si="16"/>
        <v>42795</v>
      </c>
      <c r="O59" s="2831">
        <f t="shared" si="16"/>
        <v>42767</v>
      </c>
      <c r="P59" s="2212"/>
      <c r="Q59" s="2162"/>
      <c r="R59" s="2162"/>
      <c r="S59" s="2162"/>
      <c r="T59" s="2162"/>
      <c r="U59" s="2162"/>
      <c r="V59" s="2162"/>
      <c r="W59" s="2162"/>
      <c r="X59" s="2162"/>
      <c r="Y59" s="2162"/>
      <c r="Z59" s="2162"/>
      <c r="AA59" s="2162"/>
      <c r="AB59" s="2162"/>
      <c r="AC59" s="2162"/>
    </row>
    <row r="60" spans="1:29" s="1220"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20" customFormat="1" ht="15.75" thickBot="1">
      <c r="A61" s="654" t="s">
        <v>576</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20" customFormat="1" ht="15">
      <c r="A62" s="660" t="s">
        <v>532</v>
      </c>
      <c r="B62" s="649"/>
      <c r="C62" s="661" t="s">
        <v>577</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0"/>
      <c r="B63" s="649"/>
      <c r="C63" s="889">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540</v>
      </c>
      <c r="B77" s="666" t="s">
        <v>586</v>
      </c>
      <c r="C77" s="704" t="s">
        <v>580</v>
      </c>
      <c r="D77" s="704" t="s">
        <v>581</v>
      </c>
      <c r="E77" s="704" t="s">
        <v>582</v>
      </c>
      <c r="F77" s="704" t="s">
        <v>583</v>
      </c>
      <c r="G77" s="704" t="s">
        <v>584</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587</v>
      </c>
      <c r="C79" s="709" t="s">
        <v>580</v>
      </c>
      <c r="D79" s="709" t="s">
        <v>581</v>
      </c>
      <c r="E79" s="709" t="s">
        <v>582</v>
      </c>
      <c r="F79" s="709" t="s">
        <v>583</v>
      </c>
      <c r="G79" s="709" t="s">
        <v>584</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2564</v>
      </c>
      <c r="C81" s="709" t="s">
        <v>580</v>
      </c>
      <c r="D81" s="709" t="s">
        <v>581</v>
      </c>
      <c r="E81" s="709" t="s">
        <v>582</v>
      </c>
      <c r="F81" s="709" t="s">
        <v>583</v>
      </c>
      <c r="G81" s="709" t="s">
        <v>584</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22" t="s">
        <v>2565</v>
      </c>
      <c r="C83" s="2623" t="s">
        <v>2566</v>
      </c>
      <c r="D83" s="2623" t="s">
        <v>2567</v>
      </c>
      <c r="E83" s="2623" t="s">
        <v>2568</v>
      </c>
      <c r="F83" s="2623" t="s">
        <v>2569</v>
      </c>
      <c r="G83" s="2623" t="s">
        <v>2570</v>
      </c>
      <c r="H83" s="675"/>
      <c r="I83" s="675"/>
      <c r="J83" s="675"/>
      <c r="K83" s="675"/>
      <c r="L83" s="675"/>
      <c r="M83" s="2626"/>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785</v>
      </c>
      <c r="C85" s="709" t="s">
        <v>580</v>
      </c>
      <c r="D85" s="709" t="s">
        <v>581</v>
      </c>
      <c r="E85" s="709" t="s">
        <v>582</v>
      </c>
      <c r="F85" s="709" t="s">
        <v>583</v>
      </c>
      <c r="G85" s="709" t="s">
        <v>584</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0"/>
      <c r="B87" s="674" t="s">
        <v>786</v>
      </c>
      <c r="C87" s="689"/>
      <c r="D87" s="689"/>
      <c r="E87" s="689"/>
      <c r="F87" s="689"/>
      <c r="G87" s="689"/>
      <c r="H87" s="689"/>
      <c r="I87" s="689"/>
      <c r="J87" s="689"/>
      <c r="K87" s="689"/>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2"/>
      <c r="G89" s="689"/>
      <c r="H89" s="689"/>
      <c r="I89" s="689"/>
      <c r="J89" s="689"/>
      <c r="K89" s="689"/>
      <c r="L89" s="689"/>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3"/>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552</v>
      </c>
      <c r="B101" s="666" t="s">
        <v>748</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750</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752</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9"/>
      <c r="B113" s="674" t="s">
        <v>787</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754</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2563</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7" t="s">
        <v>788</v>
      </c>
      <c r="C119" s="719"/>
      <c r="D119" s="719"/>
      <c r="E119" s="719"/>
      <c r="F119" s="719"/>
      <c r="G119" s="719"/>
      <c r="H119" s="719"/>
      <c r="I119" s="719"/>
      <c r="J119" s="719"/>
      <c r="K119" s="719"/>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9"/>
      <c r="B121" s="674" t="s">
        <v>776</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756</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4"/>
      <c r="G1" s="1601" t="s">
        <v>722</v>
      </c>
      <c r="H1" s="507"/>
      <c r="I1" s="507"/>
      <c r="J1" s="507"/>
      <c r="K1" s="508"/>
      <c r="L1" s="1562"/>
      <c r="M1" s="1563"/>
      <c r="N1" s="1563"/>
      <c r="O1" s="1563"/>
      <c r="P1" s="1564"/>
      <c r="Q1" s="1564"/>
      <c r="R1" s="1564"/>
      <c r="S1" s="1564"/>
      <c r="T1" s="1564"/>
      <c r="U1" s="1564"/>
      <c r="V1" s="1564"/>
      <c r="W1" s="1564"/>
      <c r="X1" s="1564"/>
      <c r="Y1" s="1564"/>
      <c r="Z1" s="1564"/>
      <c r="AA1" s="1564"/>
      <c r="AB1" s="1564"/>
      <c r="AC1" s="429"/>
    </row>
    <row r="2" spans="1:29" s="1336" customFormat="1" ht="28.5" customHeight="1">
      <c r="A2" s="424" t="s">
        <v>467</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9"/>
    </row>
    <row r="3" spans="1:29" s="1336" customFormat="1" ht="28.5" customHeight="1" thickBot="1">
      <c r="A3" s="510" t="s">
        <v>520</v>
      </c>
      <c r="B3" s="511" t="e">
        <f>C43</f>
        <v>#DIV/0!</v>
      </c>
      <c r="C3" s="853" t="s">
        <v>723</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522</v>
      </c>
      <c r="B4" s="514"/>
      <c r="C4" s="3385" t="s">
        <v>523</v>
      </c>
      <c r="D4" s="3386"/>
      <c r="E4" s="3420" t="s">
        <v>524</v>
      </c>
      <c r="F4" s="3421"/>
      <c r="G4" s="3385" t="s">
        <v>525</v>
      </c>
      <c r="H4" s="3386"/>
      <c r="I4" s="3385" t="s">
        <v>526</v>
      </c>
      <c r="J4" s="3386"/>
      <c r="K4" s="515" t="s">
        <v>527</v>
      </c>
      <c r="L4" s="2134"/>
      <c r="M4" s="2135"/>
      <c r="N4" s="2135"/>
      <c r="O4" s="2135"/>
      <c r="P4" s="3387" t="s">
        <v>528</v>
      </c>
      <c r="Q4" s="3388"/>
      <c r="R4" s="3393" t="s">
        <v>524</v>
      </c>
      <c r="S4" s="3394"/>
      <c r="T4" s="3393" t="s">
        <v>525</v>
      </c>
      <c r="U4" s="3394"/>
      <c r="V4" s="3380" t="s">
        <v>526</v>
      </c>
      <c r="W4" s="3380"/>
      <c r="X4" s="1567"/>
      <c r="Y4" s="3393" t="s">
        <v>528</v>
      </c>
      <c r="Z4" s="3394"/>
      <c r="AA4" s="3382" t="s">
        <v>524</v>
      </c>
      <c r="AB4" s="3383" t="s">
        <v>525</v>
      </c>
      <c r="AC4" s="3382" t="s">
        <v>526</v>
      </c>
    </row>
    <row r="5" spans="1:29" ht="15">
      <c r="A5" s="516"/>
      <c r="B5" s="517"/>
      <c r="C5" s="3403" t="s">
        <v>2937</v>
      </c>
      <c r="D5" s="3402"/>
      <c r="E5" s="3422" t="s">
        <v>2938</v>
      </c>
      <c r="F5" s="3423"/>
      <c r="G5" s="3403" t="s">
        <v>2939</v>
      </c>
      <c r="H5" s="3402"/>
      <c r="I5" s="3403" t="s">
        <v>2940</v>
      </c>
      <c r="J5" s="3402"/>
      <c r="K5" s="515"/>
      <c r="L5" s="2134"/>
      <c r="M5" s="2135"/>
      <c r="N5" s="2135"/>
      <c r="O5" s="2135"/>
      <c r="P5" s="3389"/>
      <c r="Q5" s="3390"/>
      <c r="R5" s="3395"/>
      <c r="S5" s="3396"/>
      <c r="T5" s="3395"/>
      <c r="U5" s="3396"/>
      <c r="V5" s="3380"/>
      <c r="W5" s="3380"/>
      <c r="X5" s="1567"/>
      <c r="Y5" s="3395"/>
      <c r="Z5" s="3396"/>
      <c r="AA5" s="3383"/>
      <c r="AB5" s="3383"/>
      <c r="AC5" s="3383"/>
    </row>
    <row r="6" spans="1:29" ht="15.75" thickBot="1">
      <c r="A6" s="518"/>
      <c r="B6" s="519"/>
      <c r="C6" s="3399" t="s">
        <v>2941</v>
      </c>
      <c r="D6" s="3400"/>
      <c r="E6" s="3418" t="s">
        <v>2941</v>
      </c>
      <c r="F6" s="3419"/>
      <c r="G6" s="3399" t="s">
        <v>2941</v>
      </c>
      <c r="H6" s="3400"/>
      <c r="I6" s="3399" t="s">
        <v>2941</v>
      </c>
      <c r="J6" s="3400"/>
      <c r="K6" s="515" t="s">
        <v>529</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39"/>
      <c r="B7" s="2946" t="s">
        <v>530</v>
      </c>
      <c r="C7" s="520">
        <f>'数据-取费表'!B2</f>
        <v>43138</v>
      </c>
      <c r="D7" s="521">
        <v>100</v>
      </c>
      <c r="E7" s="522"/>
      <c r="F7" s="523">
        <f>SUMIF(52:52,YEAR(E7)&amp;"-"&amp;MONTH(E7),53:53)</f>
        <v>0</v>
      </c>
      <c r="G7" s="522"/>
      <c r="H7" s="521">
        <f>SUMIF(52:52,YEAR(G7)&amp;"-"&amp;MONTH(G7),53:53)</f>
        <v>0</v>
      </c>
      <c r="I7" s="522"/>
      <c r="J7" s="521">
        <f>SUMIF(52:52,YEAR(I7)&amp;"-"&amp;MONTH(I7),53:53)</f>
        <v>0</v>
      </c>
      <c r="K7" s="525"/>
      <c r="L7" s="2136"/>
      <c r="M7" s="2137"/>
      <c r="N7" s="2137"/>
      <c r="O7" s="2137"/>
      <c r="P7" s="3411" t="s">
        <v>531</v>
      </c>
      <c r="Q7" s="3413"/>
      <c r="R7" s="1568" t="s">
        <v>8</v>
      </c>
      <c r="S7" s="1569">
        <f t="shared" ref="S7:S15" si="0">F7</f>
        <v>0</v>
      </c>
      <c r="T7" s="1568" t="s">
        <v>8</v>
      </c>
      <c r="U7" s="1569">
        <f t="shared" ref="U7:U15" si="1">H7</f>
        <v>0</v>
      </c>
      <c r="V7" s="1568" t="s">
        <v>8</v>
      </c>
      <c r="W7" s="1569">
        <f t="shared" ref="W7:W15" si="2">J7</f>
        <v>0</v>
      </c>
      <c r="X7" s="1570"/>
      <c r="Y7" s="3411" t="s">
        <v>531</v>
      </c>
      <c r="Z7" s="3412"/>
      <c r="AA7" s="1571" t="e">
        <f>D7/F7</f>
        <v>#DIV/0!</v>
      </c>
      <c r="AB7" s="1571" t="e">
        <f>D7/H7</f>
        <v>#DIV/0!</v>
      </c>
      <c r="AC7" s="1571" t="e">
        <f>D7/J7</f>
        <v>#DIV/0!</v>
      </c>
    </row>
    <row r="8" spans="1:29" s="1220" customFormat="1" ht="15.75" thickBot="1">
      <c r="A8" s="2940"/>
      <c r="B8" s="2947" t="s">
        <v>532</v>
      </c>
      <c r="C8" s="526" t="s">
        <v>577</v>
      </c>
      <c r="D8" s="521">
        <v>100</v>
      </c>
      <c r="E8" s="526"/>
      <c r="F8" s="523">
        <f>SUMIF(55:55,E8,56:56)-SUMIF(55:55,C8,56:56)+100</f>
        <v>0</v>
      </c>
      <c r="G8" s="526"/>
      <c r="H8" s="521">
        <f>SUMIF(55:55,G8,56:56)-SUMIF(55:55,C8,56:56)+100</f>
        <v>0</v>
      </c>
      <c r="I8" s="526"/>
      <c r="J8" s="521">
        <f>SUMIF(55:55,I8,56:56)-SUMIF(55:55,C8,56:56)+100</f>
        <v>0</v>
      </c>
      <c r="K8" s="525"/>
      <c r="L8" s="2136"/>
      <c r="M8" s="2137"/>
      <c r="N8" s="2137"/>
      <c r="O8" s="2137"/>
      <c r="P8" s="3411" t="s">
        <v>534</v>
      </c>
      <c r="Q8" s="3412"/>
      <c r="R8" s="1568" t="s">
        <v>8</v>
      </c>
      <c r="S8" s="1569">
        <f t="shared" si="0"/>
        <v>0</v>
      </c>
      <c r="T8" s="1568" t="s">
        <v>8</v>
      </c>
      <c r="U8" s="1569">
        <f t="shared" si="1"/>
        <v>0</v>
      </c>
      <c r="V8" s="1568" t="s">
        <v>8</v>
      </c>
      <c r="W8" s="1569">
        <f t="shared" si="2"/>
        <v>0</v>
      </c>
      <c r="X8" s="1570"/>
      <c r="Y8" s="3411" t="s">
        <v>534</v>
      </c>
      <c r="Z8" s="3412"/>
      <c r="AA8" s="1571" t="e">
        <f t="shared" ref="AA8:AA40" si="3">D8/F8</f>
        <v>#DIV/0!</v>
      </c>
      <c r="AB8" s="1571" t="e">
        <f t="shared" ref="AB8:AB40" si="4">D8/H8</f>
        <v>#DIV/0!</v>
      </c>
      <c r="AC8" s="1571" t="e">
        <f t="shared" ref="AC8:AC40" si="5">D8/J8</f>
        <v>#DIV/0!</v>
      </c>
    </row>
    <row r="9" spans="1:29" s="1220" customFormat="1" ht="15">
      <c r="A9" s="2941"/>
      <c r="B9" s="2948" t="s">
        <v>2764</v>
      </c>
      <c r="C9" s="858"/>
      <c r="D9" s="252">
        <v>100</v>
      </c>
      <c r="E9" s="861"/>
      <c r="F9" s="252">
        <f>SUMIF(57:57,E9,58:58)-SUMIF(57:57,C9,58:58)+100</f>
        <v>100</v>
      </c>
      <c r="G9" s="859"/>
      <c r="H9" s="252">
        <f>SUMIF(57:57,G9,58:58)-SUMIF(57:57,C9,58:58)+100</f>
        <v>100</v>
      </c>
      <c r="I9" s="859"/>
      <c r="J9" s="252">
        <f>SUMIF(57:57,I9,58:58)-SUMIF(57:57,C9,58:58)+100</f>
        <v>100</v>
      </c>
      <c r="K9" s="525"/>
      <c r="L9" s="2136"/>
      <c r="M9" s="2137"/>
      <c r="N9" s="2137"/>
      <c r="O9" s="2138"/>
      <c r="P9" s="3379" t="s">
        <v>536</v>
      </c>
      <c r="Q9" s="1151" t="str">
        <f t="shared" ref="Q9:Q15" si="6">B9</f>
        <v>用途</v>
      </c>
      <c r="R9" s="1568" t="s">
        <v>8</v>
      </c>
      <c r="S9" s="1569">
        <f t="shared" si="0"/>
        <v>100</v>
      </c>
      <c r="T9" s="1568" t="s">
        <v>8</v>
      </c>
      <c r="U9" s="1569">
        <f t="shared" si="1"/>
        <v>100</v>
      </c>
      <c r="V9" s="1568" t="s">
        <v>8</v>
      </c>
      <c r="W9" s="1569">
        <f t="shared" si="2"/>
        <v>100</v>
      </c>
      <c r="X9" s="1570"/>
      <c r="Y9" s="3325" t="s">
        <v>537</v>
      </c>
      <c r="Z9" s="1150" t="str">
        <f t="shared" ref="Z9:Z15" si="7">Q9</f>
        <v>用途</v>
      </c>
      <c r="AA9" s="1571">
        <f t="shared" si="3"/>
        <v>1</v>
      </c>
      <c r="AB9" s="1571">
        <f t="shared" si="4"/>
        <v>1</v>
      </c>
      <c r="AC9" s="1571">
        <f t="shared" si="5"/>
        <v>1</v>
      </c>
    </row>
    <row r="10" spans="1:29" s="1338" customFormat="1" ht="27">
      <c r="A10" s="2942"/>
      <c r="B10" s="2947" t="s">
        <v>2765</v>
      </c>
      <c r="C10" s="862"/>
      <c r="D10" s="253">
        <v>100</v>
      </c>
      <c r="E10" s="862"/>
      <c r="F10" s="253">
        <f>SUMIF(59:59,E10,60:60)-SUMIF(59:59,C10,60:60)+100</f>
        <v>100</v>
      </c>
      <c r="G10" s="863"/>
      <c r="H10" s="253">
        <f>SUMIF(59:59,G10,60:60)-SUMIF(59:59,C10,60:60)+100</f>
        <v>100</v>
      </c>
      <c r="I10" s="862"/>
      <c r="J10" s="253">
        <f>SUMIF(59:59,I10,60:60)-SUMIF(59:59,C10,60:60)+100</f>
        <v>100</v>
      </c>
      <c r="K10" s="585"/>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43"/>
      <c r="B11" s="2947" t="s">
        <v>2766</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1"/>
      <c r="M11" s="2135"/>
      <c r="N11" s="2135"/>
      <c r="O11" s="2142"/>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44"/>
      <c r="B12" s="2950">
        <v>111</v>
      </c>
      <c r="C12" s="529"/>
      <c r="D12" s="539">
        <v>100</v>
      </c>
      <c r="E12" s="540"/>
      <c r="F12" s="253">
        <f>SUMIF(64:64,E12,65:65)-SUMIF(64:64,C12,65:65)+100</f>
        <v>100</v>
      </c>
      <c r="G12" s="920"/>
      <c r="H12" s="253">
        <f>SUMIF(64:64,G12,65:65)-SUMIF(64:64,C12,65:65)+100</f>
        <v>100</v>
      </c>
      <c r="I12" s="880"/>
      <c r="J12" s="253">
        <f>SUMIF(64:64,I12,65:65)-SUMIF(64:64,C12,65:65)+100</f>
        <v>100</v>
      </c>
      <c r="K12" s="582"/>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44"/>
      <c r="B13" s="2950">
        <v>111</v>
      </c>
      <c r="C13" s="540"/>
      <c r="D13" s="541">
        <v>100</v>
      </c>
      <c r="E13" s="540"/>
      <c r="F13" s="253">
        <f>SUMIF(66:66,E13,67:67)-SUMIF(66:66,C13,67:67)+100</f>
        <v>100</v>
      </c>
      <c r="G13" s="920"/>
      <c r="H13" s="541">
        <f>SUMIF(66:66,G13,67:67)-SUMIF(66:66,C13,67:67)+100</f>
        <v>100</v>
      </c>
      <c r="I13" s="880"/>
      <c r="J13" s="541">
        <f>SUMIF(66:66,I13,67:67)-SUMIF(66:66,C13,67:67)+100</f>
        <v>100</v>
      </c>
      <c r="K13" s="582"/>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45"/>
      <c r="B14" s="2951">
        <v>111</v>
      </c>
      <c r="C14" s="546"/>
      <c r="D14" s="547">
        <v>100</v>
      </c>
      <c r="E14" s="546"/>
      <c r="F14" s="547">
        <f>SUMIF(68:68,E14,69:69)-SUMIF(68:68,C14,69:69)+100</f>
        <v>100</v>
      </c>
      <c r="G14" s="920"/>
      <c r="H14" s="547">
        <f>SUMIF(68:68,G14,69:69)-SUMIF(68:68,C14,69:69)+100</f>
        <v>100</v>
      </c>
      <c r="I14" s="880"/>
      <c r="J14" s="547">
        <f>SUMIF(68:68,I14,69:69)-SUMIF(68:68,C14,69:69)+100</f>
        <v>100</v>
      </c>
      <c r="K14" s="582"/>
      <c r="L14" s="2143"/>
      <c r="M14" s="2135"/>
      <c r="N14" s="2135"/>
      <c r="O14" s="2142"/>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57">
      <c r="A15" s="2937" t="s">
        <v>2762</v>
      </c>
      <c r="B15" s="165"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3"/>
      <c r="M15" s="2135"/>
      <c r="N15" s="2135"/>
      <c r="O15" s="2142"/>
      <c r="P15" s="3414" t="s">
        <v>541</v>
      </c>
      <c r="Q15" s="1572" t="str">
        <f t="shared" si="6"/>
        <v>产业集聚程度</v>
      </c>
      <c r="R15" s="1573" t="s">
        <v>8</v>
      </c>
      <c r="S15" s="1574">
        <f t="shared" si="0"/>
        <v>100</v>
      </c>
      <c r="T15" s="1573" t="s">
        <v>8</v>
      </c>
      <c r="U15" s="1574">
        <f t="shared" si="1"/>
        <v>100</v>
      </c>
      <c r="V15" s="1573" t="s">
        <v>8</v>
      </c>
      <c r="W15" s="1574">
        <f t="shared" si="2"/>
        <v>100</v>
      </c>
      <c r="X15" s="1567"/>
      <c r="Y15" s="3414" t="s">
        <v>541</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415"/>
      <c r="Q16" s="1572"/>
      <c r="R16" s="1573"/>
      <c r="S16" s="1574"/>
      <c r="T16" s="1573"/>
      <c r="U16" s="1574"/>
      <c r="V16" s="1573"/>
      <c r="W16" s="1574"/>
      <c r="X16" s="1567"/>
      <c r="Y16" s="3415"/>
      <c r="Z16" s="1575"/>
      <c r="AA16" s="1576">
        <v>1</v>
      </c>
      <c r="AB16" s="1576">
        <v>1</v>
      </c>
      <c r="AC16" s="1576">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3"/>
      <c r="M17" s="2135"/>
      <c r="N17" s="2135"/>
      <c r="O17" s="2142"/>
      <c r="P17" s="3415"/>
      <c r="Q17" s="1572" t="str">
        <f>B17</f>
        <v>交通便捷度</v>
      </c>
      <c r="R17" s="1573" t="s">
        <v>8</v>
      </c>
      <c r="S17" s="1574">
        <f>F17</f>
        <v>100</v>
      </c>
      <c r="T17" s="1573" t="s">
        <v>8</v>
      </c>
      <c r="U17" s="1574">
        <f>H17</f>
        <v>100</v>
      </c>
      <c r="V17" s="1573" t="s">
        <v>8</v>
      </c>
      <c r="W17" s="1574">
        <f>J17</f>
        <v>100</v>
      </c>
      <c r="X17" s="1567"/>
      <c r="Y17" s="3415"/>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415"/>
      <c r="Q18" s="1572"/>
      <c r="R18" s="1573"/>
      <c r="S18" s="1574"/>
      <c r="T18" s="1573"/>
      <c r="U18" s="1574"/>
      <c r="V18" s="1573"/>
      <c r="W18" s="1574"/>
      <c r="X18" s="1567"/>
      <c r="Y18" s="3415"/>
      <c r="Z18" s="1575"/>
      <c r="AA18" s="1576">
        <v>1</v>
      </c>
      <c r="AB18" s="1576">
        <v>1</v>
      </c>
      <c r="AC18" s="1576">
        <v>1</v>
      </c>
    </row>
    <row r="19" spans="1:29" ht="42.75">
      <c r="A19" s="533"/>
      <c r="B19" s="2628"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3"/>
      <c r="M19" s="2135"/>
      <c r="N19" s="2135"/>
      <c r="O19" s="2142"/>
      <c r="P19" s="3415"/>
      <c r="Q19" s="1572" t="str">
        <f>B19</f>
        <v>公共配套设施</v>
      </c>
      <c r="R19" s="1573" t="s">
        <v>8</v>
      </c>
      <c r="S19" s="1574">
        <f>F19</f>
        <v>100</v>
      </c>
      <c r="T19" s="1573" t="s">
        <v>8</v>
      </c>
      <c r="U19" s="1574">
        <f>H19</f>
        <v>100</v>
      </c>
      <c r="V19" s="1573" t="s">
        <v>8</v>
      </c>
      <c r="W19" s="1574">
        <f>J19</f>
        <v>100</v>
      </c>
      <c r="X19" s="1567"/>
      <c r="Y19" s="3415"/>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3"/>
      <c r="M20" s="2135"/>
      <c r="N20" s="2135"/>
      <c r="O20" s="2142"/>
      <c r="P20" s="3415"/>
      <c r="Q20" s="1572"/>
      <c r="R20" s="1573"/>
      <c r="S20" s="1574"/>
      <c r="T20" s="1573"/>
      <c r="U20" s="1574"/>
      <c r="V20" s="1573"/>
      <c r="W20" s="1574"/>
      <c r="X20" s="1567"/>
      <c r="Y20" s="3415"/>
      <c r="Z20" s="1575"/>
      <c r="AA20" s="1576">
        <v>1</v>
      </c>
      <c r="AB20" s="1576">
        <v>1</v>
      </c>
      <c r="AC20" s="1576">
        <v>1</v>
      </c>
    </row>
    <row r="21" spans="1:29" ht="28.5">
      <c r="A21" s="533"/>
      <c r="B21" s="2616"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3"/>
      <c r="M21" s="2135"/>
      <c r="N21" s="2135"/>
      <c r="O21" s="2142"/>
      <c r="P21" s="3415"/>
      <c r="Q21" s="2604" t="str">
        <f>B21</f>
        <v>基础设施水平</v>
      </c>
      <c r="R21" s="1573" t="s">
        <v>8</v>
      </c>
      <c r="S21" s="1574">
        <f>F21</f>
        <v>100</v>
      </c>
      <c r="T21" s="1573" t="s">
        <v>8</v>
      </c>
      <c r="U21" s="1574">
        <f>H21</f>
        <v>100</v>
      </c>
      <c r="V21" s="1573" t="s">
        <v>8</v>
      </c>
      <c r="W21" s="1574">
        <f>J21</f>
        <v>100</v>
      </c>
      <c r="X21" s="2606"/>
      <c r="Y21" s="3415"/>
      <c r="Z21" s="2605"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7"/>
      <c r="L22" s="2143"/>
      <c r="M22" s="2135"/>
      <c r="N22" s="2135"/>
      <c r="O22" s="2142"/>
      <c r="P22" s="3415"/>
      <c r="Q22" s="2604"/>
      <c r="R22" s="1573"/>
      <c r="S22" s="1574"/>
      <c r="T22" s="1573"/>
      <c r="U22" s="1574"/>
      <c r="V22" s="1573"/>
      <c r="W22" s="1574"/>
      <c r="X22" s="2606"/>
      <c r="Y22" s="3415"/>
      <c r="Z22" s="2605"/>
      <c r="AA22" s="1576">
        <v>1</v>
      </c>
      <c r="AB22" s="1576">
        <v>1</v>
      </c>
      <c r="AC22" s="1576">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3"/>
      <c r="M23" s="2135"/>
      <c r="N23" s="2135"/>
      <c r="O23" s="2142"/>
      <c r="P23" s="3415"/>
      <c r="Q23" s="1572" t="str">
        <f>B23</f>
        <v>环境质量</v>
      </c>
      <c r="R23" s="1573" t="s">
        <v>8</v>
      </c>
      <c r="S23" s="1574">
        <f>F23</f>
        <v>100</v>
      </c>
      <c r="T23" s="1573" t="s">
        <v>8</v>
      </c>
      <c r="U23" s="1574">
        <f>H23</f>
        <v>100</v>
      </c>
      <c r="V23" s="1573" t="s">
        <v>8</v>
      </c>
      <c r="W23" s="1574">
        <f>J23</f>
        <v>100</v>
      </c>
      <c r="X23" s="1567"/>
      <c r="Y23" s="3415"/>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3"/>
      <c r="M24" s="2135"/>
      <c r="N24" s="2135"/>
      <c r="O24" s="2142"/>
      <c r="P24" s="3415"/>
      <c r="Q24" s="1572"/>
      <c r="R24" s="1573"/>
      <c r="S24" s="1574"/>
      <c r="T24" s="1573"/>
      <c r="U24" s="1574"/>
      <c r="V24" s="1573"/>
      <c r="W24" s="1574"/>
      <c r="X24" s="1567"/>
      <c r="Y24" s="3415"/>
      <c r="Z24" s="1575"/>
      <c r="AA24" s="1576">
        <v>1</v>
      </c>
      <c r="AB24" s="1576">
        <v>1</v>
      </c>
      <c r="AC24" s="1576">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415"/>
      <c r="Q25" s="1572">
        <f>B25</f>
        <v>111</v>
      </c>
      <c r="R25" s="1573" t="s">
        <v>8</v>
      </c>
      <c r="S25" s="1574">
        <f>F25</f>
        <v>100</v>
      </c>
      <c r="T25" s="1573" t="s">
        <v>8</v>
      </c>
      <c r="U25" s="1574">
        <f>H25</f>
        <v>100</v>
      </c>
      <c r="V25" s="1573" t="s">
        <v>8</v>
      </c>
      <c r="W25" s="1574">
        <f>J25</f>
        <v>100</v>
      </c>
      <c r="X25" s="1567"/>
      <c r="Y25" s="3415"/>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415"/>
      <c r="Q26" s="1572">
        <f t="shared" ref="Q26:Q40" si="11">B26</f>
        <v>111</v>
      </c>
      <c r="R26" s="1573" t="s">
        <v>8</v>
      </c>
      <c r="S26" s="1574">
        <f>F26</f>
        <v>100</v>
      </c>
      <c r="T26" s="1573" t="s">
        <v>8</v>
      </c>
      <c r="U26" s="1574">
        <f>H26</f>
        <v>100</v>
      </c>
      <c r="V26" s="1573" t="s">
        <v>8</v>
      </c>
      <c r="W26" s="1574">
        <f>J26</f>
        <v>100</v>
      </c>
      <c r="X26" s="1567"/>
      <c r="Y26" s="3415"/>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6"/>
      <c r="M27" s="2137"/>
      <c r="N27" s="2137"/>
      <c r="O27" s="2138"/>
      <c r="P27" s="3415"/>
      <c r="Q27" s="1151">
        <f t="shared" si="11"/>
        <v>111</v>
      </c>
      <c r="R27" s="1568" t="s">
        <v>8</v>
      </c>
      <c r="S27" s="1569">
        <f>F27</f>
        <v>100</v>
      </c>
      <c r="T27" s="1568" t="s">
        <v>8</v>
      </c>
      <c r="U27" s="1569">
        <f>H27</f>
        <v>100</v>
      </c>
      <c r="V27" s="1568" t="s">
        <v>8</v>
      </c>
      <c r="W27" s="1569">
        <f>J27</f>
        <v>100</v>
      </c>
      <c r="X27" s="1570"/>
      <c r="Y27" s="3415"/>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3"/>
      <c r="M28" s="2135"/>
      <c r="N28" s="2135"/>
      <c r="O28" s="2142"/>
      <c r="P28" s="3415"/>
      <c r="Q28" s="1572">
        <f t="shared" si="11"/>
        <v>111</v>
      </c>
      <c r="R28" s="1573" t="s">
        <v>8</v>
      </c>
      <c r="S28" s="1574">
        <f t="shared" ref="S28:S40" si="12">F28</f>
        <v>100</v>
      </c>
      <c r="T28" s="1573" t="s">
        <v>8</v>
      </c>
      <c r="U28" s="1574">
        <f t="shared" ref="U28:U40" si="13">H28</f>
        <v>100</v>
      </c>
      <c r="V28" s="1573" t="s">
        <v>8</v>
      </c>
      <c r="W28" s="1574">
        <f t="shared" ref="W28:W40" si="14">J28</f>
        <v>100</v>
      </c>
      <c r="X28" s="1567"/>
      <c r="Y28" s="3415"/>
      <c r="Z28" s="1575">
        <f t="shared" ref="Z28:Z40" si="15">Q28</f>
        <v>111</v>
      </c>
      <c r="AA28" s="1576">
        <f t="shared" si="3"/>
        <v>1</v>
      </c>
      <c r="AB28" s="1576">
        <f t="shared" si="4"/>
        <v>1</v>
      </c>
      <c r="AC28" s="1576">
        <f t="shared" si="5"/>
        <v>1</v>
      </c>
    </row>
    <row r="29" spans="1:29" ht="15">
      <c r="A29" s="2934" t="s">
        <v>2763</v>
      </c>
      <c r="B29" s="171" t="s">
        <v>781</v>
      </c>
      <c r="C29" s="916"/>
      <c r="D29" s="598">
        <v>100</v>
      </c>
      <c r="E29" s="916"/>
      <c r="F29" s="576">
        <f>SUMIF(88:88,E29,89:89)-SUMIF(88:88,C29,89:89)+100</f>
        <v>100</v>
      </c>
      <c r="G29" s="916"/>
      <c r="H29" s="541">
        <f>SUMIF(88:88,G29,89:89)-SUMIF(88:88,C29,89:89)+100</f>
        <v>100</v>
      </c>
      <c r="I29" s="916"/>
      <c r="J29" s="598">
        <f>SUMIF(88:88,I29,89:89)-SUMIF(88:88,C29,89:89)+100</f>
        <v>100</v>
      </c>
      <c r="K29" s="585"/>
      <c r="L29" s="2143"/>
      <c r="M29" s="2135"/>
      <c r="N29" s="2135"/>
      <c r="O29" s="2142"/>
      <c r="P29" s="3416" t="s">
        <v>551</v>
      </c>
      <c r="Q29" s="1572" t="str">
        <f t="shared" si="11"/>
        <v>建筑类型</v>
      </c>
      <c r="R29" s="1573" t="s">
        <v>8</v>
      </c>
      <c r="S29" s="1574">
        <f t="shared" si="12"/>
        <v>100</v>
      </c>
      <c r="T29" s="1573" t="s">
        <v>8</v>
      </c>
      <c r="U29" s="1574">
        <f t="shared" si="13"/>
        <v>100</v>
      </c>
      <c r="V29" s="1573" t="s">
        <v>8</v>
      </c>
      <c r="W29" s="1574">
        <f t="shared" si="14"/>
        <v>100</v>
      </c>
      <c r="X29" s="1567"/>
      <c r="Y29" s="3417" t="s">
        <v>551</v>
      </c>
      <c r="Z29" s="1575" t="str">
        <f t="shared" si="15"/>
        <v>建筑类型</v>
      </c>
      <c r="AA29" s="1576">
        <f t="shared" si="3"/>
        <v>1</v>
      </c>
      <c r="AB29" s="1576">
        <f t="shared" si="4"/>
        <v>1</v>
      </c>
      <c r="AC29" s="1576">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41"/>
      <c r="M30" s="2172"/>
      <c r="N30" s="2172"/>
      <c r="O30" s="2144"/>
      <c r="P30" s="3417"/>
      <c r="Q30" s="1605" t="str">
        <f t="shared" si="11"/>
        <v>项目建筑规模</v>
      </c>
      <c r="R30" s="1577" t="s">
        <v>8</v>
      </c>
      <c r="S30" s="1578" t="e">
        <f t="shared" si="12"/>
        <v>#N/A</v>
      </c>
      <c r="T30" s="1577" t="s">
        <v>8</v>
      </c>
      <c r="U30" s="1578" t="e">
        <f t="shared" si="13"/>
        <v>#N/A</v>
      </c>
      <c r="V30" s="1577" t="s">
        <v>8</v>
      </c>
      <c r="W30" s="1578" t="e">
        <f t="shared" si="14"/>
        <v>#N/A</v>
      </c>
      <c r="X30" s="1579"/>
      <c r="Y30" s="3417"/>
      <c r="Z30" s="1580" t="str">
        <f t="shared" si="15"/>
        <v>项目建筑规模</v>
      </c>
      <c r="AA30" s="1576" t="e">
        <f t="shared" si="3"/>
        <v>#N/A</v>
      </c>
      <c r="AB30" s="1576" t="e">
        <f t="shared" si="4"/>
        <v>#N/A</v>
      </c>
      <c r="AC30" s="1576"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417"/>
      <c r="Q31" s="1572" t="str">
        <f t="shared" si="11"/>
        <v>建筑结构</v>
      </c>
      <c r="R31" s="1573" t="s">
        <v>8</v>
      </c>
      <c r="S31" s="1574">
        <f t="shared" si="12"/>
        <v>100</v>
      </c>
      <c r="T31" s="1573" t="s">
        <v>8</v>
      </c>
      <c r="U31" s="1574">
        <f t="shared" si="13"/>
        <v>100</v>
      </c>
      <c r="V31" s="1573" t="s">
        <v>8</v>
      </c>
      <c r="W31" s="1574">
        <f t="shared" si="14"/>
        <v>100</v>
      </c>
      <c r="X31" s="1567"/>
      <c r="Y31" s="3417"/>
      <c r="Z31" s="1575" t="str">
        <f t="shared" si="15"/>
        <v>建筑结构</v>
      </c>
      <c r="AA31" s="1576">
        <f t="shared" si="3"/>
        <v>1</v>
      </c>
      <c r="AB31" s="1576">
        <f t="shared" si="4"/>
        <v>1</v>
      </c>
      <c r="AC31" s="1576">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417"/>
      <c r="Q32" s="1572" t="str">
        <f t="shared" si="11"/>
        <v>公共部分装修</v>
      </c>
      <c r="R32" s="1573" t="s">
        <v>8</v>
      </c>
      <c r="S32" s="1574">
        <f t="shared" si="12"/>
        <v>100</v>
      </c>
      <c r="T32" s="1573" t="s">
        <v>8</v>
      </c>
      <c r="U32" s="1574">
        <f t="shared" si="13"/>
        <v>100</v>
      </c>
      <c r="V32" s="1573" t="s">
        <v>8</v>
      </c>
      <c r="W32" s="1574">
        <f t="shared" si="14"/>
        <v>100</v>
      </c>
      <c r="X32" s="1567"/>
      <c r="Y32" s="3417"/>
      <c r="Z32" s="1575" t="str">
        <f t="shared" si="15"/>
        <v>公共部分装修</v>
      </c>
      <c r="AA32" s="1576">
        <f t="shared" si="3"/>
        <v>1</v>
      </c>
      <c r="AB32" s="1576">
        <f t="shared" si="4"/>
        <v>1</v>
      </c>
      <c r="AC32" s="1576">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3"/>
      <c r="M33" s="2135"/>
      <c r="N33" s="2135"/>
      <c r="O33" s="2142"/>
      <c r="P33" s="3417"/>
      <c r="Q33" s="1572" t="str">
        <f t="shared" si="11"/>
        <v>成新度</v>
      </c>
      <c r="R33" s="1573" t="s">
        <v>8</v>
      </c>
      <c r="S33" s="1574" t="e">
        <f t="shared" si="12"/>
        <v>#N/A</v>
      </c>
      <c r="T33" s="1573" t="s">
        <v>8</v>
      </c>
      <c r="U33" s="1574" t="e">
        <f t="shared" si="13"/>
        <v>#N/A</v>
      </c>
      <c r="V33" s="1573" t="s">
        <v>8</v>
      </c>
      <c r="W33" s="1574" t="e">
        <f t="shared" si="14"/>
        <v>#N/A</v>
      </c>
      <c r="X33" s="1567"/>
      <c r="Y33" s="3417"/>
      <c r="Z33" s="1575" t="str">
        <f t="shared" si="15"/>
        <v>成新度</v>
      </c>
      <c r="AA33" s="1576" t="e">
        <f t="shared" si="3"/>
        <v>#N/A</v>
      </c>
      <c r="AB33" s="1576" t="e">
        <f t="shared" si="4"/>
        <v>#N/A</v>
      </c>
      <c r="AC33" s="1576"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417"/>
      <c r="Q34" s="1151" t="str">
        <f t="shared" si="11"/>
        <v>物业管理</v>
      </c>
      <c r="R34" s="1568" t="s">
        <v>8</v>
      </c>
      <c r="S34" s="1569">
        <f t="shared" si="12"/>
        <v>100</v>
      </c>
      <c r="T34" s="1568" t="s">
        <v>8</v>
      </c>
      <c r="U34" s="1569">
        <f t="shared" si="13"/>
        <v>100</v>
      </c>
      <c r="V34" s="1568" t="s">
        <v>8</v>
      </c>
      <c r="W34" s="1569">
        <f t="shared" si="14"/>
        <v>100</v>
      </c>
      <c r="X34" s="1570"/>
      <c r="Y34" s="3417"/>
      <c r="Z34" s="1150" t="str">
        <f t="shared" si="15"/>
        <v>物业管理</v>
      </c>
      <c r="AA34" s="1571">
        <f t="shared" si="3"/>
        <v>1</v>
      </c>
      <c r="AB34" s="1571">
        <f t="shared" si="4"/>
        <v>1</v>
      </c>
      <c r="AC34" s="1571">
        <f t="shared" si="5"/>
        <v>1</v>
      </c>
    </row>
    <row r="35" spans="1:29" ht="15">
      <c r="A35" s="595"/>
      <c r="B35" s="1896"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417" t="s">
        <v>551</v>
      </c>
      <c r="Q35" s="1572" t="str">
        <f t="shared" si="11"/>
        <v>市政基础设施</v>
      </c>
      <c r="R35" s="1573" t="s">
        <v>8</v>
      </c>
      <c r="S35" s="1574">
        <f t="shared" si="12"/>
        <v>100</v>
      </c>
      <c r="T35" s="1573" t="s">
        <v>8</v>
      </c>
      <c r="U35" s="1574">
        <f t="shared" si="13"/>
        <v>100</v>
      </c>
      <c r="V35" s="1573" t="s">
        <v>8</v>
      </c>
      <c r="W35" s="1574">
        <f t="shared" si="14"/>
        <v>100</v>
      </c>
      <c r="X35" s="1567"/>
      <c r="Y35" s="3417" t="s">
        <v>551</v>
      </c>
      <c r="Z35" s="1575" t="str">
        <f t="shared" si="15"/>
        <v>市政基础设施</v>
      </c>
      <c r="AA35" s="1576">
        <f t="shared" si="3"/>
        <v>1</v>
      </c>
      <c r="AB35" s="1576">
        <f t="shared" si="4"/>
        <v>1</v>
      </c>
      <c r="AC35" s="1576">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417"/>
      <c r="Q36" s="1572" t="str">
        <f t="shared" si="11"/>
        <v>内部装修</v>
      </c>
      <c r="R36" s="1573" t="s">
        <v>8</v>
      </c>
      <c r="S36" s="1574">
        <f t="shared" si="12"/>
        <v>100</v>
      </c>
      <c r="T36" s="1573" t="s">
        <v>8</v>
      </c>
      <c r="U36" s="1574">
        <f t="shared" si="13"/>
        <v>100</v>
      </c>
      <c r="V36" s="1573" t="s">
        <v>8</v>
      </c>
      <c r="W36" s="1574">
        <f t="shared" si="14"/>
        <v>100</v>
      </c>
      <c r="X36" s="1567"/>
      <c r="Y36" s="3417"/>
      <c r="Z36" s="1575" t="str">
        <f t="shared" si="15"/>
        <v>内部装修</v>
      </c>
      <c r="AA36" s="1576">
        <f t="shared" si="3"/>
        <v>1</v>
      </c>
      <c r="AB36" s="1576">
        <f t="shared" si="4"/>
        <v>1</v>
      </c>
      <c r="AC36" s="1576">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417"/>
      <c r="Q37" s="1572" t="str">
        <f t="shared" si="11"/>
        <v>内部装修状况</v>
      </c>
      <c r="R37" s="1573" t="s">
        <v>8</v>
      </c>
      <c r="S37" s="1574">
        <f t="shared" si="12"/>
        <v>100</v>
      </c>
      <c r="T37" s="1573" t="s">
        <v>8</v>
      </c>
      <c r="U37" s="1574">
        <f t="shared" si="13"/>
        <v>100</v>
      </c>
      <c r="V37" s="1573" t="s">
        <v>8</v>
      </c>
      <c r="W37" s="1574">
        <f t="shared" si="14"/>
        <v>100</v>
      </c>
      <c r="X37" s="1567"/>
      <c r="Y37" s="3417"/>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1"/>
      <c r="M38" s="2172"/>
      <c r="N38" s="2172"/>
      <c r="O38" s="2144"/>
      <c r="P38" s="3417"/>
      <c r="Q38" s="1605">
        <f t="shared" si="11"/>
        <v>111</v>
      </c>
      <c r="R38" s="1577" t="s">
        <v>8</v>
      </c>
      <c r="S38" s="1578">
        <f t="shared" si="12"/>
        <v>100</v>
      </c>
      <c r="T38" s="1577" t="s">
        <v>8</v>
      </c>
      <c r="U38" s="1578">
        <f t="shared" si="13"/>
        <v>100</v>
      </c>
      <c r="V38" s="1577" t="s">
        <v>8</v>
      </c>
      <c r="W38" s="1578">
        <f t="shared" si="14"/>
        <v>100</v>
      </c>
      <c r="X38" s="1579"/>
      <c r="Y38" s="3417"/>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3"/>
      <c r="M39" s="2135"/>
      <c r="N39" s="2135"/>
      <c r="O39" s="2142"/>
      <c r="P39" s="3417"/>
      <c r="Q39" s="1572">
        <f t="shared" si="11"/>
        <v>111</v>
      </c>
      <c r="R39" s="1573" t="s">
        <v>8</v>
      </c>
      <c r="S39" s="1574">
        <f t="shared" si="12"/>
        <v>100</v>
      </c>
      <c r="T39" s="1573" t="s">
        <v>8</v>
      </c>
      <c r="U39" s="1574">
        <f t="shared" si="13"/>
        <v>100</v>
      </c>
      <c r="V39" s="1573" t="s">
        <v>8</v>
      </c>
      <c r="W39" s="1574">
        <f t="shared" si="14"/>
        <v>100</v>
      </c>
      <c r="X39" s="1567"/>
      <c r="Y39" s="3417"/>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3"/>
      <c r="M40" s="2135"/>
      <c r="N40" s="2135"/>
      <c r="O40" s="2142"/>
      <c r="P40" s="3471"/>
      <c r="Q40" s="1572">
        <f t="shared" si="11"/>
        <v>111</v>
      </c>
      <c r="R40" s="1573" t="s">
        <v>8</v>
      </c>
      <c r="S40" s="1574">
        <f t="shared" si="12"/>
        <v>100</v>
      </c>
      <c r="T40" s="1573" t="s">
        <v>8</v>
      </c>
      <c r="U40" s="1574">
        <f t="shared" si="13"/>
        <v>100</v>
      </c>
      <c r="V40" s="1573" t="s">
        <v>8</v>
      </c>
      <c r="W40" s="1574">
        <f t="shared" si="14"/>
        <v>100</v>
      </c>
      <c r="X40" s="1567"/>
      <c r="Y40" s="3471"/>
      <c r="Z40" s="1575">
        <f t="shared" si="15"/>
        <v>111</v>
      </c>
      <c r="AA40" s="1576">
        <f t="shared" si="3"/>
        <v>1</v>
      </c>
      <c r="AB40" s="1576">
        <f t="shared" si="4"/>
        <v>1</v>
      </c>
      <c r="AC40" s="1576">
        <f t="shared" si="5"/>
        <v>1</v>
      </c>
    </row>
    <row r="41" spans="1:29" ht="15">
      <c r="A41" s="608" t="s">
        <v>737</v>
      </c>
      <c r="B41" s="887"/>
      <c r="C41" s="2652" t="s">
        <v>1</v>
      </c>
      <c r="D41" s="2653"/>
      <c r="E41" s="2654"/>
      <c r="F41" s="2655"/>
      <c r="G41" s="2656"/>
      <c r="H41" s="2657"/>
      <c r="I41" s="2654"/>
      <c r="J41" s="2657"/>
      <c r="K41" s="1611"/>
      <c r="L41" s="2145"/>
      <c r="M41" s="2146"/>
      <c r="N41" s="2135"/>
      <c r="O41" s="2146"/>
      <c r="P41" s="3379" t="str">
        <f>A41</f>
        <v>成交单价（元/平方米）</v>
      </c>
      <c r="Q41" s="3379"/>
      <c r="R41" s="3470">
        <f>E41</f>
        <v>0</v>
      </c>
      <c r="S41" s="3470"/>
      <c r="T41" s="3470">
        <f>G41</f>
        <v>0</v>
      </c>
      <c r="U41" s="3470"/>
      <c r="V41" s="3470">
        <f>I41</f>
        <v>0</v>
      </c>
      <c r="W41" s="3470"/>
      <c r="X41" s="1559"/>
      <c r="Y41" s="1581"/>
      <c r="Z41" s="1559"/>
      <c r="AA41" s="1559"/>
      <c r="AB41" s="1559"/>
      <c r="AC41" s="1559"/>
    </row>
    <row r="42" spans="1:29" ht="15.75" thickBot="1">
      <c r="A42" s="616" t="s">
        <v>2768</v>
      </c>
      <c r="B42" s="888"/>
      <c r="C42" s="2658" t="e">
        <f>R43</f>
        <v>#DIV/0!</v>
      </c>
      <c r="D42" s="2659"/>
      <c r="E42" s="2660" t="e">
        <f>R42</f>
        <v>#DIV/0!</v>
      </c>
      <c r="F42" s="2660"/>
      <c r="G42" s="2658" t="e">
        <f>T42</f>
        <v>#DIV/0!</v>
      </c>
      <c r="H42" s="2659"/>
      <c r="I42" s="2660" t="e">
        <f>V42</f>
        <v>#DIV/0!</v>
      </c>
      <c r="J42" s="2659"/>
      <c r="K42" s="1612"/>
      <c r="L42" s="2145"/>
      <c r="M42" s="2146"/>
      <c r="N42" s="2135"/>
      <c r="O42" s="2146"/>
      <c r="P42" s="3379" t="str">
        <f>A42</f>
        <v>比较价格（元/平方米）</v>
      </c>
      <c r="Q42" s="3379"/>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59"/>
      <c r="Y42" s="1559"/>
      <c r="Z42" s="1559"/>
      <c r="AA42" s="1559"/>
      <c r="AB42" s="1559"/>
      <c r="AC42" s="1559"/>
    </row>
    <row r="43" spans="1:29" ht="15.75" thickBot="1">
      <c r="A43" s="622" t="s">
        <v>2943</v>
      </c>
      <c r="B43" s="623"/>
      <c r="C43" s="2661" t="e">
        <f>R43</f>
        <v>#DIV/0!</v>
      </c>
      <c r="D43" s="2661"/>
      <c r="E43" s="2661"/>
      <c r="F43" s="2661"/>
      <c r="G43" s="2661"/>
      <c r="H43" s="2661"/>
      <c r="I43" s="2661"/>
      <c r="J43" s="2661"/>
      <c r="K43" s="1613"/>
      <c r="L43" s="2145"/>
      <c r="M43" s="2146"/>
      <c r="N43" s="2146"/>
      <c r="O43" s="2146"/>
      <c r="P43" s="3376" t="str">
        <f>A43</f>
        <v>估价对象XX用房的比较价格（楼面单价，元/平方米）</v>
      </c>
      <c r="Q43" s="3377"/>
      <c r="R43" s="3469" t="e">
        <f>IF(F1="售价",ROUND(AVERAGE(R42:V42),0),ROUND(AVERAGE(R42:V42),1))</f>
        <v>#DIV/0!</v>
      </c>
      <c r="S43" s="3469"/>
      <c r="T43" s="3469"/>
      <c r="U43" s="3469"/>
      <c r="V43" s="3469"/>
      <c r="W43" s="346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6" t="s">
        <v>530</v>
      </c>
      <c r="B52" s="647"/>
      <c r="C52" s="2829" t="str">
        <f>YEAR(C7)&amp;"-"&amp;MONTH(C7)</f>
        <v>2018-2</v>
      </c>
      <c r="D52" s="2831">
        <f>EDATE(C52,-1)</f>
        <v>43101</v>
      </c>
      <c r="E52" s="2831">
        <f t="shared" ref="E52:O52" si="16">EDATE(D52,-1)</f>
        <v>43070</v>
      </c>
      <c r="F52" s="2831">
        <f t="shared" si="16"/>
        <v>43040</v>
      </c>
      <c r="G52" s="2831">
        <f t="shared" si="16"/>
        <v>43009</v>
      </c>
      <c r="H52" s="2831">
        <f t="shared" si="16"/>
        <v>42979</v>
      </c>
      <c r="I52" s="2831">
        <f t="shared" si="16"/>
        <v>42948</v>
      </c>
      <c r="J52" s="2831">
        <f t="shared" si="16"/>
        <v>42917</v>
      </c>
      <c r="K52" s="2831">
        <f t="shared" si="16"/>
        <v>42887</v>
      </c>
      <c r="L52" s="2831">
        <f t="shared" si="16"/>
        <v>42856</v>
      </c>
      <c r="M52" s="2831">
        <f t="shared" si="16"/>
        <v>42826</v>
      </c>
      <c r="N52" s="2831">
        <f t="shared" si="16"/>
        <v>42795</v>
      </c>
      <c r="O52" s="2831">
        <f t="shared" si="16"/>
        <v>42767</v>
      </c>
      <c r="P52" s="2161"/>
      <c r="Q52" s="2162"/>
      <c r="R52" s="2162"/>
      <c r="S52" s="2162"/>
      <c r="T52" s="2162"/>
      <c r="U52" s="2162"/>
      <c r="V52" s="2162"/>
      <c r="W52" s="2162"/>
      <c r="X52" s="2162"/>
      <c r="Y52" s="2162"/>
      <c r="Z52" s="2162"/>
      <c r="AA52" s="2162"/>
      <c r="AB52" s="2162"/>
      <c r="AC52" s="2162"/>
    </row>
    <row r="53" spans="1:29" s="1220"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20" customFormat="1" ht="15.75" thickBot="1">
      <c r="A54" s="654" t="s">
        <v>576</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20" customFormat="1" ht="15">
      <c r="A55" s="660" t="s">
        <v>532</v>
      </c>
      <c r="B55" s="649"/>
      <c r="C55" s="661" t="s">
        <v>577</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540</v>
      </c>
      <c r="B70" s="666" t="s">
        <v>586</v>
      </c>
      <c r="C70" s="704" t="s">
        <v>580</v>
      </c>
      <c r="D70" s="704" t="s">
        <v>581</v>
      </c>
      <c r="E70" s="704" t="s">
        <v>582</v>
      </c>
      <c r="F70" s="704" t="s">
        <v>583</v>
      </c>
      <c r="G70" s="704" t="s">
        <v>584</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587</v>
      </c>
      <c r="C72" s="709" t="s">
        <v>580</v>
      </c>
      <c r="D72" s="709" t="s">
        <v>581</v>
      </c>
      <c r="E72" s="709" t="s">
        <v>582</v>
      </c>
      <c r="F72" s="709" t="s">
        <v>583</v>
      </c>
      <c r="G72" s="709" t="s">
        <v>584</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2564</v>
      </c>
      <c r="C74" s="709" t="s">
        <v>580</v>
      </c>
      <c r="D74" s="709" t="s">
        <v>581</v>
      </c>
      <c r="E74" s="709" t="s">
        <v>582</v>
      </c>
      <c r="F74" s="709" t="s">
        <v>583</v>
      </c>
      <c r="G74" s="709" t="s">
        <v>584</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22" t="s">
        <v>2565</v>
      </c>
      <c r="C76" s="2623" t="s">
        <v>2566</v>
      </c>
      <c r="D76" s="2623" t="s">
        <v>2567</v>
      </c>
      <c r="E76" s="2623" t="s">
        <v>2568</v>
      </c>
      <c r="F76" s="2623" t="s">
        <v>2569</v>
      </c>
      <c r="G76" s="2623" t="s">
        <v>2570</v>
      </c>
      <c r="H76" s="935"/>
      <c r="I76" s="935"/>
      <c r="J76" s="935"/>
      <c r="K76" s="935"/>
      <c r="L76" s="935"/>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785</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0"/>
      <c r="B80" s="674">
        <f>B25</f>
        <v>111</v>
      </c>
      <c r="C80" s="689"/>
      <c r="D80" s="689"/>
      <c r="E80" s="689"/>
      <c r="F80" s="689"/>
      <c r="G80" s="689"/>
      <c r="H80" s="689"/>
      <c r="I80" s="689"/>
      <c r="J80" s="689"/>
      <c r="K80" s="689"/>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3"/>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552</v>
      </c>
      <c r="B88" s="666" t="s">
        <v>748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750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752</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9"/>
      <c r="B100" s="674" t="s">
        <v>754</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2563</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756</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796</v>
      </c>
      <c r="B3" s="511" t="e">
        <f>IF(B37="元/平方米",C39,ROUND(B2*10000/D3,0))</f>
        <v>#DIV/0!</v>
      </c>
      <c r="C3" s="853" t="s">
        <v>797</v>
      </c>
      <c r="D3" s="852">
        <f>SUMIF('数据-汇总表'!$C19:$C33,D1,'数据-汇总表'!$E19:$E33)</f>
        <v>0</v>
      </c>
      <c r="E3" s="1849" t="s">
        <v>2080</v>
      </c>
      <c r="F3" s="852">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798</v>
      </c>
      <c r="B4" s="514"/>
      <c r="C4" s="3385" t="s">
        <v>799</v>
      </c>
      <c r="D4" s="3386"/>
      <c r="E4" s="3385" t="s">
        <v>800</v>
      </c>
      <c r="F4" s="3386"/>
      <c r="G4" s="3385" t="s">
        <v>801</v>
      </c>
      <c r="H4" s="3386"/>
      <c r="I4" s="3385" t="s">
        <v>802</v>
      </c>
      <c r="J4" s="3386"/>
      <c r="K4" s="515" t="s">
        <v>803</v>
      </c>
      <c r="L4" s="2134"/>
      <c r="M4" s="2135"/>
      <c r="N4" s="2135"/>
      <c r="O4" s="2135"/>
      <c r="P4" s="3387" t="s">
        <v>804</v>
      </c>
      <c r="Q4" s="3388"/>
      <c r="R4" s="3393" t="s">
        <v>800</v>
      </c>
      <c r="S4" s="3394"/>
      <c r="T4" s="3393" t="s">
        <v>801</v>
      </c>
      <c r="U4" s="3394"/>
      <c r="V4" s="3380" t="s">
        <v>802</v>
      </c>
      <c r="W4" s="3380"/>
      <c r="X4" s="1567"/>
      <c r="Y4" s="3393" t="s">
        <v>804</v>
      </c>
      <c r="Z4" s="3394"/>
      <c r="AA4" s="3382" t="s">
        <v>800</v>
      </c>
      <c r="AB4" s="3383" t="s">
        <v>801</v>
      </c>
      <c r="AC4" s="3382" t="s">
        <v>802</v>
      </c>
    </row>
    <row r="5" spans="1:29" ht="15">
      <c r="A5" s="516"/>
      <c r="B5" s="517"/>
      <c r="C5" s="3403" t="s">
        <v>2937</v>
      </c>
      <c r="D5" s="3402"/>
      <c r="E5" s="3403" t="s">
        <v>2938</v>
      </c>
      <c r="F5" s="3402"/>
      <c r="G5" s="3403" t="s">
        <v>2939</v>
      </c>
      <c r="H5" s="3402"/>
      <c r="I5" s="3403" t="s">
        <v>2940</v>
      </c>
      <c r="J5" s="3402"/>
      <c r="K5" s="515"/>
      <c r="L5" s="2134"/>
      <c r="M5" s="2135"/>
      <c r="N5" s="2135"/>
      <c r="O5" s="2135"/>
      <c r="P5" s="3389"/>
      <c r="Q5" s="3390"/>
      <c r="R5" s="3395"/>
      <c r="S5" s="3396"/>
      <c r="T5" s="3395"/>
      <c r="U5" s="3396"/>
      <c r="V5" s="3380"/>
      <c r="W5" s="3380"/>
      <c r="X5" s="1567"/>
      <c r="Y5" s="3395"/>
      <c r="Z5" s="3396"/>
      <c r="AA5" s="3383"/>
      <c r="AB5" s="3383"/>
      <c r="AC5" s="3383"/>
    </row>
    <row r="6" spans="1:29" ht="15.75" thickBot="1">
      <c r="A6" s="518"/>
      <c r="B6" s="519"/>
      <c r="C6" s="3399" t="s">
        <v>2941</v>
      </c>
      <c r="D6" s="3400"/>
      <c r="E6" s="3404" t="s">
        <v>2941</v>
      </c>
      <c r="F6" s="3405"/>
      <c r="G6" s="3399" t="s">
        <v>2941</v>
      </c>
      <c r="H6" s="3400"/>
      <c r="I6" s="3399" t="s">
        <v>2941</v>
      </c>
      <c r="J6" s="3400"/>
      <c r="K6" s="515" t="s">
        <v>529</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39"/>
      <c r="B7" s="2946" t="s">
        <v>530</v>
      </c>
      <c r="C7" s="520">
        <f>'数据-取费表'!B2</f>
        <v>43138</v>
      </c>
      <c r="D7" s="521">
        <v>100</v>
      </c>
      <c r="E7" s="522"/>
      <c r="F7" s="523">
        <f>SUMIF(48:48,YEAR(E7)&amp;"-"&amp;MONTH(E7),49:49)</f>
        <v>0</v>
      </c>
      <c r="G7" s="524"/>
      <c r="H7" s="521">
        <f>SUMIF(48:48,YEAR(G7)&amp;"-"&amp;MONTH(G7),49:49)</f>
        <v>0</v>
      </c>
      <c r="I7" s="524"/>
      <c r="J7" s="521">
        <f>SUMIF(48:48,YEAR(I7)&amp;"-"&amp;MONTH(I7),49:49)</f>
        <v>0</v>
      </c>
      <c r="K7" s="525"/>
      <c r="L7" s="2136"/>
      <c r="M7" s="2137"/>
      <c r="N7" s="2137"/>
      <c r="O7" s="2137"/>
      <c r="P7" s="3411" t="s">
        <v>531</v>
      </c>
      <c r="Q7" s="3413"/>
      <c r="R7" s="1568" t="s">
        <v>8</v>
      </c>
      <c r="S7" s="1569">
        <f t="shared" ref="S7:S14" si="0">F7</f>
        <v>0</v>
      </c>
      <c r="T7" s="1568" t="s">
        <v>8</v>
      </c>
      <c r="U7" s="1569">
        <f t="shared" ref="U7:U14" si="1">H7</f>
        <v>0</v>
      </c>
      <c r="V7" s="1568" t="s">
        <v>8</v>
      </c>
      <c r="W7" s="1569">
        <f t="shared" ref="W7:W14" si="2">J7</f>
        <v>0</v>
      </c>
      <c r="X7" s="1570"/>
      <c r="Y7" s="3411" t="s">
        <v>531</v>
      </c>
      <c r="Z7" s="3412"/>
      <c r="AA7" s="1571" t="e">
        <f>D7/F7</f>
        <v>#DIV/0!</v>
      </c>
      <c r="AB7" s="1571" t="e">
        <f>D7/H7</f>
        <v>#DIV/0!</v>
      </c>
      <c r="AC7" s="1571" t="e">
        <f>D7/J7</f>
        <v>#DIV/0!</v>
      </c>
    </row>
    <row r="8" spans="1:29" s="1220" customFormat="1" ht="15.75" thickBot="1">
      <c r="A8" s="2940"/>
      <c r="B8" s="2947" t="s">
        <v>532</v>
      </c>
      <c r="C8" s="526" t="s">
        <v>577</v>
      </c>
      <c r="D8" s="521">
        <v>100</v>
      </c>
      <c r="E8" s="526"/>
      <c r="F8" s="523">
        <f>SUMIF(51:51,E8,52:52)-SUMIF(51:51,C8,52:52)+100</f>
        <v>0</v>
      </c>
      <c r="G8" s="526"/>
      <c r="H8" s="521">
        <f>SUMIF(51:51,G8,52:52)-SUMIF(51:51,C8,52:52)+100</f>
        <v>0</v>
      </c>
      <c r="I8" s="526"/>
      <c r="J8" s="521">
        <f>SUMIF(51:51,I8,52:52)-SUMIF(51:51,C8,52:52)+100</f>
        <v>0</v>
      </c>
      <c r="K8" s="525"/>
      <c r="L8" s="2136"/>
      <c r="M8" s="2137"/>
      <c r="N8" s="2137"/>
      <c r="O8" s="2137"/>
      <c r="P8" s="3411" t="s">
        <v>534</v>
      </c>
      <c r="Q8" s="3412"/>
      <c r="R8" s="1568" t="s">
        <v>8</v>
      </c>
      <c r="S8" s="1569">
        <f t="shared" si="0"/>
        <v>0</v>
      </c>
      <c r="T8" s="1568" t="s">
        <v>8</v>
      </c>
      <c r="U8" s="1569">
        <f t="shared" si="1"/>
        <v>0</v>
      </c>
      <c r="V8" s="1568" t="s">
        <v>8</v>
      </c>
      <c r="W8" s="1569">
        <f t="shared" si="2"/>
        <v>0</v>
      </c>
      <c r="X8" s="1570"/>
      <c r="Y8" s="3411" t="s">
        <v>534</v>
      </c>
      <c r="Z8" s="3412"/>
      <c r="AA8" s="1571" t="e">
        <f t="shared" ref="AA8:AA36" si="3">D8/F8</f>
        <v>#DIV/0!</v>
      </c>
      <c r="AB8" s="1571" t="e">
        <f t="shared" ref="AB8:AB36" si="4">D8/H8</f>
        <v>#DIV/0!</v>
      </c>
      <c r="AC8" s="1571" t="e">
        <f t="shared" ref="AC8:AC36" si="5">D8/J8</f>
        <v>#DIV/0!</v>
      </c>
    </row>
    <row r="9" spans="1:29" s="1220" customFormat="1" ht="15">
      <c r="A9" s="2941"/>
      <c r="B9" s="2948" t="s">
        <v>2764</v>
      </c>
      <c r="C9" s="858"/>
      <c r="D9" s="252">
        <v>100</v>
      </c>
      <c r="E9" s="861"/>
      <c r="F9" s="252">
        <f>SUMIF(53:53,E9,54:54)-SUMIF(53:53,C9,54:54)+100</f>
        <v>100</v>
      </c>
      <c r="G9" s="859"/>
      <c r="H9" s="252">
        <f>SUMIF(53:53,G9,54:54)-SUMIF(53:53,C9,54:54)+100</f>
        <v>100</v>
      </c>
      <c r="I9" s="859"/>
      <c r="J9" s="252">
        <f>SUMIF(53:53,I9,54:54)-SUMIF(53:53,C9,54:54)+100</f>
        <v>100</v>
      </c>
      <c r="K9" s="525"/>
      <c r="L9" s="2136"/>
      <c r="M9" s="2137"/>
      <c r="N9" s="2137"/>
      <c r="O9" s="2138"/>
      <c r="P9" s="3379" t="s">
        <v>536</v>
      </c>
      <c r="Q9" s="1151" t="str">
        <f t="shared" ref="Q9:Q14" si="6">B9</f>
        <v>用途</v>
      </c>
      <c r="R9" s="1568" t="s">
        <v>8</v>
      </c>
      <c r="S9" s="1569">
        <f t="shared" si="0"/>
        <v>100</v>
      </c>
      <c r="T9" s="1568" t="s">
        <v>8</v>
      </c>
      <c r="U9" s="1569">
        <f t="shared" si="1"/>
        <v>100</v>
      </c>
      <c r="V9" s="1568" t="s">
        <v>8</v>
      </c>
      <c r="W9" s="1569">
        <f t="shared" si="2"/>
        <v>100</v>
      </c>
      <c r="X9" s="1570"/>
      <c r="Y9" s="3325" t="s">
        <v>537</v>
      </c>
      <c r="Z9" s="1150" t="str">
        <f t="shared" ref="Z9:Z14" si="7">Q9</f>
        <v>用途</v>
      </c>
      <c r="AA9" s="1571">
        <f t="shared" si="3"/>
        <v>1</v>
      </c>
      <c r="AB9" s="1571">
        <f t="shared" si="4"/>
        <v>1</v>
      </c>
      <c r="AC9" s="1571">
        <f t="shared" si="5"/>
        <v>1</v>
      </c>
    </row>
    <row r="10" spans="1:29" s="1338" customFormat="1" ht="27">
      <c r="A10" s="2942"/>
      <c r="B10" s="2947" t="s">
        <v>2765</v>
      </c>
      <c r="C10" s="862"/>
      <c r="D10" s="253">
        <v>100</v>
      </c>
      <c r="E10" s="862"/>
      <c r="F10" s="253">
        <f>SUMIF(55:55,E10,56:56)-SUMIF(55:55,C10,56:56)+100</f>
        <v>100</v>
      </c>
      <c r="G10" s="863"/>
      <c r="H10" s="253">
        <f>SUMIF(55:55,G10,56:56)-SUMIF(55:55,C10,56:56)+100</f>
        <v>100</v>
      </c>
      <c r="I10" s="862"/>
      <c r="J10" s="253">
        <f>SUMIF(55:55,I10,56:56)-SUMIF(55:55,C10,56:56)+100</f>
        <v>100</v>
      </c>
      <c r="K10" s="585"/>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44"/>
      <c r="B11" s="2950">
        <v>111</v>
      </c>
      <c r="C11" s="529"/>
      <c r="D11" s="253">
        <v>100</v>
      </c>
      <c r="E11" s="529"/>
      <c r="F11" s="253">
        <f>SUMIF(57:57,E11,58:58)-SUMIF(57:57,C11,58:58)+100</f>
        <v>100</v>
      </c>
      <c r="G11" s="529"/>
      <c r="H11" s="253">
        <f>SUMIF(57:57,G11,58:58)-SUMIF(57:57,C11,58:58)+100</f>
        <v>100</v>
      </c>
      <c r="I11" s="529"/>
      <c r="J11" s="253">
        <f>SUMIF(57:57,I11,58:58)-SUMIF(57:57,C11,58:58)+100</f>
        <v>100</v>
      </c>
      <c r="K11" s="582"/>
      <c r="L11" s="2141"/>
      <c r="M11" s="2135"/>
      <c r="N11" s="2135"/>
      <c r="O11" s="2142"/>
      <c r="P11" s="3379"/>
      <c r="Q11" s="1151">
        <f t="shared" si="6"/>
        <v>111</v>
      </c>
      <c r="R11" s="1568" t="s">
        <v>8</v>
      </c>
      <c r="S11" s="1569">
        <f t="shared" si="0"/>
        <v>100</v>
      </c>
      <c r="T11" s="1568" t="s">
        <v>8</v>
      </c>
      <c r="U11" s="1569">
        <f t="shared" si="1"/>
        <v>100</v>
      </c>
      <c r="V11" s="1568" t="s">
        <v>8</v>
      </c>
      <c r="W11" s="1569">
        <f t="shared" si="2"/>
        <v>100</v>
      </c>
      <c r="X11" s="1570"/>
      <c r="Y11" s="3325"/>
      <c r="Z11" s="1150">
        <f t="shared" si="7"/>
        <v>111</v>
      </c>
      <c r="AA11" s="1571">
        <f t="shared" si="3"/>
        <v>1</v>
      </c>
      <c r="AB11" s="1571">
        <f t="shared" si="4"/>
        <v>1</v>
      </c>
      <c r="AC11" s="1571">
        <f t="shared" si="5"/>
        <v>1</v>
      </c>
    </row>
    <row r="12" spans="1:29" s="1220" customFormat="1" ht="15">
      <c r="A12" s="2944"/>
      <c r="B12" s="2950">
        <v>111</v>
      </c>
      <c r="C12" s="529"/>
      <c r="D12" s="539">
        <v>100</v>
      </c>
      <c r="E12" s="529"/>
      <c r="F12" s="253">
        <f>SUMIF(59:59,E12,60:60)-SUMIF(59:59,C12,60:60)+100</f>
        <v>100</v>
      </c>
      <c r="G12" s="529"/>
      <c r="H12" s="253">
        <f>SUMIF(59:59,G12,60:60)-SUMIF(59:59,C12,60:60)+100</f>
        <v>100</v>
      </c>
      <c r="I12" s="529"/>
      <c r="J12" s="253">
        <f>SUMIF(59:59,I12,60:60)-SUMIF(59:59,C12,60:60)+100</f>
        <v>100</v>
      </c>
      <c r="K12" s="582"/>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75" thickBot="1">
      <c r="A13" s="2945"/>
      <c r="B13" s="2951">
        <v>111</v>
      </c>
      <c r="C13" s="540"/>
      <c r="D13" s="541">
        <v>100</v>
      </c>
      <c r="E13" s="529"/>
      <c r="F13" s="253">
        <f>SUMIF(61:61,E13,62:62)-SUMIF(61:61,C13,62:62)+100</f>
        <v>100</v>
      </c>
      <c r="G13" s="529"/>
      <c r="H13" s="541">
        <f>SUMIF(61:61,G13,62:62)-SUMIF(61:61,C13,62:62)+100</f>
        <v>100</v>
      </c>
      <c r="I13" s="529"/>
      <c r="J13" s="541">
        <f>SUMIF(61:61,I13,62:62)-SUMIF(61:61,C13,62:62)+100</f>
        <v>100</v>
      </c>
      <c r="K13" s="582"/>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85.5">
      <c r="A14" s="2937" t="s">
        <v>2762</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3"/>
      <c r="M14" s="2135"/>
      <c r="N14" s="2135"/>
      <c r="O14" s="2142"/>
      <c r="P14" s="3414" t="s">
        <v>541</v>
      </c>
      <c r="Q14" s="1572" t="str">
        <f t="shared" si="6"/>
        <v>交通便捷度</v>
      </c>
      <c r="R14" s="1573" t="s">
        <v>8</v>
      </c>
      <c r="S14" s="1574">
        <f t="shared" si="0"/>
        <v>100</v>
      </c>
      <c r="T14" s="1573" t="s">
        <v>8</v>
      </c>
      <c r="U14" s="1574">
        <f t="shared" si="1"/>
        <v>100</v>
      </c>
      <c r="V14" s="1573" t="s">
        <v>8</v>
      </c>
      <c r="W14" s="1574">
        <f t="shared" si="2"/>
        <v>100</v>
      </c>
      <c r="X14" s="1567"/>
      <c r="Y14" s="3414" t="s">
        <v>541</v>
      </c>
      <c r="Z14" s="1575" t="str">
        <f t="shared" si="7"/>
        <v>交通便捷度</v>
      </c>
      <c r="AA14" s="1576">
        <f t="shared" si="3"/>
        <v>1</v>
      </c>
      <c r="AB14" s="1576">
        <f t="shared" si="4"/>
        <v>1</v>
      </c>
      <c r="AC14" s="1576">
        <f t="shared" si="5"/>
        <v>1</v>
      </c>
    </row>
    <row r="15" spans="1:29" ht="15">
      <c r="A15" s="516"/>
      <c r="B15" s="924"/>
      <c r="C15" s="577"/>
      <c r="D15" s="556"/>
      <c r="E15" s="577"/>
      <c r="F15" s="558"/>
      <c r="G15" s="577"/>
      <c r="H15" s="560"/>
      <c r="I15" s="577"/>
      <c r="J15" s="556"/>
      <c r="K15" s="899"/>
      <c r="L15" s="2143"/>
      <c r="M15" s="2135"/>
      <c r="N15" s="2135"/>
      <c r="O15" s="2142"/>
      <c r="P15" s="3415"/>
      <c r="Q15" s="1572"/>
      <c r="R15" s="1573"/>
      <c r="S15" s="1574"/>
      <c r="T15" s="1573"/>
      <c r="U15" s="1574"/>
      <c r="V15" s="1573"/>
      <c r="W15" s="1574"/>
      <c r="X15" s="1567"/>
      <c r="Y15" s="3415"/>
      <c r="Z15" s="1575"/>
      <c r="AA15" s="1576">
        <v>1</v>
      </c>
      <c r="AB15" s="1576">
        <v>1</v>
      </c>
      <c r="AC15" s="1576">
        <v>1</v>
      </c>
    </row>
    <row r="16" spans="1:29" ht="42.75">
      <c r="A16" s="516"/>
      <c r="B16" s="2628"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3"/>
      <c r="M16" s="2135"/>
      <c r="N16" s="2135"/>
      <c r="O16" s="2142"/>
      <c r="P16" s="3415"/>
      <c r="Q16" s="1572" t="str">
        <f>B16</f>
        <v>公共配套设施</v>
      </c>
      <c r="R16" s="1573" t="s">
        <v>8</v>
      </c>
      <c r="S16" s="1574">
        <f>F16</f>
        <v>100</v>
      </c>
      <c r="T16" s="1573" t="s">
        <v>8</v>
      </c>
      <c r="U16" s="1574">
        <f>H16</f>
        <v>100</v>
      </c>
      <c r="V16" s="1573" t="s">
        <v>8</v>
      </c>
      <c r="W16" s="1574">
        <f>J16</f>
        <v>100</v>
      </c>
      <c r="X16" s="1567"/>
      <c r="Y16" s="3415"/>
      <c r="Z16" s="1575" t="str">
        <f>Q16</f>
        <v>公共配套设施</v>
      </c>
      <c r="AA16" s="1576">
        <f t="shared" si="3"/>
        <v>1</v>
      </c>
      <c r="AB16" s="1576">
        <f t="shared" si="4"/>
        <v>1</v>
      </c>
      <c r="AC16" s="1576">
        <f t="shared" si="5"/>
        <v>1</v>
      </c>
    </row>
    <row r="17" spans="1:29" ht="15">
      <c r="A17" s="516"/>
      <c r="B17" s="567"/>
      <c r="C17" s="874"/>
      <c r="D17" s="556"/>
      <c r="E17" s="577"/>
      <c r="F17" s="558"/>
      <c r="G17" s="577"/>
      <c r="H17" s="556"/>
      <c r="I17" s="577"/>
      <c r="J17" s="556"/>
      <c r="K17" s="899"/>
      <c r="L17" s="2143"/>
      <c r="M17" s="2135"/>
      <c r="N17" s="2135"/>
      <c r="O17" s="2142"/>
      <c r="P17" s="3415"/>
      <c r="Q17" s="1572"/>
      <c r="R17" s="1573"/>
      <c r="S17" s="1574"/>
      <c r="T17" s="1573"/>
      <c r="U17" s="1574"/>
      <c r="V17" s="1573"/>
      <c r="W17" s="1574"/>
      <c r="X17" s="1567"/>
      <c r="Y17" s="3415"/>
      <c r="Z17" s="1575"/>
      <c r="AA17" s="1576">
        <v>1</v>
      </c>
      <c r="AB17" s="1576">
        <v>1</v>
      </c>
      <c r="AC17" s="1576">
        <v>1</v>
      </c>
    </row>
    <row r="18" spans="1:29" ht="28.5">
      <c r="A18" s="516"/>
      <c r="B18" s="2616"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3"/>
      <c r="M18" s="2135"/>
      <c r="N18" s="2135"/>
      <c r="O18" s="2142"/>
      <c r="P18" s="3415"/>
      <c r="Q18" s="2604" t="str">
        <f>B18</f>
        <v>基础设施水平</v>
      </c>
      <c r="R18" s="1573" t="s">
        <v>8</v>
      </c>
      <c r="S18" s="1574">
        <f>F18</f>
        <v>100</v>
      </c>
      <c r="T18" s="1573" t="s">
        <v>8</v>
      </c>
      <c r="U18" s="1574">
        <f>H18</f>
        <v>100</v>
      </c>
      <c r="V18" s="1573" t="s">
        <v>8</v>
      </c>
      <c r="W18" s="1574">
        <f>J18</f>
        <v>100</v>
      </c>
      <c r="X18" s="2606"/>
      <c r="Y18" s="3415"/>
      <c r="Z18" s="2605" t="str">
        <f>Q18</f>
        <v>基础设施水平</v>
      </c>
      <c r="AA18" s="1576">
        <f t="shared" ref="AA18" si="8">D18/F18</f>
        <v>1</v>
      </c>
      <c r="AB18" s="1576">
        <f t="shared" ref="AB18" si="9">D18/H18</f>
        <v>1</v>
      </c>
      <c r="AC18" s="1576">
        <f t="shared" ref="AC18" si="10">D18/J18</f>
        <v>1</v>
      </c>
    </row>
    <row r="19" spans="1:29" ht="15">
      <c r="A19" s="516"/>
      <c r="B19" s="579"/>
      <c r="C19" s="874"/>
      <c r="D19" s="560"/>
      <c r="E19" s="577"/>
      <c r="F19" s="558"/>
      <c r="G19" s="577"/>
      <c r="H19" s="556"/>
      <c r="I19" s="577"/>
      <c r="J19" s="556"/>
      <c r="K19" s="2627"/>
      <c r="L19" s="2143"/>
      <c r="M19" s="2135"/>
      <c r="N19" s="2135"/>
      <c r="O19" s="2142"/>
      <c r="P19" s="3415"/>
      <c r="Q19" s="2604"/>
      <c r="R19" s="1573"/>
      <c r="S19" s="1574"/>
      <c r="T19" s="1573"/>
      <c r="U19" s="1574"/>
      <c r="V19" s="1573"/>
      <c r="W19" s="1574"/>
      <c r="X19" s="2606"/>
      <c r="Y19" s="3415"/>
      <c r="Z19" s="2605"/>
      <c r="AA19" s="1576">
        <v>1</v>
      </c>
      <c r="AB19" s="1576">
        <v>1</v>
      </c>
      <c r="AC19" s="1576">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3"/>
      <c r="M20" s="2135"/>
      <c r="N20" s="2135"/>
      <c r="O20" s="2142"/>
      <c r="P20" s="3415"/>
      <c r="Q20" s="1572" t="str">
        <f>B20</f>
        <v>自然及人文环境</v>
      </c>
      <c r="R20" s="1573" t="s">
        <v>8</v>
      </c>
      <c r="S20" s="1574">
        <f>F20</f>
        <v>100</v>
      </c>
      <c r="T20" s="1573" t="s">
        <v>8</v>
      </c>
      <c r="U20" s="1574">
        <f>H20</f>
        <v>100</v>
      </c>
      <c r="V20" s="1573" t="s">
        <v>8</v>
      </c>
      <c r="W20" s="1574">
        <f>J20</f>
        <v>100</v>
      </c>
      <c r="X20" s="1567"/>
      <c r="Y20" s="3415"/>
      <c r="Z20" s="1575" t="str">
        <f>Q20</f>
        <v>自然及人文环境</v>
      </c>
      <c r="AA20" s="1576">
        <f t="shared" si="3"/>
        <v>1</v>
      </c>
      <c r="AB20" s="1576">
        <f t="shared" si="4"/>
        <v>1</v>
      </c>
      <c r="AC20" s="1576">
        <f t="shared" si="5"/>
        <v>1</v>
      </c>
    </row>
    <row r="21" spans="1:29" ht="15">
      <c r="A21" s="516"/>
      <c r="B21" s="567"/>
      <c r="C21" s="577"/>
      <c r="D21" s="556"/>
      <c r="E21" s="577"/>
      <c r="F21" s="558"/>
      <c r="G21" s="577"/>
      <c r="H21" s="556"/>
      <c r="I21" s="577"/>
      <c r="J21" s="556"/>
      <c r="K21" s="899"/>
      <c r="L21" s="2143"/>
      <c r="M21" s="2135"/>
      <c r="N21" s="2135"/>
      <c r="O21" s="2142"/>
      <c r="P21" s="3415"/>
      <c r="Q21" s="1572"/>
      <c r="R21" s="1573"/>
      <c r="S21" s="1574"/>
      <c r="T21" s="1573"/>
      <c r="U21" s="1574"/>
      <c r="V21" s="1573"/>
      <c r="W21" s="1574"/>
      <c r="X21" s="1567"/>
      <c r="Y21" s="3415"/>
      <c r="Z21" s="1575"/>
      <c r="AA21" s="1576">
        <v>1</v>
      </c>
      <c r="AB21" s="1576">
        <v>1</v>
      </c>
      <c r="AC21" s="1576">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415"/>
      <c r="Q22" s="1572" t="str">
        <f>B22</f>
        <v>楼层</v>
      </c>
      <c r="R22" s="1573" t="s">
        <v>8</v>
      </c>
      <c r="S22" s="1574">
        <f>F22</f>
        <v>100</v>
      </c>
      <c r="T22" s="1573" t="s">
        <v>8</v>
      </c>
      <c r="U22" s="1574">
        <f>H22</f>
        <v>100</v>
      </c>
      <c r="V22" s="1573" t="s">
        <v>8</v>
      </c>
      <c r="W22" s="1574">
        <f>J22</f>
        <v>100</v>
      </c>
      <c r="X22" s="1567"/>
      <c r="Y22" s="3415"/>
      <c r="Z22" s="1575" t="str">
        <f>Q22</f>
        <v>楼层</v>
      </c>
      <c r="AA22" s="1576">
        <f t="shared" si="3"/>
        <v>1</v>
      </c>
      <c r="AB22" s="1576">
        <f t="shared" si="4"/>
        <v>1</v>
      </c>
      <c r="AC22" s="1576">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3"/>
      <c r="M23" s="2135"/>
      <c r="N23" s="2135"/>
      <c r="O23" s="2142"/>
      <c r="P23" s="3415"/>
      <c r="Q23" s="1572">
        <f>B23</f>
        <v>111</v>
      </c>
      <c r="R23" s="1573" t="s">
        <v>8</v>
      </c>
      <c r="S23" s="1574">
        <f>F23</f>
        <v>100</v>
      </c>
      <c r="T23" s="1573" t="s">
        <v>8</v>
      </c>
      <c r="U23" s="1574">
        <f>H23</f>
        <v>100</v>
      </c>
      <c r="V23" s="1573" t="s">
        <v>8</v>
      </c>
      <c r="W23" s="1574">
        <f>J23</f>
        <v>100</v>
      </c>
      <c r="X23" s="1567"/>
      <c r="Y23" s="3415"/>
      <c r="Z23" s="1575">
        <f>Q23</f>
        <v>111</v>
      </c>
      <c r="AA23" s="1576">
        <f t="shared" si="3"/>
        <v>1</v>
      </c>
      <c r="AB23" s="1576">
        <f t="shared" si="4"/>
        <v>1</v>
      </c>
      <c r="AC23" s="1576">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3"/>
      <c r="M24" s="2135"/>
      <c r="N24" s="2135"/>
      <c r="O24" s="2142"/>
      <c r="P24" s="3415"/>
      <c r="Q24" s="1572">
        <f t="shared" ref="Q24:Q36" si="11">B24</f>
        <v>111</v>
      </c>
      <c r="R24" s="1573" t="s">
        <v>8</v>
      </c>
      <c r="S24" s="1574">
        <f>F24</f>
        <v>100</v>
      </c>
      <c r="T24" s="1573" t="s">
        <v>8</v>
      </c>
      <c r="U24" s="1574">
        <f>H24</f>
        <v>100</v>
      </c>
      <c r="V24" s="1573" t="s">
        <v>8</v>
      </c>
      <c r="W24" s="1574">
        <f>J24</f>
        <v>100</v>
      </c>
      <c r="X24" s="1567"/>
      <c r="Y24" s="3415"/>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6"/>
      <c r="M25" s="2137"/>
      <c r="N25" s="2137"/>
      <c r="O25" s="2138"/>
      <c r="P25" s="3415"/>
      <c r="Q25" s="1151">
        <f t="shared" si="11"/>
        <v>111</v>
      </c>
      <c r="R25" s="1568" t="s">
        <v>8</v>
      </c>
      <c r="S25" s="1569">
        <f>F25</f>
        <v>100</v>
      </c>
      <c r="T25" s="1568" t="s">
        <v>8</v>
      </c>
      <c r="U25" s="1569">
        <f>H25</f>
        <v>100</v>
      </c>
      <c r="V25" s="1568" t="s">
        <v>8</v>
      </c>
      <c r="W25" s="1569">
        <f>J25</f>
        <v>100</v>
      </c>
      <c r="X25" s="1570"/>
      <c r="Y25" s="3415"/>
      <c r="Z25" s="1150">
        <f>Q25</f>
        <v>111</v>
      </c>
      <c r="AA25" s="1576">
        <f>D25/F25</f>
        <v>1</v>
      </c>
      <c r="AB25" s="1576">
        <f>D25/H25</f>
        <v>1</v>
      </c>
      <c r="AC25" s="1576">
        <f>D25/J25</f>
        <v>1</v>
      </c>
    </row>
    <row r="26" spans="1:29" ht="15">
      <c r="A26" s="2934" t="s">
        <v>2763</v>
      </c>
      <c r="B26" s="169"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3"/>
      <c r="M26" s="2135"/>
      <c r="N26" s="2135"/>
      <c r="O26" s="2142"/>
      <c r="P26" s="341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7" t="s">
        <v>551</v>
      </c>
      <c r="Z26" s="1575" t="str">
        <f t="shared" ref="Z26:Z36" si="15">Q26</f>
        <v>配套类型</v>
      </c>
      <c r="AA26" s="1576">
        <f t="shared" si="3"/>
        <v>1</v>
      </c>
      <c r="AB26" s="1576">
        <f t="shared" si="4"/>
        <v>1</v>
      </c>
      <c r="AC26" s="1576">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41"/>
      <c r="M27" s="2172"/>
      <c r="N27" s="2172"/>
      <c r="O27" s="2144"/>
      <c r="P27" s="3417"/>
      <c r="Q27" s="1605" t="str">
        <f t="shared" si="11"/>
        <v>项目停车位配比</v>
      </c>
      <c r="R27" s="1577" t="s">
        <v>8</v>
      </c>
      <c r="S27" s="1578">
        <f t="shared" si="12"/>
        <v>100</v>
      </c>
      <c r="T27" s="1577" t="s">
        <v>8</v>
      </c>
      <c r="U27" s="1578">
        <f t="shared" si="13"/>
        <v>100</v>
      </c>
      <c r="V27" s="1577" t="s">
        <v>8</v>
      </c>
      <c r="W27" s="1578">
        <f t="shared" si="14"/>
        <v>100</v>
      </c>
      <c r="X27" s="1579"/>
      <c r="Y27" s="3417"/>
      <c r="Z27" s="1580" t="str">
        <f t="shared" si="15"/>
        <v>项目停车位配比</v>
      </c>
      <c r="AA27" s="1576">
        <f t="shared" si="3"/>
        <v>1</v>
      </c>
      <c r="AB27" s="1576">
        <f t="shared" si="4"/>
        <v>1</v>
      </c>
      <c r="AC27" s="1576">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3"/>
      <c r="M28" s="2135"/>
      <c r="N28" s="2135"/>
      <c r="O28" s="2142"/>
      <c r="P28" s="3417"/>
      <c r="Q28" s="1572" t="str">
        <f t="shared" si="11"/>
        <v>公共部分装修</v>
      </c>
      <c r="R28" s="1573" t="s">
        <v>8</v>
      </c>
      <c r="S28" s="1574">
        <f t="shared" si="12"/>
        <v>100</v>
      </c>
      <c r="T28" s="1573" t="s">
        <v>8</v>
      </c>
      <c r="U28" s="1574">
        <f t="shared" si="13"/>
        <v>100</v>
      </c>
      <c r="V28" s="1573" t="s">
        <v>8</v>
      </c>
      <c r="W28" s="1574">
        <f t="shared" si="14"/>
        <v>100</v>
      </c>
      <c r="X28" s="1567"/>
      <c r="Y28" s="3417"/>
      <c r="Z28" s="1575" t="str">
        <f t="shared" si="15"/>
        <v>公共部分装修</v>
      </c>
      <c r="AA28" s="1576">
        <f t="shared" si="3"/>
        <v>1</v>
      </c>
      <c r="AB28" s="1576">
        <f t="shared" si="4"/>
        <v>1</v>
      </c>
      <c r="AC28" s="1576">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3"/>
      <c r="M29" s="2135"/>
      <c r="N29" s="2135"/>
      <c r="O29" s="2142"/>
      <c r="P29" s="3417"/>
      <c r="Q29" s="1572" t="str">
        <f t="shared" si="11"/>
        <v>成新率</v>
      </c>
      <c r="R29" s="1573" t="s">
        <v>8</v>
      </c>
      <c r="S29" s="1574" t="e">
        <f t="shared" si="12"/>
        <v>#N/A</v>
      </c>
      <c r="T29" s="1573" t="s">
        <v>8</v>
      </c>
      <c r="U29" s="1574" t="e">
        <f t="shared" si="13"/>
        <v>#N/A</v>
      </c>
      <c r="V29" s="1573" t="s">
        <v>8</v>
      </c>
      <c r="W29" s="1574" t="e">
        <f t="shared" si="14"/>
        <v>#N/A</v>
      </c>
      <c r="X29" s="1567"/>
      <c r="Y29" s="3417"/>
      <c r="Z29" s="1575" t="str">
        <f t="shared" si="15"/>
        <v>成新率</v>
      </c>
      <c r="AA29" s="1576" t="e">
        <f t="shared" si="3"/>
        <v>#N/A</v>
      </c>
      <c r="AB29" s="1576" t="e">
        <f t="shared" si="4"/>
        <v>#N/A</v>
      </c>
      <c r="AC29" s="1576"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3"/>
      <c r="M30" s="2135"/>
      <c r="N30" s="2135"/>
      <c r="O30" s="2142"/>
      <c r="P30" s="3417"/>
      <c r="Q30" s="1572" t="str">
        <f t="shared" si="11"/>
        <v>物业等级</v>
      </c>
      <c r="R30" s="1573" t="s">
        <v>8</v>
      </c>
      <c r="S30" s="1574">
        <f t="shared" si="12"/>
        <v>100</v>
      </c>
      <c r="T30" s="1573" t="s">
        <v>8</v>
      </c>
      <c r="U30" s="1574">
        <f t="shared" si="13"/>
        <v>100</v>
      </c>
      <c r="V30" s="1573" t="s">
        <v>8</v>
      </c>
      <c r="W30" s="1574">
        <f t="shared" si="14"/>
        <v>100</v>
      </c>
      <c r="X30" s="1567"/>
      <c r="Y30" s="3417"/>
      <c r="Z30" s="1575" t="str">
        <f t="shared" si="15"/>
        <v>物业等级</v>
      </c>
      <c r="AA30" s="1576">
        <f t="shared" si="3"/>
        <v>1</v>
      </c>
      <c r="AB30" s="1576">
        <f t="shared" si="4"/>
        <v>1</v>
      </c>
      <c r="AC30" s="1576">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6"/>
      <c r="M31" s="2137"/>
      <c r="N31" s="2137"/>
      <c r="O31" s="2138"/>
      <c r="P31" s="3417"/>
      <c r="Q31" s="1151" t="str">
        <f t="shared" si="11"/>
        <v>停车位面积</v>
      </c>
      <c r="R31" s="1568" t="s">
        <v>8</v>
      </c>
      <c r="S31" s="1569" t="e">
        <f t="shared" si="12"/>
        <v>#N/A</v>
      </c>
      <c r="T31" s="1568" t="s">
        <v>8</v>
      </c>
      <c r="U31" s="1569" t="e">
        <f t="shared" si="13"/>
        <v>#N/A</v>
      </c>
      <c r="V31" s="1568" t="s">
        <v>8</v>
      </c>
      <c r="W31" s="1569" t="e">
        <f t="shared" si="14"/>
        <v>#N/A</v>
      </c>
      <c r="X31" s="1570"/>
      <c r="Y31" s="3417"/>
      <c r="Z31" s="1150" t="str">
        <f t="shared" si="15"/>
        <v>停车位面积</v>
      </c>
      <c r="AA31" s="1571" t="e">
        <f t="shared" si="3"/>
        <v>#N/A</v>
      </c>
      <c r="AB31" s="1571" t="e">
        <f t="shared" si="4"/>
        <v>#N/A</v>
      </c>
      <c r="AC31" s="1571"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3"/>
      <c r="M32" s="2135"/>
      <c r="N32" s="2135"/>
      <c r="O32" s="2142"/>
      <c r="P32" s="3417" t="s">
        <v>551</v>
      </c>
      <c r="Q32" s="1572" t="str">
        <f t="shared" si="11"/>
        <v>车位类型</v>
      </c>
      <c r="R32" s="1573" t="s">
        <v>8</v>
      </c>
      <c r="S32" s="1574">
        <f t="shared" si="12"/>
        <v>100</v>
      </c>
      <c r="T32" s="1573" t="s">
        <v>8</v>
      </c>
      <c r="U32" s="1574">
        <f t="shared" si="13"/>
        <v>100</v>
      </c>
      <c r="V32" s="1573" t="s">
        <v>8</v>
      </c>
      <c r="W32" s="1574">
        <f t="shared" si="14"/>
        <v>100</v>
      </c>
      <c r="X32" s="1567"/>
      <c r="Y32" s="3417" t="s">
        <v>551</v>
      </c>
      <c r="Z32" s="1575" t="str">
        <f t="shared" si="15"/>
        <v>车位类型</v>
      </c>
      <c r="AA32" s="1576">
        <f t="shared" si="3"/>
        <v>1</v>
      </c>
      <c r="AB32" s="1576">
        <f t="shared" si="4"/>
        <v>1</v>
      </c>
      <c r="AC32" s="1576">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3"/>
      <c r="M33" s="2135"/>
      <c r="N33" s="2135"/>
      <c r="O33" s="2142"/>
      <c r="P33" s="3417"/>
      <c r="Q33" s="1572" t="str">
        <f t="shared" si="11"/>
        <v>是否直接入户</v>
      </c>
      <c r="R33" s="1573" t="s">
        <v>8</v>
      </c>
      <c r="S33" s="1574">
        <f t="shared" si="12"/>
        <v>100</v>
      </c>
      <c r="T33" s="1573" t="s">
        <v>8</v>
      </c>
      <c r="U33" s="1574">
        <f t="shared" si="13"/>
        <v>100</v>
      </c>
      <c r="V33" s="1573" t="s">
        <v>8</v>
      </c>
      <c r="W33" s="1574">
        <f t="shared" si="14"/>
        <v>100</v>
      </c>
      <c r="X33" s="1567"/>
      <c r="Y33" s="3417"/>
      <c r="Z33" s="1575" t="str">
        <f t="shared" si="15"/>
        <v>是否直接入户</v>
      </c>
      <c r="AA33" s="1576">
        <f t="shared" si="3"/>
        <v>1</v>
      </c>
      <c r="AB33" s="1576">
        <f t="shared" si="4"/>
        <v>1</v>
      </c>
      <c r="AC33" s="1576">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3"/>
      <c r="M34" s="2135"/>
      <c r="N34" s="2135"/>
      <c r="O34" s="2142"/>
      <c r="P34" s="3417"/>
      <c r="Q34" s="1572">
        <f t="shared" si="11"/>
        <v>111</v>
      </c>
      <c r="R34" s="1573" t="s">
        <v>8</v>
      </c>
      <c r="S34" s="1574">
        <f t="shared" si="12"/>
        <v>100</v>
      </c>
      <c r="T34" s="1573" t="s">
        <v>8</v>
      </c>
      <c r="U34" s="1574">
        <f t="shared" si="13"/>
        <v>100</v>
      </c>
      <c r="V34" s="1573" t="s">
        <v>8</v>
      </c>
      <c r="W34" s="1574">
        <f t="shared" si="14"/>
        <v>100</v>
      </c>
      <c r="X34" s="1567"/>
      <c r="Y34" s="3417"/>
      <c r="Z34" s="1575">
        <f t="shared" si="15"/>
        <v>111</v>
      </c>
      <c r="AA34" s="1576">
        <f t="shared" si="3"/>
        <v>1</v>
      </c>
      <c r="AB34" s="1576">
        <f t="shared" si="4"/>
        <v>1</v>
      </c>
      <c r="AC34" s="1576">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1"/>
      <c r="M35" s="2172"/>
      <c r="N35" s="2172"/>
      <c r="O35" s="2144"/>
      <c r="P35" s="3417"/>
      <c r="Q35" s="1605">
        <f t="shared" si="11"/>
        <v>111</v>
      </c>
      <c r="R35" s="1577" t="s">
        <v>8</v>
      </c>
      <c r="S35" s="1578">
        <f t="shared" si="12"/>
        <v>100</v>
      </c>
      <c r="T35" s="1577" t="s">
        <v>8</v>
      </c>
      <c r="U35" s="1578">
        <f t="shared" si="13"/>
        <v>100</v>
      </c>
      <c r="V35" s="1577" t="s">
        <v>8</v>
      </c>
      <c r="W35" s="1578">
        <f t="shared" si="14"/>
        <v>100</v>
      </c>
      <c r="X35" s="1579"/>
      <c r="Y35" s="3417"/>
      <c r="Z35" s="1580">
        <f t="shared" si="15"/>
        <v>111</v>
      </c>
      <c r="AA35" s="1576">
        <f t="shared" si="3"/>
        <v>1</v>
      </c>
      <c r="AB35" s="1576">
        <f t="shared" si="4"/>
        <v>1</v>
      </c>
      <c r="AC35" s="1576">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3"/>
      <c r="M36" s="2135"/>
      <c r="N36" s="2135"/>
      <c r="O36" s="2142"/>
      <c r="P36" s="3417"/>
      <c r="Q36" s="1572">
        <f t="shared" si="11"/>
        <v>111</v>
      </c>
      <c r="R36" s="1573" t="s">
        <v>8</v>
      </c>
      <c r="S36" s="1574">
        <f t="shared" si="12"/>
        <v>100</v>
      </c>
      <c r="T36" s="1573" t="s">
        <v>8</v>
      </c>
      <c r="U36" s="1574">
        <f t="shared" si="13"/>
        <v>100</v>
      </c>
      <c r="V36" s="1573" t="s">
        <v>8</v>
      </c>
      <c r="W36" s="1574">
        <f t="shared" si="14"/>
        <v>100</v>
      </c>
      <c r="X36" s="1567"/>
      <c r="Y36" s="341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379" t="str">
        <f>A37</f>
        <v>成交单价</v>
      </c>
      <c r="Q37" s="3379"/>
      <c r="R37" s="3470">
        <f>E37</f>
        <v>0</v>
      </c>
      <c r="S37" s="3470"/>
      <c r="T37" s="3470">
        <f>G37</f>
        <v>0</v>
      </c>
      <c r="U37" s="3470"/>
      <c r="V37" s="3470">
        <f>I37</f>
        <v>0</v>
      </c>
      <c r="W37" s="3470"/>
      <c r="X37" s="1559"/>
      <c r="Y37" s="1581"/>
      <c r="Z37" s="1559"/>
      <c r="AA37" s="1559"/>
      <c r="AB37" s="1559"/>
      <c r="AC37" s="1559"/>
    </row>
    <row r="38" spans="1:29" ht="15.75" thickBot="1">
      <c r="A38" s="616" t="s">
        <v>2768</v>
      </c>
      <c r="B38" s="888"/>
      <c r="C38" s="2658" t="e">
        <f>R39</f>
        <v>#DIV/0!</v>
      </c>
      <c r="D38" s="2659"/>
      <c r="E38" s="2660" t="e">
        <f>R38</f>
        <v>#DIV/0!</v>
      </c>
      <c r="F38" s="2660"/>
      <c r="G38" s="2658" t="e">
        <f>T38</f>
        <v>#DIV/0!</v>
      </c>
      <c r="H38" s="2659"/>
      <c r="I38" s="2660" t="e">
        <f>V38</f>
        <v>#DIV/0!</v>
      </c>
      <c r="J38" s="2659"/>
      <c r="K38" s="1612"/>
      <c r="L38" s="2145"/>
      <c r="M38" s="2146"/>
      <c r="N38" s="2146"/>
      <c r="O38" s="2146"/>
      <c r="P38" s="3379" t="str">
        <f>A38</f>
        <v>比较价格（元/平方米）</v>
      </c>
      <c r="Q38" s="3379"/>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59"/>
      <c r="Y38" s="1559"/>
      <c r="Z38" s="1559"/>
      <c r="AA38" s="1559"/>
      <c r="AB38" s="1559"/>
      <c r="AC38" s="1559"/>
    </row>
    <row r="39" spans="1:29" ht="15.75" thickBot="1">
      <c r="A39" s="622" t="s">
        <v>2943</v>
      </c>
      <c r="B39" s="623"/>
      <c r="C39" s="2661" t="e">
        <f>R39</f>
        <v>#DIV/0!</v>
      </c>
      <c r="D39" s="2661"/>
      <c r="E39" s="2661"/>
      <c r="F39" s="2661"/>
      <c r="G39" s="2661"/>
      <c r="H39" s="2661"/>
      <c r="I39" s="2661"/>
      <c r="J39" s="2661"/>
      <c r="K39" s="1613"/>
      <c r="L39" s="2145"/>
      <c r="M39" s="2146"/>
      <c r="N39" s="2146"/>
      <c r="O39" s="2146"/>
      <c r="P39" s="3376" t="str">
        <f>A39</f>
        <v>估价对象XX用房的比较价格（楼面单价，元/平方米）</v>
      </c>
      <c r="Q39" s="3377"/>
      <c r="R39" s="3469" t="e">
        <f>IF(F1="售价",ROUND(AVERAGE(R38:V38),0),ROUND(AVERAGE(R38:V38),1))</f>
        <v>#DIV/0!</v>
      </c>
      <c r="S39" s="3469"/>
      <c r="T39" s="3469"/>
      <c r="U39" s="3469"/>
      <c r="V39" s="3469"/>
      <c r="W39" s="346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6" t="s">
        <v>530</v>
      </c>
      <c r="B48" s="647"/>
      <c r="C48" s="2829" t="str">
        <f>YEAR(C7)&amp;"-"&amp;MONTH(C7)</f>
        <v>2018-2</v>
      </c>
      <c r="D48" s="2831">
        <f>EDATE(C48,-1)</f>
        <v>43101</v>
      </c>
      <c r="E48" s="2831">
        <f t="shared" ref="E48:O48" si="16">EDATE(D48,-1)</f>
        <v>43070</v>
      </c>
      <c r="F48" s="2831">
        <f t="shared" si="16"/>
        <v>43040</v>
      </c>
      <c r="G48" s="2831">
        <f t="shared" si="16"/>
        <v>43009</v>
      </c>
      <c r="H48" s="2831">
        <f t="shared" si="16"/>
        <v>42979</v>
      </c>
      <c r="I48" s="2831">
        <f t="shared" si="16"/>
        <v>42948</v>
      </c>
      <c r="J48" s="2831">
        <f t="shared" si="16"/>
        <v>42917</v>
      </c>
      <c r="K48" s="2831">
        <f t="shared" si="16"/>
        <v>42887</v>
      </c>
      <c r="L48" s="2831">
        <f t="shared" si="16"/>
        <v>42856</v>
      </c>
      <c r="M48" s="2831">
        <f t="shared" si="16"/>
        <v>42826</v>
      </c>
      <c r="N48" s="2831">
        <f t="shared" si="16"/>
        <v>42795</v>
      </c>
      <c r="O48" s="2831">
        <f t="shared" si="16"/>
        <v>42767</v>
      </c>
      <c r="P48" s="2161"/>
      <c r="Q48" s="2162"/>
      <c r="R48" s="2162"/>
      <c r="S48" s="2162"/>
      <c r="T48" s="2162"/>
      <c r="U48" s="2162"/>
      <c r="V48" s="2162"/>
      <c r="W48" s="2162"/>
      <c r="X48" s="2162"/>
      <c r="Y48" s="2162"/>
      <c r="Z48" s="2162"/>
      <c r="AA48" s="2162"/>
      <c r="AB48" s="2162"/>
      <c r="AC48" s="2162"/>
    </row>
    <row r="49" spans="1:29" s="1220" customFormat="1" ht="15">
      <c r="A49" s="648"/>
      <c r="B49" s="649"/>
      <c r="C49" s="2830">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20" customFormat="1" ht="15.75" thickBot="1">
      <c r="A50" s="654" t="s">
        <v>576</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20" customFormat="1" ht="15">
      <c r="A51" s="660" t="s">
        <v>532</v>
      </c>
      <c r="B51" s="649"/>
      <c r="C51" s="661" t="s">
        <v>577</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578</v>
      </c>
      <c r="B53" s="666" t="s">
        <v>535</v>
      </c>
      <c r="C53" s="705">
        <f>C9</f>
        <v>0</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5">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2564</v>
      </c>
      <c r="C65" s="709" t="s">
        <v>580</v>
      </c>
      <c r="D65" s="709" t="s">
        <v>581</v>
      </c>
      <c r="E65" s="709" t="s">
        <v>582</v>
      </c>
      <c r="F65" s="709" t="s">
        <v>583</v>
      </c>
      <c r="G65" s="709" t="s">
        <v>584</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22" t="s">
        <v>2565</v>
      </c>
      <c r="C67" s="2623" t="s">
        <v>2566</v>
      </c>
      <c r="D67" s="2623" t="s">
        <v>2567</v>
      </c>
      <c r="E67" s="2623" t="s">
        <v>2568</v>
      </c>
      <c r="F67" s="2623" t="s">
        <v>2569</v>
      </c>
      <c r="G67" s="2623" t="s">
        <v>2570</v>
      </c>
      <c r="H67" s="675"/>
      <c r="I67" s="675"/>
      <c r="J67" s="675"/>
      <c r="K67" s="675"/>
      <c r="L67" s="675"/>
      <c r="M67" s="2626"/>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745</v>
      </c>
      <c r="C69" s="709" t="s">
        <v>580</v>
      </c>
      <c r="D69" s="709" t="s">
        <v>581</v>
      </c>
      <c r="E69" s="709" t="s">
        <v>582</v>
      </c>
      <c r="F69" s="709" t="s">
        <v>583</v>
      </c>
      <c r="G69" s="709" t="s">
        <v>584</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746</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0"/>
      <c r="B73" s="674">
        <f>B23</f>
        <v>111</v>
      </c>
      <c r="C73" s="542"/>
      <c r="D73" s="542"/>
      <c r="E73" s="542"/>
      <c r="F73" s="542"/>
      <c r="G73" s="689"/>
      <c r="H73" s="689"/>
      <c r="I73" s="689"/>
      <c r="J73" s="689"/>
      <c r="K73" s="689"/>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552</v>
      </c>
      <c r="B79" s="666" t="s">
        <v>815</v>
      </c>
      <c r="C79" s="705">
        <f>C26</f>
        <v>0</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752</v>
      </c>
      <c r="C83" s="689"/>
      <c r="D83" s="689"/>
      <c r="E83" s="719"/>
      <c r="F83" s="719"/>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9"/>
      <c r="B91" s="682"/>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820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821</v>
      </c>
      <c r="C95" s="599"/>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7">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9"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36665.2平方米。根据《建设工程规划许可证》[]、《出让合同》[]，估价对象规划建筑面积为113662.12平方米。</v>
      </c>
    </row>
    <row r="7" spans="1:4" ht="93.75">
      <c r="A7" s="2900" t="s">
        <v>2756</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2018年2月7日（评估专业人员勘察现场之日）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根据《国有土地使用证》[]，估价对象（分摊）出让国有建设用地使用权面积为36665.2平方米。根据《建设工程规划许可证》[]、《出让合同》[]，估价对象规划建筑面积为113662.12平方米。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2" t="s">
        <v>2757</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1" t="s">
        <v>794</v>
      </c>
      <c r="H1" s="507"/>
      <c r="I1" s="507"/>
      <c r="J1" s="507"/>
      <c r="K1" s="508"/>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4" t="s">
        <v>795</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0" t="s">
        <v>796</v>
      </c>
      <c r="B3" s="511" t="e">
        <f>C37</f>
        <v>#DIV/0!</v>
      </c>
      <c r="C3" s="853" t="s">
        <v>797</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9"/>
    </row>
    <row r="4" spans="1:29" ht="15">
      <c r="A4" s="513" t="s">
        <v>798</v>
      </c>
      <c r="B4" s="514"/>
      <c r="C4" s="3385" t="s">
        <v>799</v>
      </c>
      <c r="D4" s="3386"/>
      <c r="E4" s="3420" t="s">
        <v>800</v>
      </c>
      <c r="F4" s="3421"/>
      <c r="G4" s="3385" t="s">
        <v>801</v>
      </c>
      <c r="H4" s="3386"/>
      <c r="I4" s="3385" t="s">
        <v>802</v>
      </c>
      <c r="J4" s="3386"/>
      <c r="K4" s="515" t="s">
        <v>803</v>
      </c>
      <c r="L4" s="2134"/>
      <c r="M4" s="2135"/>
      <c r="N4" s="2135"/>
      <c r="O4" s="2135"/>
      <c r="P4" s="3387" t="s">
        <v>804</v>
      </c>
      <c r="Q4" s="3388"/>
      <c r="R4" s="3393" t="s">
        <v>800</v>
      </c>
      <c r="S4" s="3394"/>
      <c r="T4" s="3393" t="s">
        <v>801</v>
      </c>
      <c r="U4" s="3394"/>
      <c r="V4" s="3380" t="s">
        <v>802</v>
      </c>
      <c r="W4" s="3380"/>
      <c r="X4" s="1567"/>
      <c r="Y4" s="3393" t="s">
        <v>804</v>
      </c>
      <c r="Z4" s="3394"/>
      <c r="AA4" s="3382" t="s">
        <v>800</v>
      </c>
      <c r="AB4" s="3383" t="s">
        <v>801</v>
      </c>
      <c r="AC4" s="3382" t="s">
        <v>802</v>
      </c>
    </row>
    <row r="5" spans="1:29" ht="15">
      <c r="A5" s="516"/>
      <c r="B5" s="517"/>
      <c r="C5" s="3403" t="s">
        <v>2937</v>
      </c>
      <c r="D5" s="3402"/>
      <c r="E5" s="3422" t="s">
        <v>2938</v>
      </c>
      <c r="F5" s="3423"/>
      <c r="G5" s="3403" t="s">
        <v>2939</v>
      </c>
      <c r="H5" s="3402"/>
      <c r="I5" s="3403" t="s">
        <v>2940</v>
      </c>
      <c r="J5" s="3402"/>
      <c r="K5" s="515"/>
      <c r="L5" s="2134"/>
      <c r="M5" s="2135"/>
      <c r="N5" s="2135"/>
      <c r="O5" s="2135"/>
      <c r="P5" s="3389"/>
      <c r="Q5" s="3390"/>
      <c r="R5" s="3395"/>
      <c r="S5" s="3396"/>
      <c r="T5" s="3395"/>
      <c r="U5" s="3396"/>
      <c r="V5" s="3380"/>
      <c r="W5" s="3380"/>
      <c r="X5" s="1567"/>
      <c r="Y5" s="3395"/>
      <c r="Z5" s="3396"/>
      <c r="AA5" s="3383"/>
      <c r="AB5" s="3383"/>
      <c r="AC5" s="3383"/>
    </row>
    <row r="6" spans="1:29" ht="15.75" thickBot="1">
      <c r="A6" s="518"/>
      <c r="B6" s="519"/>
      <c r="C6" s="3399" t="s">
        <v>2941</v>
      </c>
      <c r="D6" s="3400"/>
      <c r="E6" s="3418" t="s">
        <v>2941</v>
      </c>
      <c r="F6" s="3419"/>
      <c r="G6" s="3399" t="s">
        <v>2941</v>
      </c>
      <c r="H6" s="3400"/>
      <c r="I6" s="3399" t="s">
        <v>2941</v>
      </c>
      <c r="J6" s="3400"/>
      <c r="K6" s="515" t="s">
        <v>529</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39"/>
      <c r="B7" s="2946" t="s">
        <v>530</v>
      </c>
      <c r="C7" s="520">
        <f>'数据-取费表'!B2</f>
        <v>43138</v>
      </c>
      <c r="D7" s="521">
        <v>100</v>
      </c>
      <c r="E7" s="522"/>
      <c r="F7" s="523">
        <f>SUMIF(46:46,YEAR(E7)&amp;"-"&amp;MONTH(E7),47:47)</f>
        <v>0</v>
      </c>
      <c r="G7" s="524"/>
      <c r="H7" s="521">
        <f>SUMIF(46:46,YEAR(G7)&amp;"-"&amp;MONTH(G7),47:47)</f>
        <v>0</v>
      </c>
      <c r="I7" s="524"/>
      <c r="J7" s="521">
        <f>SUMIF(46:46,YEAR(I7)&amp;"-"&amp;MONTH(I7),47:47)</f>
        <v>0</v>
      </c>
      <c r="K7" s="525"/>
      <c r="L7" s="2136"/>
      <c r="M7" s="2137"/>
      <c r="N7" s="2137"/>
      <c r="O7" s="2137"/>
      <c r="P7" s="3411" t="s">
        <v>531</v>
      </c>
      <c r="Q7" s="3413"/>
      <c r="R7" s="1568" t="s">
        <v>8</v>
      </c>
      <c r="S7" s="1569">
        <f t="shared" ref="S7:S14" si="0">F7</f>
        <v>0</v>
      </c>
      <c r="T7" s="1568" t="s">
        <v>8</v>
      </c>
      <c r="U7" s="1569">
        <f t="shared" ref="U7:U14" si="1">H7</f>
        <v>0</v>
      </c>
      <c r="V7" s="1568" t="s">
        <v>8</v>
      </c>
      <c r="W7" s="1569">
        <f t="shared" ref="W7:W14" si="2">J7</f>
        <v>0</v>
      </c>
      <c r="X7" s="1570"/>
      <c r="Y7" s="3411" t="s">
        <v>531</v>
      </c>
      <c r="Z7" s="3412"/>
      <c r="AA7" s="1571" t="e">
        <f>D7/F7</f>
        <v>#DIV/0!</v>
      </c>
      <c r="AB7" s="1571" t="e">
        <f>D7/H7</f>
        <v>#DIV/0!</v>
      </c>
      <c r="AC7" s="1571" t="e">
        <f>D7/J7</f>
        <v>#DIV/0!</v>
      </c>
    </row>
    <row r="8" spans="1:29" s="1220" customFormat="1" ht="15.75" thickBot="1">
      <c r="A8" s="2940"/>
      <c r="B8" s="2947" t="s">
        <v>532</v>
      </c>
      <c r="C8" s="526" t="s">
        <v>577</v>
      </c>
      <c r="D8" s="521">
        <v>100</v>
      </c>
      <c r="E8" s="526"/>
      <c r="F8" s="523">
        <f>SUMIF(49:49,E8,50:50)-SUMIF(49:49,C8,50:50)+100</f>
        <v>0</v>
      </c>
      <c r="G8" s="526"/>
      <c r="H8" s="521">
        <f>SUMIF(49:49,G8,50:50)-SUMIF(49:49,C8,50:50)+100</f>
        <v>0</v>
      </c>
      <c r="I8" s="526"/>
      <c r="J8" s="521">
        <f>SUMIF(49:49,I8,50:50)-SUMIF(49:49,C8,50:50)+100</f>
        <v>0</v>
      </c>
      <c r="K8" s="525"/>
      <c r="L8" s="2136"/>
      <c r="M8" s="2137"/>
      <c r="N8" s="2137"/>
      <c r="O8" s="2137"/>
      <c r="P8" s="3411" t="s">
        <v>534</v>
      </c>
      <c r="Q8" s="3412"/>
      <c r="R8" s="1568" t="s">
        <v>8</v>
      </c>
      <c r="S8" s="1569">
        <f t="shared" si="0"/>
        <v>0</v>
      </c>
      <c r="T8" s="1568" t="s">
        <v>8</v>
      </c>
      <c r="U8" s="1569">
        <f t="shared" si="1"/>
        <v>0</v>
      </c>
      <c r="V8" s="1568" t="s">
        <v>8</v>
      </c>
      <c r="W8" s="1569">
        <f t="shared" si="2"/>
        <v>0</v>
      </c>
      <c r="X8" s="1570"/>
      <c r="Y8" s="3411" t="s">
        <v>534</v>
      </c>
      <c r="Z8" s="3412"/>
      <c r="AA8" s="1571" t="e">
        <f t="shared" ref="AA8:AA34" si="3">D8/F8</f>
        <v>#DIV/0!</v>
      </c>
      <c r="AB8" s="1571" t="e">
        <f t="shared" ref="AB8:AB34" si="4">D8/H8</f>
        <v>#DIV/0!</v>
      </c>
      <c r="AC8" s="1571" t="e">
        <f t="shared" ref="AC8:AC34" si="5">D8/J8</f>
        <v>#DIV/0!</v>
      </c>
    </row>
    <row r="9" spans="1:29" s="1220" customFormat="1" ht="15">
      <c r="A9" s="2941"/>
      <c r="B9" s="2948" t="s">
        <v>2764</v>
      </c>
      <c r="C9" s="858"/>
      <c r="D9" s="252">
        <v>100</v>
      </c>
      <c r="E9" s="861"/>
      <c r="F9" s="252">
        <f>SUMIF(51:51,E9,52:52)-SUMIF(51:51,C9,52:52)+100</f>
        <v>100</v>
      </c>
      <c r="G9" s="861"/>
      <c r="H9" s="252">
        <f>SUMIF(51:51,G9,52:52)-SUMIF(51:51,C9,52:52)+100</f>
        <v>100</v>
      </c>
      <c r="I9" s="861"/>
      <c r="J9" s="252">
        <f>SUMIF(51:51,I9,52:52)-SUMIF(51:51,C9,52:52)+100</f>
        <v>100</v>
      </c>
      <c r="K9" s="525"/>
      <c r="L9" s="2136"/>
      <c r="M9" s="2137"/>
      <c r="N9" s="2137"/>
      <c r="O9" s="2138"/>
      <c r="P9" s="3379" t="s">
        <v>536</v>
      </c>
      <c r="Q9" s="1151" t="str">
        <f t="shared" ref="Q9:Q14" si="6">B9</f>
        <v>用途</v>
      </c>
      <c r="R9" s="1568" t="s">
        <v>8</v>
      </c>
      <c r="S9" s="1569">
        <f t="shared" si="0"/>
        <v>100</v>
      </c>
      <c r="T9" s="1568" t="s">
        <v>8</v>
      </c>
      <c r="U9" s="1569">
        <f t="shared" si="1"/>
        <v>100</v>
      </c>
      <c r="V9" s="1568" t="s">
        <v>8</v>
      </c>
      <c r="W9" s="1569">
        <f t="shared" si="2"/>
        <v>100</v>
      </c>
      <c r="X9" s="1570"/>
      <c r="Y9" s="3325" t="s">
        <v>537</v>
      </c>
      <c r="Z9" s="1150" t="str">
        <f t="shared" ref="Z9:Z14" si="7">Q9</f>
        <v>用途</v>
      </c>
      <c r="AA9" s="1571">
        <f t="shared" si="3"/>
        <v>1</v>
      </c>
      <c r="AB9" s="1571">
        <f t="shared" si="4"/>
        <v>1</v>
      </c>
      <c r="AC9" s="1571">
        <f t="shared" si="5"/>
        <v>1</v>
      </c>
    </row>
    <row r="10" spans="1:29" s="1338" customFormat="1" ht="27">
      <c r="A10" s="2942"/>
      <c r="B10" s="2947" t="s">
        <v>2765</v>
      </c>
      <c r="C10" s="862"/>
      <c r="D10" s="253">
        <v>100</v>
      </c>
      <c r="E10" s="862"/>
      <c r="F10" s="253">
        <f>SUMIF(53:53,E10,54:54)-SUMIF(53:53,C10,54:54)+100</f>
        <v>100</v>
      </c>
      <c r="G10" s="863"/>
      <c r="H10" s="253">
        <f>SUMIF(53:53,G10,54:54)-SUMIF(53:53,C10,54:54)+100</f>
        <v>100</v>
      </c>
      <c r="I10" s="862"/>
      <c r="J10" s="253">
        <f>SUMIF(53:53,I10,54:54)-SUMIF(53:53,C10,54:54)+100</f>
        <v>100</v>
      </c>
      <c r="K10" s="585"/>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44"/>
      <c r="B11" s="2950">
        <v>111</v>
      </c>
      <c r="C11" s="529"/>
      <c r="D11" s="253">
        <v>100</v>
      </c>
      <c r="E11" s="880"/>
      <c r="F11" s="253">
        <f>SUMIF(55:55,E11,56:56)-SUMIF(55:55,C11,56:56)+100</f>
        <v>100</v>
      </c>
      <c r="G11" s="880"/>
      <c r="H11" s="253">
        <f>SUMIF(55:55,G11,56:56)-SUMIF(55:55,C11,56:56)+100</f>
        <v>100</v>
      </c>
      <c r="I11" s="880"/>
      <c r="J11" s="253">
        <f>SUMIF(55:55,I11,56:56)-SUMIF(55:55,C11,56:56)+100</f>
        <v>100</v>
      </c>
      <c r="K11" s="582"/>
      <c r="L11" s="2141"/>
      <c r="M11" s="2135"/>
      <c r="N11" s="2135"/>
      <c r="O11" s="2142"/>
      <c r="P11" s="3379"/>
      <c r="Q11" s="1151">
        <f t="shared" si="6"/>
        <v>111</v>
      </c>
      <c r="R11" s="1568" t="s">
        <v>8</v>
      </c>
      <c r="S11" s="1569">
        <f t="shared" si="0"/>
        <v>100</v>
      </c>
      <c r="T11" s="1568" t="s">
        <v>8</v>
      </c>
      <c r="U11" s="1569">
        <f t="shared" si="1"/>
        <v>100</v>
      </c>
      <c r="V11" s="1568" t="s">
        <v>8</v>
      </c>
      <c r="W11" s="1569">
        <f t="shared" si="2"/>
        <v>100</v>
      </c>
      <c r="X11" s="1570"/>
      <c r="Y11" s="3325"/>
      <c r="Z11" s="1150">
        <f t="shared" si="7"/>
        <v>111</v>
      </c>
      <c r="AA11" s="1571">
        <f t="shared" si="3"/>
        <v>1</v>
      </c>
      <c r="AB11" s="1571">
        <f t="shared" si="4"/>
        <v>1</v>
      </c>
      <c r="AC11" s="1571">
        <f t="shared" si="5"/>
        <v>1</v>
      </c>
    </row>
    <row r="12" spans="1:29" s="1220" customFormat="1" ht="15">
      <c r="A12" s="2944"/>
      <c r="B12" s="2950">
        <v>111</v>
      </c>
      <c r="C12" s="529"/>
      <c r="D12" s="539">
        <v>100</v>
      </c>
      <c r="E12" s="880"/>
      <c r="F12" s="253">
        <f>SUMIF(57:57,E12,58:58)-SUMIF(57:57,C12,58:58)+100</f>
        <v>100</v>
      </c>
      <c r="G12" s="880"/>
      <c r="H12" s="253">
        <f>SUMIF(57:57,G12,58:58)-SUMIF(57:57,C12,58:58)+100</f>
        <v>100</v>
      </c>
      <c r="I12" s="880"/>
      <c r="J12" s="253">
        <f>SUMIF(57:57,I12,58:58)-SUMIF(57:57,C12,58:58)+100</f>
        <v>100</v>
      </c>
      <c r="K12" s="582"/>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75" thickBot="1">
      <c r="A13" s="2945"/>
      <c r="B13" s="2951">
        <v>111</v>
      </c>
      <c r="C13" s="540"/>
      <c r="D13" s="541">
        <v>100</v>
      </c>
      <c r="E13" s="880"/>
      <c r="F13" s="253">
        <f>SUMIF(59:59,E13,60:60)-SUMIF(59:59,C13,60:60)+100</f>
        <v>100</v>
      </c>
      <c r="G13" s="880"/>
      <c r="H13" s="541">
        <f>SUMIF(59:59,G13,60:60)-SUMIF(59:59,C13,60:60)+100</f>
        <v>100</v>
      </c>
      <c r="I13" s="880"/>
      <c r="J13" s="541">
        <f>SUMIF(59:59,I13,60:60)-SUMIF(59:59,C13,60:60)+100</f>
        <v>100</v>
      </c>
      <c r="K13" s="582"/>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85.5">
      <c r="A14" s="2937" t="s">
        <v>2762</v>
      </c>
      <c r="B14" s="165"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3"/>
      <c r="M14" s="2135"/>
      <c r="N14" s="2135"/>
      <c r="O14" s="2142"/>
      <c r="P14" s="3414" t="s">
        <v>541</v>
      </c>
      <c r="Q14" s="1572" t="str">
        <f t="shared" si="6"/>
        <v>交通便捷度</v>
      </c>
      <c r="R14" s="1573" t="s">
        <v>8</v>
      </c>
      <c r="S14" s="1574">
        <f t="shared" si="0"/>
        <v>100</v>
      </c>
      <c r="T14" s="1573" t="s">
        <v>8</v>
      </c>
      <c r="U14" s="1574">
        <f t="shared" si="1"/>
        <v>100</v>
      </c>
      <c r="V14" s="1573" t="s">
        <v>8</v>
      </c>
      <c r="W14" s="1574">
        <f t="shared" si="2"/>
        <v>100</v>
      </c>
      <c r="X14" s="1567"/>
      <c r="Y14" s="3414" t="s">
        <v>541</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3"/>
      <c r="M15" s="2135"/>
      <c r="N15" s="2135"/>
      <c r="O15" s="2142"/>
      <c r="P15" s="3415"/>
      <c r="Q15" s="1572"/>
      <c r="R15" s="1573"/>
      <c r="S15" s="1574"/>
      <c r="T15" s="1573"/>
      <c r="U15" s="1574"/>
      <c r="V15" s="1573"/>
      <c r="W15" s="1574"/>
      <c r="X15" s="1567"/>
      <c r="Y15" s="3415"/>
      <c r="Z15" s="1575"/>
      <c r="AA15" s="1576">
        <v>1</v>
      </c>
      <c r="AB15" s="1576">
        <v>1</v>
      </c>
      <c r="AC15" s="1576">
        <v>1</v>
      </c>
    </row>
    <row r="16" spans="1:29" ht="42.75">
      <c r="A16" s="533"/>
      <c r="B16" s="2628"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3"/>
      <c r="M16" s="2135"/>
      <c r="N16" s="2135"/>
      <c r="O16" s="2142"/>
      <c r="P16" s="3415"/>
      <c r="Q16" s="1572" t="str">
        <f>B16</f>
        <v>公共配套设施</v>
      </c>
      <c r="R16" s="1573" t="s">
        <v>8</v>
      </c>
      <c r="S16" s="1574">
        <f>F16</f>
        <v>100</v>
      </c>
      <c r="T16" s="1573" t="s">
        <v>8</v>
      </c>
      <c r="U16" s="1574">
        <f>H16</f>
        <v>100</v>
      </c>
      <c r="V16" s="1573" t="s">
        <v>8</v>
      </c>
      <c r="W16" s="1574">
        <f>J16</f>
        <v>100</v>
      </c>
      <c r="X16" s="1567"/>
      <c r="Y16" s="3415"/>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3"/>
      <c r="M17" s="2135"/>
      <c r="N17" s="2135"/>
      <c r="O17" s="2142"/>
      <c r="P17" s="3415"/>
      <c r="Q17" s="1572"/>
      <c r="R17" s="1573"/>
      <c r="S17" s="1574"/>
      <c r="T17" s="1573"/>
      <c r="U17" s="1574"/>
      <c r="V17" s="1573"/>
      <c r="W17" s="1574"/>
      <c r="X17" s="1567"/>
      <c r="Y17" s="3415"/>
      <c r="Z17" s="1575"/>
      <c r="AA17" s="1576">
        <v>1</v>
      </c>
      <c r="AB17" s="1576">
        <v>1</v>
      </c>
      <c r="AC17" s="1576">
        <v>1</v>
      </c>
    </row>
    <row r="18" spans="1:29" ht="28.5">
      <c r="A18" s="533"/>
      <c r="B18" s="2616"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3"/>
      <c r="M18" s="2135"/>
      <c r="N18" s="2135"/>
      <c r="O18" s="2142"/>
      <c r="P18" s="3415"/>
      <c r="Q18" s="2604" t="str">
        <f>B18</f>
        <v>基础设施水平</v>
      </c>
      <c r="R18" s="1573" t="s">
        <v>8</v>
      </c>
      <c r="S18" s="1574">
        <f>F18</f>
        <v>100</v>
      </c>
      <c r="T18" s="1573" t="s">
        <v>8</v>
      </c>
      <c r="U18" s="1574">
        <f>H18</f>
        <v>100</v>
      </c>
      <c r="V18" s="1573" t="s">
        <v>8</v>
      </c>
      <c r="W18" s="1574">
        <f>J18</f>
        <v>100</v>
      </c>
      <c r="X18" s="2606"/>
      <c r="Y18" s="3415"/>
      <c r="Z18" s="2605"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7"/>
      <c r="L19" s="2143"/>
      <c r="M19" s="2135"/>
      <c r="N19" s="2135"/>
      <c r="O19" s="2142"/>
      <c r="P19" s="3415"/>
      <c r="Q19" s="2604"/>
      <c r="R19" s="1573"/>
      <c r="S19" s="1574"/>
      <c r="T19" s="1573"/>
      <c r="U19" s="1574"/>
      <c r="V19" s="1573"/>
      <c r="W19" s="1574"/>
      <c r="X19" s="2606"/>
      <c r="Y19" s="3415"/>
      <c r="Z19" s="2605"/>
      <c r="AA19" s="1576">
        <v>1</v>
      </c>
      <c r="AB19" s="1576">
        <v>1</v>
      </c>
      <c r="AC19" s="1576">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3"/>
      <c r="M20" s="2135"/>
      <c r="N20" s="2135"/>
      <c r="O20" s="2142"/>
      <c r="P20" s="3415"/>
      <c r="Q20" s="1572" t="str">
        <f>B20</f>
        <v>自然及人文环境</v>
      </c>
      <c r="R20" s="1573" t="s">
        <v>8</v>
      </c>
      <c r="S20" s="1574">
        <f>F20</f>
        <v>100</v>
      </c>
      <c r="T20" s="1573" t="s">
        <v>8</v>
      </c>
      <c r="U20" s="1574">
        <f>H20</f>
        <v>100</v>
      </c>
      <c r="V20" s="1573" t="s">
        <v>8</v>
      </c>
      <c r="W20" s="1574">
        <f>J20</f>
        <v>100</v>
      </c>
      <c r="X20" s="1567"/>
      <c r="Y20" s="3415"/>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3"/>
      <c r="M21" s="2135"/>
      <c r="N21" s="2135"/>
      <c r="O21" s="2142"/>
      <c r="P21" s="3415"/>
      <c r="Q21" s="1572"/>
      <c r="R21" s="1573"/>
      <c r="S21" s="1574"/>
      <c r="T21" s="1573"/>
      <c r="U21" s="1574"/>
      <c r="V21" s="1573"/>
      <c r="W21" s="1574"/>
      <c r="X21" s="1567"/>
      <c r="Y21" s="3415"/>
      <c r="Z21" s="1575"/>
      <c r="AA21" s="1576">
        <v>1</v>
      </c>
      <c r="AB21" s="1576">
        <v>1</v>
      </c>
      <c r="AC21" s="1576">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415"/>
      <c r="Q22" s="1572" t="str">
        <f>B22</f>
        <v>楼层</v>
      </c>
      <c r="R22" s="1573" t="s">
        <v>8</v>
      </c>
      <c r="S22" s="1574">
        <f>F22</f>
        <v>100</v>
      </c>
      <c r="T22" s="1573" t="s">
        <v>8</v>
      </c>
      <c r="U22" s="1574">
        <f>H22</f>
        <v>100</v>
      </c>
      <c r="V22" s="1573" t="s">
        <v>8</v>
      </c>
      <c r="W22" s="1574">
        <f>J22</f>
        <v>100</v>
      </c>
      <c r="X22" s="1567"/>
      <c r="Y22" s="3415"/>
      <c r="Z22" s="1575" t="str">
        <f>Q22</f>
        <v>楼层</v>
      </c>
      <c r="AA22" s="1576">
        <f t="shared" si="3"/>
        <v>1</v>
      </c>
      <c r="AB22" s="1576">
        <f t="shared" si="4"/>
        <v>1</v>
      </c>
      <c r="AC22" s="1576">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415"/>
      <c r="Q23" s="1572">
        <f>B23</f>
        <v>111</v>
      </c>
      <c r="R23" s="1573" t="s">
        <v>8</v>
      </c>
      <c r="S23" s="1574">
        <f>F23</f>
        <v>100</v>
      </c>
      <c r="T23" s="1573" t="s">
        <v>8</v>
      </c>
      <c r="U23" s="1574">
        <f>H23</f>
        <v>100</v>
      </c>
      <c r="V23" s="1573" t="s">
        <v>8</v>
      </c>
      <c r="W23" s="1574">
        <f>J23</f>
        <v>100</v>
      </c>
      <c r="X23" s="1567"/>
      <c r="Y23" s="3415"/>
      <c r="Z23" s="1575">
        <f>Q23</f>
        <v>111</v>
      </c>
      <c r="AA23" s="1576">
        <f t="shared" si="3"/>
        <v>1</v>
      </c>
      <c r="AB23" s="1576">
        <f t="shared" si="4"/>
        <v>1</v>
      </c>
      <c r="AC23" s="1576">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415"/>
      <c r="Q24" s="1572">
        <f t="shared" ref="Q24:Q34" si="11">B24</f>
        <v>111</v>
      </c>
      <c r="R24" s="1573" t="s">
        <v>8</v>
      </c>
      <c r="S24" s="1574">
        <f>F24</f>
        <v>100</v>
      </c>
      <c r="T24" s="1573" t="s">
        <v>8</v>
      </c>
      <c r="U24" s="1574">
        <f>H24</f>
        <v>100</v>
      </c>
      <c r="V24" s="1573" t="s">
        <v>8</v>
      </c>
      <c r="W24" s="1574">
        <f>J24</f>
        <v>100</v>
      </c>
      <c r="X24" s="1567"/>
      <c r="Y24" s="3415"/>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6"/>
      <c r="M25" s="2137"/>
      <c r="N25" s="2137"/>
      <c r="O25" s="2138"/>
      <c r="P25" s="3415"/>
      <c r="Q25" s="1151">
        <f t="shared" si="11"/>
        <v>111</v>
      </c>
      <c r="R25" s="1568" t="s">
        <v>8</v>
      </c>
      <c r="S25" s="1569">
        <f>F25</f>
        <v>100</v>
      </c>
      <c r="T25" s="1568" t="s">
        <v>8</v>
      </c>
      <c r="U25" s="1569">
        <f>H25</f>
        <v>100</v>
      </c>
      <c r="V25" s="1568" t="s">
        <v>8</v>
      </c>
      <c r="W25" s="1569">
        <f>J25</f>
        <v>100</v>
      </c>
      <c r="X25" s="1570"/>
      <c r="Y25" s="3415"/>
      <c r="Z25" s="1150">
        <f>Q25</f>
        <v>111</v>
      </c>
      <c r="AA25" s="1576">
        <f>D25/F25</f>
        <v>1</v>
      </c>
      <c r="AB25" s="1576">
        <f>D25/H25</f>
        <v>1</v>
      </c>
      <c r="AC25" s="1576">
        <f>D25/J25</f>
        <v>1</v>
      </c>
    </row>
    <row r="26" spans="1:29" ht="15">
      <c r="A26" s="2934" t="s">
        <v>2763</v>
      </c>
      <c r="B26" s="171" t="s">
        <v>809</v>
      </c>
      <c r="C26" s="916"/>
      <c r="D26" s="598">
        <v>100</v>
      </c>
      <c r="E26" s="916"/>
      <c r="F26" s="943">
        <f>SUMIF(77:77,E26,78:78)-SUMIF(77:77,C26,78:78)+100</f>
        <v>100</v>
      </c>
      <c r="G26" s="916"/>
      <c r="H26" s="598">
        <f>SUMIF(77:77,G26,78:78)-SUMIF(77:77,C26,78:78)+100</f>
        <v>100</v>
      </c>
      <c r="I26" s="916"/>
      <c r="J26" s="598">
        <f>SUMIF(77:77,I26,78:78)-SUMIF(77:77,C26,78:78)+100</f>
        <v>100</v>
      </c>
      <c r="K26" s="585"/>
      <c r="L26" s="2143"/>
      <c r="M26" s="2135"/>
      <c r="N26" s="2135"/>
      <c r="O26" s="2142"/>
      <c r="P26" s="341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7" t="s">
        <v>822</v>
      </c>
      <c r="Z26" s="1575" t="str">
        <f t="shared" ref="Z26:Z34" si="15">Q26</f>
        <v>公共部分装修</v>
      </c>
      <c r="AA26" s="1576">
        <f t="shared" si="3"/>
        <v>1</v>
      </c>
      <c r="AB26" s="1576">
        <f t="shared" si="4"/>
        <v>1</v>
      </c>
      <c r="AC26" s="1576">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41"/>
      <c r="M27" s="2172"/>
      <c r="N27" s="2172"/>
      <c r="O27" s="2144"/>
      <c r="P27" s="3417"/>
      <c r="Q27" s="1605" t="str">
        <f t="shared" si="11"/>
        <v>成新率</v>
      </c>
      <c r="R27" s="1577" t="s">
        <v>8</v>
      </c>
      <c r="S27" s="1578" t="e">
        <f t="shared" si="12"/>
        <v>#N/A</v>
      </c>
      <c r="T27" s="1577" t="s">
        <v>8</v>
      </c>
      <c r="U27" s="1578" t="e">
        <f t="shared" si="13"/>
        <v>#N/A</v>
      </c>
      <c r="V27" s="1577" t="s">
        <v>8</v>
      </c>
      <c r="W27" s="1578" t="e">
        <f t="shared" si="14"/>
        <v>#N/A</v>
      </c>
      <c r="X27" s="1579"/>
      <c r="Y27" s="3417"/>
      <c r="Z27" s="1580" t="str">
        <f t="shared" si="15"/>
        <v>成新率</v>
      </c>
      <c r="AA27" s="1576" t="e">
        <f t="shared" si="3"/>
        <v>#N/A</v>
      </c>
      <c r="AB27" s="1576" t="e">
        <f t="shared" si="4"/>
        <v>#N/A</v>
      </c>
      <c r="AC27" s="1576"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417"/>
      <c r="Q28" s="1572" t="str">
        <f t="shared" si="11"/>
        <v>物业等级</v>
      </c>
      <c r="R28" s="1573" t="s">
        <v>8</v>
      </c>
      <c r="S28" s="1574">
        <f t="shared" si="12"/>
        <v>100</v>
      </c>
      <c r="T28" s="1573" t="s">
        <v>8</v>
      </c>
      <c r="U28" s="1574">
        <f t="shared" si="13"/>
        <v>100</v>
      </c>
      <c r="V28" s="1573" t="s">
        <v>8</v>
      </c>
      <c r="W28" s="1574">
        <f t="shared" si="14"/>
        <v>100</v>
      </c>
      <c r="X28" s="1567"/>
      <c r="Y28" s="3417"/>
      <c r="Z28" s="1575" t="str">
        <f t="shared" si="15"/>
        <v>物业等级</v>
      </c>
      <c r="AA28" s="1576">
        <f t="shared" si="3"/>
        <v>1</v>
      </c>
      <c r="AB28" s="1576">
        <f t="shared" si="4"/>
        <v>1</v>
      </c>
      <c r="AC28" s="1576">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3"/>
      <c r="M29" s="2135"/>
      <c r="N29" s="2135"/>
      <c r="O29" s="2142"/>
      <c r="P29" s="3417"/>
      <c r="Q29" s="1572" t="str">
        <f t="shared" si="11"/>
        <v>有无电梯</v>
      </c>
      <c r="R29" s="1573" t="s">
        <v>8</v>
      </c>
      <c r="S29" s="1574">
        <f t="shared" si="12"/>
        <v>100</v>
      </c>
      <c r="T29" s="1573" t="s">
        <v>8</v>
      </c>
      <c r="U29" s="1574">
        <f t="shared" si="13"/>
        <v>100</v>
      </c>
      <c r="V29" s="1573" t="s">
        <v>8</v>
      </c>
      <c r="W29" s="1574">
        <f t="shared" si="14"/>
        <v>100</v>
      </c>
      <c r="X29" s="1567"/>
      <c r="Y29" s="3417"/>
      <c r="Z29" s="1575" t="str">
        <f t="shared" si="15"/>
        <v>有无电梯</v>
      </c>
      <c r="AA29" s="1576">
        <f t="shared" si="3"/>
        <v>1</v>
      </c>
      <c r="AB29" s="1576">
        <f t="shared" si="4"/>
        <v>1</v>
      </c>
      <c r="AC29" s="1576">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3"/>
      <c r="M30" s="2135"/>
      <c r="N30" s="2135"/>
      <c r="O30" s="2142"/>
      <c r="P30" s="3417"/>
      <c r="Q30" s="1572" t="str">
        <f t="shared" si="11"/>
        <v>建筑面积</v>
      </c>
      <c r="R30" s="1573" t="s">
        <v>8</v>
      </c>
      <c r="S30" s="1574" t="e">
        <f t="shared" si="12"/>
        <v>#N/A</v>
      </c>
      <c r="T30" s="1573" t="s">
        <v>8</v>
      </c>
      <c r="U30" s="1574" t="e">
        <f t="shared" si="13"/>
        <v>#N/A</v>
      </c>
      <c r="V30" s="1573" t="s">
        <v>8</v>
      </c>
      <c r="W30" s="1574" t="e">
        <f t="shared" si="14"/>
        <v>#N/A</v>
      </c>
      <c r="X30" s="1567"/>
      <c r="Y30" s="3417"/>
      <c r="Z30" s="1575" t="str">
        <f t="shared" si="15"/>
        <v>建筑面积</v>
      </c>
      <c r="AA30" s="1576" t="e">
        <f t="shared" si="3"/>
        <v>#N/A</v>
      </c>
      <c r="AB30" s="1576" t="e">
        <f t="shared" si="4"/>
        <v>#N/A</v>
      </c>
      <c r="AC30" s="1576"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6"/>
      <c r="M31" s="2137"/>
      <c r="N31" s="2137"/>
      <c r="O31" s="2138"/>
      <c r="P31" s="3417"/>
      <c r="Q31" s="1151" t="str">
        <f t="shared" si="11"/>
        <v>是否封闭</v>
      </c>
      <c r="R31" s="1568" t="s">
        <v>8</v>
      </c>
      <c r="S31" s="1569">
        <f t="shared" si="12"/>
        <v>100</v>
      </c>
      <c r="T31" s="1568" t="s">
        <v>8</v>
      </c>
      <c r="U31" s="1569">
        <f t="shared" si="13"/>
        <v>100</v>
      </c>
      <c r="V31" s="1568" t="s">
        <v>8</v>
      </c>
      <c r="W31" s="1569">
        <f t="shared" si="14"/>
        <v>100</v>
      </c>
      <c r="X31" s="1570"/>
      <c r="Y31" s="3417"/>
      <c r="Z31" s="1150" t="str">
        <f t="shared" si="15"/>
        <v>是否封闭</v>
      </c>
      <c r="AA31" s="1571">
        <f t="shared" si="3"/>
        <v>1</v>
      </c>
      <c r="AB31" s="1571">
        <f t="shared" si="4"/>
        <v>1</v>
      </c>
      <c r="AC31" s="1571">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3"/>
      <c r="M32" s="2135"/>
      <c r="N32" s="2135"/>
      <c r="O32" s="2142"/>
      <c r="P32" s="3417" t="s">
        <v>551</v>
      </c>
      <c r="Q32" s="1572">
        <f t="shared" si="11"/>
        <v>111</v>
      </c>
      <c r="R32" s="1573" t="s">
        <v>8</v>
      </c>
      <c r="S32" s="1574">
        <f t="shared" si="12"/>
        <v>100</v>
      </c>
      <c r="T32" s="1573" t="s">
        <v>8</v>
      </c>
      <c r="U32" s="1574">
        <f t="shared" si="13"/>
        <v>100</v>
      </c>
      <c r="V32" s="1573" t="s">
        <v>8</v>
      </c>
      <c r="W32" s="1574">
        <f t="shared" si="14"/>
        <v>100</v>
      </c>
      <c r="X32" s="1567"/>
      <c r="Y32" s="3417" t="s">
        <v>551</v>
      </c>
      <c r="Z32" s="1575">
        <f t="shared" si="15"/>
        <v>111</v>
      </c>
      <c r="AA32" s="1576">
        <f t="shared" si="3"/>
        <v>1</v>
      </c>
      <c r="AB32" s="1576">
        <f t="shared" si="4"/>
        <v>1</v>
      </c>
      <c r="AC32" s="1576">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3"/>
      <c r="M33" s="2135"/>
      <c r="N33" s="2135"/>
      <c r="O33" s="2142"/>
      <c r="P33" s="3417"/>
      <c r="Q33" s="1572">
        <f t="shared" si="11"/>
        <v>111</v>
      </c>
      <c r="R33" s="1573" t="s">
        <v>8</v>
      </c>
      <c r="S33" s="1574">
        <f t="shared" si="12"/>
        <v>100</v>
      </c>
      <c r="T33" s="1573" t="s">
        <v>8</v>
      </c>
      <c r="U33" s="1574">
        <f t="shared" si="13"/>
        <v>100</v>
      </c>
      <c r="V33" s="1573" t="s">
        <v>8</v>
      </c>
      <c r="W33" s="1574">
        <f t="shared" si="14"/>
        <v>100</v>
      </c>
      <c r="X33" s="1567"/>
      <c r="Y33" s="3417"/>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3"/>
      <c r="M34" s="2135"/>
      <c r="N34" s="2135"/>
      <c r="O34" s="2142"/>
      <c r="P34" s="3417"/>
      <c r="Q34" s="1572">
        <f t="shared" si="11"/>
        <v>111</v>
      </c>
      <c r="R34" s="1573" t="s">
        <v>8</v>
      </c>
      <c r="S34" s="1574">
        <f t="shared" si="12"/>
        <v>100</v>
      </c>
      <c r="T34" s="1573" t="s">
        <v>8</v>
      </c>
      <c r="U34" s="1574">
        <f t="shared" si="13"/>
        <v>100</v>
      </c>
      <c r="V34" s="1573" t="s">
        <v>8</v>
      </c>
      <c r="W34" s="1574">
        <f t="shared" si="14"/>
        <v>100</v>
      </c>
      <c r="X34" s="1567"/>
      <c r="Y34" s="3417"/>
      <c r="Z34" s="1575">
        <f t="shared" si="15"/>
        <v>111</v>
      </c>
      <c r="AA34" s="1576">
        <f t="shared" si="3"/>
        <v>1</v>
      </c>
      <c r="AB34" s="1576">
        <f t="shared" si="4"/>
        <v>1</v>
      </c>
      <c r="AC34" s="1576">
        <f t="shared" si="5"/>
        <v>1</v>
      </c>
    </row>
    <row r="35" spans="1:29" ht="15">
      <c r="A35" s="608" t="s">
        <v>737</v>
      </c>
      <c r="B35" s="887"/>
      <c r="C35" s="2652" t="s">
        <v>1</v>
      </c>
      <c r="D35" s="2653"/>
      <c r="E35" s="2654"/>
      <c r="F35" s="2655"/>
      <c r="G35" s="2656"/>
      <c r="H35" s="2657"/>
      <c r="I35" s="2654"/>
      <c r="J35" s="2657"/>
      <c r="K35" s="1611"/>
      <c r="L35" s="2145"/>
      <c r="M35" s="2146"/>
      <c r="N35" s="2135"/>
      <c r="O35" s="2146"/>
      <c r="P35" s="3379" t="str">
        <f>A35</f>
        <v>成交单价（元/平方米）</v>
      </c>
      <c r="Q35" s="3379"/>
      <c r="R35" s="3470">
        <f>E35</f>
        <v>0</v>
      </c>
      <c r="S35" s="3470"/>
      <c r="T35" s="3470">
        <f>G35</f>
        <v>0</v>
      </c>
      <c r="U35" s="3470"/>
      <c r="V35" s="3470">
        <f>I35</f>
        <v>0</v>
      </c>
      <c r="W35" s="3470"/>
      <c r="X35" s="1559"/>
      <c r="Y35" s="1581"/>
      <c r="Z35" s="1559"/>
      <c r="AA35" s="1559"/>
      <c r="AB35" s="1559"/>
      <c r="AC35" s="1559"/>
    </row>
    <row r="36" spans="1:29" ht="15.75" thickBot="1">
      <c r="A36" s="616" t="s">
        <v>2768</v>
      </c>
      <c r="B36" s="888"/>
      <c r="C36" s="2658" t="e">
        <f>R37</f>
        <v>#DIV/0!</v>
      </c>
      <c r="D36" s="2659"/>
      <c r="E36" s="2660" t="e">
        <f>R36</f>
        <v>#DIV/0!</v>
      </c>
      <c r="F36" s="2660"/>
      <c r="G36" s="2658" t="e">
        <f>T36</f>
        <v>#DIV/0!</v>
      </c>
      <c r="H36" s="2659"/>
      <c r="I36" s="2660" t="e">
        <f>V36</f>
        <v>#DIV/0!</v>
      </c>
      <c r="J36" s="2659"/>
      <c r="K36" s="1612"/>
      <c r="L36" s="2145"/>
      <c r="M36" s="2146"/>
      <c r="N36" s="2135"/>
      <c r="O36" s="2146"/>
      <c r="P36" s="3379" t="str">
        <f>A36</f>
        <v>比较价格（元/平方米）</v>
      </c>
      <c r="Q36" s="3379"/>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59"/>
      <c r="Y36" s="1559"/>
      <c r="Z36" s="1559"/>
      <c r="AA36" s="1559"/>
      <c r="AB36" s="1559"/>
      <c r="AC36" s="1559"/>
    </row>
    <row r="37" spans="1:29" ht="15.75" thickBot="1">
      <c r="A37" s="622" t="s">
        <v>2943</v>
      </c>
      <c r="B37" s="623"/>
      <c r="C37" s="2661" t="e">
        <f>R37</f>
        <v>#DIV/0!</v>
      </c>
      <c r="D37" s="2661"/>
      <c r="E37" s="2661"/>
      <c r="F37" s="2661"/>
      <c r="G37" s="2661"/>
      <c r="H37" s="2661"/>
      <c r="I37" s="2661"/>
      <c r="J37" s="2661"/>
      <c r="K37" s="1613"/>
      <c r="L37" s="2145"/>
      <c r="M37" s="2146"/>
      <c r="N37" s="2146"/>
      <c r="O37" s="2146"/>
      <c r="P37" s="3376" t="str">
        <f>A37</f>
        <v>估价对象XX用房的比较价格（楼面单价，元/平方米）</v>
      </c>
      <c r="Q37" s="3377"/>
      <c r="R37" s="3469" t="e">
        <f>IF(F1="售价",ROUND(AVERAGE(R36:V36),0),ROUND(AVERAGE(R36:V36),1))</f>
        <v>#DIV/0!</v>
      </c>
      <c r="S37" s="3469"/>
      <c r="T37" s="3469"/>
      <c r="U37" s="3469"/>
      <c r="V37" s="3469"/>
      <c r="W37" s="346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6" t="s">
        <v>530</v>
      </c>
      <c r="B46" s="647"/>
      <c r="C46" s="2829" t="str">
        <f>YEAR(C7)&amp;"-"&amp;MONTH(C7)</f>
        <v>2018-2</v>
      </c>
      <c r="D46" s="2831">
        <f>EDATE(C46,-1)</f>
        <v>43101</v>
      </c>
      <c r="E46" s="2831">
        <f t="shared" ref="E46:O46" si="16">EDATE(D46,-1)</f>
        <v>43070</v>
      </c>
      <c r="F46" s="2831">
        <f t="shared" si="16"/>
        <v>43040</v>
      </c>
      <c r="G46" s="2831">
        <f t="shared" si="16"/>
        <v>43009</v>
      </c>
      <c r="H46" s="2831">
        <f t="shared" si="16"/>
        <v>42979</v>
      </c>
      <c r="I46" s="2831">
        <f t="shared" si="16"/>
        <v>42948</v>
      </c>
      <c r="J46" s="2831">
        <f t="shared" si="16"/>
        <v>42917</v>
      </c>
      <c r="K46" s="2831">
        <f t="shared" si="16"/>
        <v>42887</v>
      </c>
      <c r="L46" s="2831">
        <f t="shared" si="16"/>
        <v>42856</v>
      </c>
      <c r="M46" s="2831">
        <f t="shared" si="16"/>
        <v>42826</v>
      </c>
      <c r="N46" s="2831">
        <f t="shared" si="16"/>
        <v>42795</v>
      </c>
      <c r="O46" s="2831">
        <f t="shared" si="16"/>
        <v>42767</v>
      </c>
      <c r="P46" s="2161"/>
      <c r="Q46" s="2162"/>
      <c r="R46" s="2162"/>
      <c r="S46" s="2162"/>
      <c r="T46" s="2162"/>
      <c r="U46" s="2162"/>
      <c r="V46" s="2162"/>
      <c r="W46" s="2162"/>
      <c r="X46" s="2162"/>
      <c r="Y46" s="2162"/>
      <c r="Z46" s="2162"/>
      <c r="AA46" s="2162"/>
      <c r="AB46" s="2162"/>
      <c r="AC46" s="2162"/>
    </row>
    <row r="47" spans="1:29" s="1220"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20" customFormat="1" ht="15.75" thickBot="1">
      <c r="A48" s="654" t="s">
        <v>576</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20" customFormat="1" ht="15">
      <c r="A49" s="660" t="s">
        <v>532</v>
      </c>
      <c r="B49" s="649"/>
      <c r="C49" s="661" t="s">
        <v>577</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5">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2564</v>
      </c>
      <c r="C63" s="709" t="s">
        <v>580</v>
      </c>
      <c r="D63" s="709" t="s">
        <v>581</v>
      </c>
      <c r="E63" s="709" t="s">
        <v>582</v>
      </c>
      <c r="F63" s="709" t="s">
        <v>583</v>
      </c>
      <c r="G63" s="709" t="s">
        <v>584</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22" t="s">
        <v>2565</v>
      </c>
      <c r="C65" s="2623" t="s">
        <v>2566</v>
      </c>
      <c r="D65" s="2623" t="s">
        <v>2567</v>
      </c>
      <c r="E65" s="2623" t="s">
        <v>2568</v>
      </c>
      <c r="F65" s="2623" t="s">
        <v>2569</v>
      </c>
      <c r="G65" s="2623" t="s">
        <v>2570</v>
      </c>
      <c r="H65" s="675"/>
      <c r="I65" s="675"/>
      <c r="J65" s="675"/>
      <c r="K65" s="675"/>
      <c r="L65" s="675"/>
      <c r="M65" s="2626"/>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745</v>
      </c>
      <c r="C67" s="709" t="s">
        <v>580</v>
      </c>
      <c r="D67" s="709" t="s">
        <v>581</v>
      </c>
      <c r="E67" s="709" t="s">
        <v>582</v>
      </c>
      <c r="F67" s="709" t="s">
        <v>583</v>
      </c>
      <c r="G67" s="709" t="s">
        <v>584</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746</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0"/>
      <c r="B71" s="674">
        <f>B23</f>
        <v>111</v>
      </c>
      <c r="C71" s="542"/>
      <c r="D71" s="542"/>
      <c r="E71" s="542"/>
      <c r="F71" s="542"/>
      <c r="G71" s="689"/>
      <c r="H71" s="689"/>
      <c r="I71" s="689"/>
      <c r="J71" s="689"/>
      <c r="K71" s="689"/>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552</v>
      </c>
      <c r="B77" s="666" t="s">
        <v>752</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818</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826</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9" customFormat="1" ht="15" thickTop="1">
      <c r="A89" s="729"/>
      <c r="B89" s="674" t="s">
        <v>828</v>
      </c>
      <c r="C89" s="689"/>
      <c r="D89" s="689"/>
      <c r="E89" s="689"/>
      <c r="F89" s="689"/>
      <c r="G89" s="689"/>
      <c r="H89" s="689"/>
      <c r="I89" s="689"/>
      <c r="J89" s="689"/>
      <c r="K89" s="689"/>
      <c r="L89" s="689"/>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7">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5"/>
    <col min="36" max="16384" width="9" style="1250"/>
  </cols>
  <sheetData>
    <row r="1" spans="1:45" s="255" customFormat="1" ht="14.25" customHeight="1" thickBot="1">
      <c r="A1" s="366"/>
      <c r="B1" s="2235" t="s">
        <v>2307</v>
      </c>
      <c r="C1" s="3503" t="s">
        <v>2308</v>
      </c>
      <c r="D1" s="3504"/>
      <c r="E1" s="3504"/>
      <c r="F1" s="3504"/>
      <c r="G1" s="3504"/>
      <c r="H1" s="3504"/>
      <c r="I1" s="3504"/>
      <c r="J1" s="3504"/>
      <c r="K1" s="3504"/>
      <c r="L1" s="3504"/>
      <c r="M1" s="3504"/>
      <c r="N1" s="3504"/>
      <c r="O1" s="3504"/>
      <c r="P1" s="3504"/>
      <c r="Q1" s="3504"/>
      <c r="R1" s="3504"/>
      <c r="S1" s="350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2"/>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831</v>
      </c>
      <c r="B22" s="53">
        <f>SUM(B24:B10000)</f>
        <v>0</v>
      </c>
      <c r="C22" s="3500" t="s">
        <v>20</v>
      </c>
      <c r="D22" s="3501"/>
      <c r="E22" s="3501"/>
      <c r="F22" s="3501"/>
      <c r="G22" s="3501"/>
      <c r="H22" s="3501"/>
      <c r="I22" s="3501"/>
      <c r="J22" s="3501"/>
      <c r="K22" s="3501"/>
      <c r="L22" s="3501"/>
      <c r="M22" s="3501"/>
      <c r="N22" s="3501"/>
      <c r="O22" s="3501"/>
      <c r="P22" s="3501"/>
      <c r="Q22" s="3502"/>
      <c r="R22" s="491"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1">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1">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1">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1">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1">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1">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1">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1">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1">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1">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1">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1">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1">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1">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1">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1">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1">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1">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1">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1">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1">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1">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1">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1">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1">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1">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1">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1">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1">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1">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1">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1">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1">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1">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1">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1">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1">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1">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1">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1">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1">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1">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1">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1">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1">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1">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1">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1">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1">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1">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1">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1">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1">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1">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1">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1">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1">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1">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1">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1">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1">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1">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1">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1">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1">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1">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1">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1">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1">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1">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1">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1">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1">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1">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1">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1">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1">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1">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1">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1">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1">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1">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1">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1">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1">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1">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1">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1">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1">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1">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1">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1">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1">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1">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1">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1">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1">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1">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1">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1">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1">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1">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1">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1">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1">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1">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1">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1">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1">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1">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1">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1">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1">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1">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1">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1">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1">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1">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1">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1">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1">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1">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1">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1">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1">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1">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1">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1">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1">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1">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1">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1">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1">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1">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1">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1">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1">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1">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1">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1">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1">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1">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1">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1">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1">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1">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1">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1">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1">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1">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1">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1">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1">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1">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1">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1">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1">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1">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1">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1">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1">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1">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1">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1">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1">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1">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1">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1">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1">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1">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1">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1">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1">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1">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1">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1">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1">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1">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1">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1">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1">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1">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1">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1">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1">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1">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1">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1">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1">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1">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1">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1">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1">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1">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1">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1">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1">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1">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1">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1">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1">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1">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1">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1">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1">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1">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1">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1">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1">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1">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1">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1">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1">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1">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1">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1">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1">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1">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1">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1">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1">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1">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1">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1">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1">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1">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1">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1">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1">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1">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1">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1">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1">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1">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1">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1">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1">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1">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1">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1">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1">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1">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1">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1">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1">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1">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1">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1">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1">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1">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1">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1">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1">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1">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1">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1">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1">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1">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1">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1">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1">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1">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1">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1">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1">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1">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1">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1">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1">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1">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1">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1">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1">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1">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1">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1">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1">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1">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1">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1">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1">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1">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1">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1">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1">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1">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1">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1">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1">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1">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1">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1">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1">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1">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1">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1">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1">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1">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1">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1">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1">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1">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1">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1">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1">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1">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1">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1">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1">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1">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1">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1">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1">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1">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1">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1">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1">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1">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1">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1">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1">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1">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1">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1">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1">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1">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1">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1">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1">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1">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1">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1">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1">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1">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1">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1">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1">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1">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1">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1">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1">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1">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1">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1">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1">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1">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1">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1">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1">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1">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1">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1">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1">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1">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1">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1">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1">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1">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1">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1">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1">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1">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1">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1">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1">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1">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1">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1">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1">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1">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1">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1">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1">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1">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1">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1">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1">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1">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1">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1">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1">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1">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1">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1">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1">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1">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1">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1">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1">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1">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1">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1">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1">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1">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1">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1">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1">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1">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1">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1">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1">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1">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1">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1">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1">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1">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1">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1">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1">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1">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1">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1">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1">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1">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1">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1">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1">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1">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1">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1">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1">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1">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1">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1">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1">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1">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1">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1">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1">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1">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1">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1">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1">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1">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1">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1">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1">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1">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1">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1">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1">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1">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1">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1">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1">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1">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1">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1">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1">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1">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1">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1">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1">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1">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1">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1">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1">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1">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1">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1">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1">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1">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1">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1">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1">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1">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1">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1">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1">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1">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1">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1">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1">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1">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1">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1">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1">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1">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1">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1">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1">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1">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1">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1">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1">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1">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1">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1">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1">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1">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1">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1">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1">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1">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1">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1">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1">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1">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1">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27"/>
      <c r="S525" s="255"/>
    </row>
    <row r="526" spans="1:19">
      <c r="A526" s="255"/>
      <c r="B526" s="57"/>
      <c r="C526" s="57"/>
      <c r="D526" s="57"/>
      <c r="E526" s="57"/>
      <c r="F526" s="57"/>
      <c r="G526" s="57"/>
      <c r="H526" s="57"/>
      <c r="I526" s="57"/>
      <c r="J526" s="57"/>
      <c r="K526" s="57"/>
      <c r="L526" s="57"/>
      <c r="M526" s="57"/>
      <c r="N526" s="57"/>
      <c r="O526" s="57"/>
      <c r="P526" s="57"/>
      <c r="Q526" s="57"/>
      <c r="R526" s="2227"/>
      <c r="S526" s="255"/>
    </row>
    <row r="527" spans="1:19">
      <c r="A527" s="255"/>
      <c r="B527" s="57"/>
      <c r="C527" s="57"/>
      <c r="D527" s="57"/>
      <c r="E527" s="57"/>
      <c r="F527" s="57"/>
      <c r="G527" s="57"/>
      <c r="H527" s="57"/>
      <c r="I527" s="57"/>
      <c r="J527" s="57"/>
      <c r="K527" s="57"/>
      <c r="L527" s="57"/>
      <c r="M527" s="57"/>
      <c r="N527" s="57"/>
      <c r="O527" s="57"/>
      <c r="P527" s="57"/>
      <c r="Q527" s="57"/>
      <c r="R527" s="2227"/>
      <c r="S527" s="255"/>
    </row>
    <row r="528" spans="1:19">
      <c r="A528" s="255"/>
      <c r="B528" s="57"/>
      <c r="C528" s="57"/>
      <c r="D528" s="57"/>
      <c r="E528" s="57"/>
      <c r="F528" s="57"/>
      <c r="G528" s="57"/>
      <c r="H528" s="57"/>
      <c r="I528" s="57"/>
      <c r="J528" s="57"/>
      <c r="K528" s="57"/>
      <c r="L528" s="57"/>
      <c r="M528" s="57"/>
      <c r="N528" s="57"/>
      <c r="O528" s="57"/>
      <c r="P528" s="57"/>
      <c r="Q528" s="57"/>
      <c r="R528" s="2227"/>
      <c r="S528" s="255"/>
    </row>
    <row r="529" spans="1:19">
      <c r="A529" s="255"/>
      <c r="B529" s="57"/>
      <c r="C529" s="57"/>
      <c r="D529" s="57"/>
      <c r="E529" s="57"/>
      <c r="F529" s="57"/>
      <c r="G529" s="57"/>
      <c r="H529" s="57"/>
      <c r="I529" s="57"/>
      <c r="J529" s="57"/>
      <c r="K529" s="57"/>
      <c r="L529" s="57"/>
      <c r="M529" s="57"/>
      <c r="N529" s="57"/>
      <c r="O529" s="57"/>
      <c r="P529" s="57"/>
      <c r="Q529" s="57"/>
      <c r="R529" s="2227"/>
      <c r="S529" s="255"/>
    </row>
    <row r="530" spans="1:19">
      <c r="A530" s="255"/>
      <c r="B530" s="57"/>
      <c r="C530" s="57"/>
      <c r="D530" s="57"/>
      <c r="E530" s="57"/>
      <c r="F530" s="57"/>
      <c r="G530" s="57"/>
      <c r="H530" s="57"/>
      <c r="I530" s="57"/>
      <c r="J530" s="57"/>
      <c r="K530" s="57"/>
      <c r="L530" s="57"/>
      <c r="M530" s="57"/>
      <c r="N530" s="57"/>
      <c r="O530" s="57"/>
      <c r="P530" s="57"/>
      <c r="Q530" s="57"/>
      <c r="R530" s="2227"/>
      <c r="S530" s="255"/>
    </row>
    <row r="531" spans="1:19">
      <c r="A531" s="255"/>
      <c r="B531" s="57"/>
      <c r="C531" s="57"/>
      <c r="D531" s="57"/>
      <c r="E531" s="57"/>
      <c r="F531" s="57"/>
      <c r="G531" s="57"/>
      <c r="H531" s="57"/>
      <c r="I531" s="57"/>
      <c r="J531" s="57"/>
      <c r="K531" s="57"/>
      <c r="L531" s="57"/>
      <c r="M531" s="57"/>
      <c r="N531" s="57"/>
      <c r="O531" s="57"/>
      <c r="P531" s="57"/>
      <c r="Q531" s="57"/>
      <c r="R531" s="2227"/>
      <c r="S531" s="255"/>
    </row>
    <row r="532" spans="1:19">
      <c r="A532" s="255"/>
      <c r="B532" s="57"/>
      <c r="C532" s="57"/>
      <c r="D532" s="57"/>
      <c r="E532" s="57"/>
      <c r="F532" s="57"/>
      <c r="G532" s="57"/>
      <c r="H532" s="57"/>
      <c r="I532" s="57"/>
      <c r="J532" s="57"/>
      <c r="K532" s="57"/>
      <c r="L532" s="57"/>
      <c r="M532" s="57"/>
      <c r="N532" s="57"/>
      <c r="O532" s="57"/>
      <c r="P532" s="57"/>
      <c r="Q532" s="57"/>
      <c r="R532" s="2227"/>
      <c r="S532" s="255"/>
    </row>
    <row r="533" spans="1:19">
      <c r="A533" s="255"/>
      <c r="B533" s="57"/>
      <c r="C533" s="57"/>
      <c r="D533" s="57"/>
      <c r="E533" s="57"/>
      <c r="F533" s="57"/>
      <c r="G533" s="57"/>
      <c r="H533" s="57"/>
      <c r="I533" s="57"/>
      <c r="J533" s="57"/>
      <c r="K533" s="57"/>
      <c r="L533" s="57"/>
      <c r="M533" s="57"/>
      <c r="N533" s="57"/>
      <c r="O533" s="57"/>
      <c r="P533" s="57"/>
      <c r="Q533" s="57"/>
      <c r="R533" s="2227"/>
      <c r="S533" s="255"/>
    </row>
    <row r="534" spans="1:19">
      <c r="A534" s="255"/>
      <c r="B534" s="57"/>
      <c r="C534" s="57"/>
      <c r="D534" s="57"/>
      <c r="E534" s="57"/>
      <c r="F534" s="57"/>
      <c r="G534" s="57"/>
      <c r="H534" s="57"/>
      <c r="I534" s="57"/>
      <c r="J534" s="57"/>
      <c r="K534" s="57"/>
      <c r="L534" s="57"/>
      <c r="M534" s="57"/>
      <c r="N534" s="57"/>
      <c r="O534" s="57"/>
      <c r="P534" s="57"/>
      <c r="Q534" s="57"/>
      <c r="R534" s="2227"/>
      <c r="S534" s="255"/>
    </row>
    <row r="535" spans="1:19">
      <c r="A535" s="255"/>
      <c r="B535" s="57"/>
      <c r="C535" s="57"/>
      <c r="D535" s="57"/>
      <c r="E535" s="57"/>
      <c r="F535" s="57"/>
      <c r="G535" s="57"/>
      <c r="H535" s="57"/>
      <c r="I535" s="57"/>
      <c r="J535" s="57"/>
      <c r="K535" s="57"/>
      <c r="L535" s="57"/>
      <c r="M535" s="57"/>
      <c r="N535" s="57"/>
      <c r="O535" s="57"/>
      <c r="P535" s="57"/>
      <c r="Q535" s="57"/>
      <c r="R535" s="2227"/>
      <c r="S535" s="255"/>
    </row>
    <row r="536" spans="1:19">
      <c r="A536" s="255"/>
      <c r="B536" s="57"/>
      <c r="C536" s="57"/>
      <c r="D536" s="57"/>
      <c r="E536" s="57"/>
      <c r="F536" s="57"/>
      <c r="G536" s="57"/>
      <c r="H536" s="57"/>
      <c r="I536" s="57"/>
      <c r="J536" s="57"/>
      <c r="K536" s="57"/>
      <c r="L536" s="57"/>
      <c r="M536" s="57"/>
      <c r="N536" s="57"/>
      <c r="O536" s="57"/>
      <c r="P536" s="57"/>
      <c r="Q536" s="57"/>
      <c r="R536" s="2227"/>
      <c r="S536" s="255"/>
    </row>
    <row r="537" spans="1:19">
      <c r="A537" s="255"/>
      <c r="B537" s="57"/>
      <c r="C537" s="57"/>
      <c r="D537" s="57"/>
      <c r="E537" s="57"/>
      <c r="F537" s="57"/>
      <c r="G537" s="57"/>
      <c r="H537" s="57"/>
      <c r="I537" s="57"/>
      <c r="J537" s="57"/>
      <c r="K537" s="57"/>
      <c r="L537" s="57"/>
      <c r="M537" s="57"/>
      <c r="N537" s="57"/>
      <c r="O537" s="57"/>
      <c r="P537" s="57"/>
      <c r="Q537" s="57"/>
      <c r="R537" s="2227"/>
      <c r="S537" s="255"/>
    </row>
    <row r="538" spans="1:19">
      <c r="A538" s="255"/>
      <c r="B538" s="57"/>
      <c r="C538" s="57"/>
      <c r="D538" s="57"/>
      <c r="E538" s="57"/>
      <c r="F538" s="57"/>
      <c r="G538" s="57"/>
      <c r="H538" s="57"/>
      <c r="I538" s="57"/>
      <c r="J538" s="57"/>
      <c r="K538" s="57"/>
      <c r="L538" s="57"/>
      <c r="M538" s="57"/>
      <c r="N538" s="57"/>
      <c r="O538" s="57"/>
      <c r="P538" s="57"/>
      <c r="Q538" s="57"/>
      <c r="R538" s="2227"/>
      <c r="S538" s="255"/>
    </row>
    <row r="539" spans="1:19">
      <c r="A539" s="255"/>
      <c r="B539" s="57"/>
      <c r="C539" s="57"/>
      <c r="D539" s="57"/>
      <c r="E539" s="57"/>
      <c r="F539" s="57"/>
      <c r="G539" s="57"/>
      <c r="H539" s="57"/>
      <c r="I539" s="57"/>
      <c r="J539" s="57"/>
      <c r="K539" s="57"/>
      <c r="L539" s="57"/>
      <c r="M539" s="57"/>
      <c r="N539" s="57"/>
      <c r="O539" s="57"/>
      <c r="P539" s="57"/>
      <c r="Q539" s="57"/>
      <c r="R539" s="2227"/>
      <c r="S539" s="255"/>
    </row>
    <row r="540" spans="1:19">
      <c r="A540" s="255"/>
      <c r="B540" s="57"/>
      <c r="C540" s="57"/>
      <c r="D540" s="57"/>
      <c r="E540" s="57"/>
      <c r="F540" s="57"/>
      <c r="G540" s="57"/>
      <c r="H540" s="57"/>
      <c r="I540" s="57"/>
      <c r="J540" s="57"/>
      <c r="K540" s="57"/>
      <c r="L540" s="57"/>
      <c r="M540" s="57"/>
      <c r="N540" s="57"/>
      <c r="O540" s="57"/>
      <c r="P540" s="57"/>
      <c r="Q540" s="57"/>
      <c r="R540" s="2227"/>
      <c r="S540" s="255"/>
    </row>
    <row r="541" spans="1:19">
      <c r="A541" s="255"/>
      <c r="B541" s="57"/>
      <c r="C541" s="57"/>
      <c r="D541" s="57"/>
      <c r="E541" s="57"/>
      <c r="F541" s="57"/>
      <c r="G541" s="57"/>
      <c r="H541" s="57"/>
      <c r="I541" s="57"/>
      <c r="J541" s="57"/>
      <c r="K541" s="57"/>
      <c r="L541" s="57"/>
      <c r="M541" s="57"/>
      <c r="N541" s="57"/>
      <c r="O541" s="57"/>
      <c r="P541" s="57"/>
      <c r="Q541" s="57"/>
      <c r="R541" s="2227"/>
      <c r="S541" s="255"/>
    </row>
    <row r="542" spans="1:19">
      <c r="A542" s="255"/>
      <c r="B542" s="57"/>
      <c r="C542" s="57"/>
      <c r="D542" s="57"/>
      <c r="E542" s="57"/>
      <c r="F542" s="57"/>
      <c r="G542" s="57"/>
      <c r="H542" s="57"/>
      <c r="I542" s="57"/>
      <c r="J542" s="57"/>
      <c r="K542" s="57"/>
      <c r="L542" s="57"/>
      <c r="M542" s="57"/>
      <c r="N542" s="57"/>
      <c r="O542" s="57"/>
      <c r="P542" s="57"/>
      <c r="Q542" s="57"/>
      <c r="R542" s="2227"/>
      <c r="S542" s="255"/>
    </row>
    <row r="543" spans="1:19">
      <c r="A543" s="255"/>
      <c r="B543" s="57"/>
      <c r="C543" s="57"/>
      <c r="D543" s="57"/>
      <c r="E543" s="57"/>
      <c r="F543" s="57"/>
      <c r="G543" s="57"/>
      <c r="H543" s="57"/>
      <c r="I543" s="57"/>
      <c r="J543" s="57"/>
      <c r="K543" s="57"/>
      <c r="L543" s="57"/>
      <c r="M543" s="57"/>
      <c r="N543" s="57"/>
      <c r="O543" s="57"/>
      <c r="P543" s="57"/>
      <c r="Q543" s="57"/>
      <c r="R543" s="2227"/>
      <c r="S543" s="255"/>
    </row>
    <row r="544" spans="1:19">
      <c r="A544" s="255"/>
      <c r="B544" s="57"/>
      <c r="C544" s="57"/>
      <c r="D544" s="57"/>
      <c r="E544" s="57"/>
      <c r="F544" s="57"/>
      <c r="G544" s="57"/>
      <c r="H544" s="57"/>
      <c r="I544" s="57"/>
      <c r="J544" s="57"/>
      <c r="K544" s="57"/>
      <c r="L544" s="57"/>
      <c r="M544" s="57"/>
      <c r="N544" s="57"/>
      <c r="O544" s="57"/>
      <c r="P544" s="57"/>
      <c r="Q544" s="57"/>
      <c r="R544" s="2227"/>
      <c r="S544" s="255"/>
    </row>
    <row r="545" spans="1:19">
      <c r="A545" s="255"/>
      <c r="B545" s="57"/>
      <c r="C545" s="57"/>
      <c r="D545" s="57"/>
      <c r="E545" s="57"/>
      <c r="F545" s="57"/>
      <c r="G545" s="57"/>
      <c r="H545" s="57"/>
      <c r="I545" s="57"/>
      <c r="J545" s="57"/>
      <c r="K545" s="57"/>
      <c r="L545" s="57"/>
      <c r="M545" s="57"/>
      <c r="N545" s="57"/>
      <c r="O545" s="57"/>
      <c r="P545" s="57"/>
      <c r="Q545" s="57"/>
      <c r="R545" s="2227"/>
      <c r="S545" s="255"/>
    </row>
    <row r="546" spans="1:19">
      <c r="A546" s="255"/>
      <c r="B546" s="57"/>
      <c r="C546" s="57"/>
      <c r="D546" s="57"/>
      <c r="E546" s="57"/>
      <c r="F546" s="57"/>
      <c r="G546" s="57"/>
      <c r="H546" s="57"/>
      <c r="I546" s="57"/>
      <c r="J546" s="57"/>
      <c r="K546" s="57"/>
      <c r="L546" s="57"/>
      <c r="M546" s="57"/>
      <c r="N546" s="57"/>
      <c r="O546" s="57"/>
      <c r="P546" s="57"/>
      <c r="Q546" s="57"/>
      <c r="R546" s="2227"/>
      <c r="S546" s="255"/>
    </row>
    <row r="547" spans="1:19">
      <c r="A547" s="255"/>
      <c r="B547" s="57"/>
      <c r="C547" s="57"/>
      <c r="D547" s="57"/>
      <c r="E547" s="57"/>
      <c r="F547" s="57"/>
      <c r="G547" s="57"/>
      <c r="H547" s="57"/>
      <c r="I547" s="57"/>
      <c r="J547" s="57"/>
      <c r="K547" s="57"/>
      <c r="L547" s="57"/>
      <c r="M547" s="57"/>
      <c r="N547" s="57"/>
      <c r="O547" s="57"/>
      <c r="P547" s="57"/>
      <c r="Q547" s="57"/>
      <c r="R547" s="2227"/>
      <c r="S547" s="255"/>
    </row>
    <row r="548" spans="1:19">
      <c r="A548" s="255"/>
      <c r="B548" s="57"/>
      <c r="C548" s="57"/>
      <c r="D548" s="57"/>
      <c r="E548" s="57"/>
      <c r="F548" s="57"/>
      <c r="G548" s="57"/>
      <c r="H548" s="57"/>
      <c r="I548" s="57"/>
      <c r="J548" s="57"/>
      <c r="K548" s="57"/>
      <c r="L548" s="57"/>
      <c r="M548" s="57"/>
      <c r="N548" s="57"/>
      <c r="O548" s="57"/>
      <c r="P548" s="57"/>
      <c r="Q548" s="57"/>
      <c r="R548" s="2227"/>
      <c r="S548" s="255"/>
    </row>
    <row r="549" spans="1:19">
      <c r="A549" s="255"/>
      <c r="B549" s="57"/>
      <c r="C549" s="57"/>
      <c r="D549" s="57"/>
      <c r="E549" s="57"/>
      <c r="F549" s="57"/>
      <c r="G549" s="57"/>
      <c r="H549" s="57"/>
      <c r="I549" s="57"/>
      <c r="J549" s="57"/>
      <c r="K549" s="57"/>
      <c r="L549" s="57"/>
      <c r="M549" s="57"/>
      <c r="N549" s="57"/>
      <c r="O549" s="57"/>
      <c r="P549" s="57"/>
      <c r="Q549" s="57"/>
      <c r="R549" s="2227"/>
      <c r="S549" s="255"/>
    </row>
    <row r="550" spans="1:19">
      <c r="A550" s="255"/>
      <c r="B550" s="57"/>
      <c r="C550" s="57"/>
      <c r="D550" s="57"/>
      <c r="E550" s="57"/>
      <c r="F550" s="57"/>
      <c r="G550" s="57"/>
      <c r="H550" s="57"/>
      <c r="I550" s="57"/>
      <c r="J550" s="57"/>
      <c r="K550" s="57"/>
      <c r="L550" s="57"/>
      <c r="M550" s="57"/>
      <c r="N550" s="57"/>
      <c r="O550" s="57"/>
      <c r="P550" s="57"/>
      <c r="Q550" s="57"/>
      <c r="R550" s="2227"/>
      <c r="S550" s="255"/>
    </row>
    <row r="551" spans="1:19">
      <c r="A551" s="255"/>
      <c r="B551" s="57"/>
      <c r="C551" s="57"/>
      <c r="D551" s="57"/>
      <c r="E551" s="57"/>
      <c r="F551" s="57"/>
      <c r="G551" s="57"/>
      <c r="H551" s="57"/>
      <c r="I551" s="57"/>
      <c r="J551" s="57"/>
      <c r="K551" s="57"/>
      <c r="L551" s="57"/>
      <c r="M551" s="57"/>
      <c r="N551" s="57"/>
      <c r="O551" s="57"/>
      <c r="P551" s="57"/>
      <c r="Q551" s="57"/>
      <c r="R551" s="2227"/>
      <c r="S551" s="255"/>
    </row>
    <row r="552" spans="1:19">
      <c r="A552" s="255"/>
      <c r="B552" s="57"/>
      <c r="C552" s="57"/>
      <c r="D552" s="57"/>
      <c r="E552" s="57"/>
      <c r="F552" s="57"/>
      <c r="G552" s="57"/>
      <c r="H552" s="57"/>
      <c r="I552" s="57"/>
      <c r="J552" s="57"/>
      <c r="K552" s="57"/>
      <c r="L552" s="57"/>
      <c r="M552" s="57"/>
      <c r="N552" s="57"/>
      <c r="O552" s="57"/>
      <c r="P552" s="57"/>
      <c r="Q552" s="57"/>
      <c r="R552" s="2227"/>
      <c r="S552" s="255"/>
    </row>
    <row r="553" spans="1:19">
      <c r="A553" s="255"/>
      <c r="B553" s="57"/>
      <c r="C553" s="57"/>
      <c r="D553" s="57"/>
      <c r="E553" s="57"/>
      <c r="F553" s="57"/>
      <c r="G553" s="57"/>
      <c r="H553" s="57"/>
      <c r="I553" s="57"/>
      <c r="J553" s="57"/>
      <c r="K553" s="57"/>
      <c r="L553" s="57"/>
      <c r="M553" s="57"/>
      <c r="N553" s="57"/>
      <c r="O553" s="57"/>
      <c r="P553" s="57"/>
      <c r="Q553" s="57"/>
      <c r="R553" s="2227"/>
      <c r="S553" s="255"/>
    </row>
    <row r="554" spans="1:19">
      <c r="A554" s="255"/>
      <c r="B554" s="57"/>
      <c r="C554" s="57"/>
      <c r="D554" s="57"/>
      <c r="E554" s="57"/>
      <c r="F554" s="57"/>
      <c r="G554" s="57"/>
      <c r="H554" s="57"/>
      <c r="I554" s="57"/>
      <c r="J554" s="57"/>
      <c r="K554" s="57"/>
      <c r="L554" s="57"/>
      <c r="M554" s="57"/>
      <c r="N554" s="57"/>
      <c r="O554" s="57"/>
      <c r="P554" s="57"/>
      <c r="Q554" s="57"/>
      <c r="R554" s="2227"/>
      <c r="S554" s="255"/>
    </row>
    <row r="555" spans="1:19">
      <c r="A555" s="255"/>
      <c r="B555" s="57"/>
      <c r="C555" s="57"/>
      <c r="D555" s="57"/>
      <c r="E555" s="57"/>
      <c r="F555" s="57"/>
      <c r="G555" s="57"/>
      <c r="H555" s="57"/>
      <c r="I555" s="57"/>
      <c r="J555" s="57"/>
      <c r="K555" s="57"/>
      <c r="L555" s="57"/>
      <c r="M555" s="57"/>
      <c r="N555" s="57"/>
      <c r="O555" s="57"/>
      <c r="P555" s="57"/>
      <c r="Q555" s="57"/>
      <c r="R555" s="2227"/>
      <c r="S555" s="255"/>
    </row>
    <row r="556" spans="1:19">
      <c r="A556" s="255"/>
      <c r="B556" s="57"/>
      <c r="C556" s="57"/>
      <c r="D556" s="57"/>
      <c r="E556" s="57"/>
      <c r="F556" s="57"/>
      <c r="G556" s="57"/>
      <c r="H556" s="57"/>
      <c r="I556" s="57"/>
      <c r="J556" s="57"/>
      <c r="K556" s="57"/>
      <c r="L556" s="57"/>
      <c r="M556" s="57"/>
      <c r="N556" s="57"/>
      <c r="O556" s="57"/>
      <c r="P556" s="57"/>
      <c r="Q556" s="57"/>
      <c r="R556" s="2227"/>
      <c r="S556" s="255"/>
    </row>
    <row r="557" spans="1:19">
      <c r="A557" s="255"/>
      <c r="B557" s="57"/>
      <c r="C557" s="57"/>
      <c r="D557" s="57"/>
      <c r="E557" s="57"/>
      <c r="F557" s="57"/>
      <c r="G557" s="57"/>
      <c r="H557" s="57"/>
      <c r="I557" s="57"/>
      <c r="J557" s="57"/>
      <c r="K557" s="57"/>
      <c r="L557" s="57"/>
      <c r="M557" s="57"/>
      <c r="N557" s="57"/>
      <c r="O557" s="57"/>
      <c r="P557" s="57"/>
      <c r="Q557" s="57"/>
      <c r="R557" s="2227"/>
      <c r="S557" s="255"/>
    </row>
    <row r="558" spans="1:19">
      <c r="A558" s="255"/>
      <c r="B558" s="57"/>
      <c r="C558" s="57"/>
      <c r="D558" s="57"/>
      <c r="E558" s="57"/>
      <c r="F558" s="57"/>
      <c r="G558" s="57"/>
      <c r="H558" s="57"/>
      <c r="I558" s="57"/>
      <c r="J558" s="57"/>
      <c r="K558" s="57"/>
      <c r="L558" s="57"/>
      <c r="M558" s="57"/>
      <c r="N558" s="57"/>
      <c r="O558" s="57"/>
      <c r="P558" s="57"/>
      <c r="Q558" s="57"/>
      <c r="R558" s="2227"/>
      <c r="S558" s="255"/>
    </row>
    <row r="559" spans="1:19">
      <c r="A559" s="255"/>
      <c r="B559" s="57"/>
      <c r="C559" s="57"/>
      <c r="D559" s="57"/>
      <c r="E559" s="57"/>
      <c r="F559" s="57"/>
      <c r="G559" s="57"/>
      <c r="H559" s="57"/>
      <c r="I559" s="57"/>
      <c r="J559" s="57"/>
      <c r="K559" s="57"/>
      <c r="L559" s="57"/>
      <c r="M559" s="57"/>
      <c r="N559" s="57"/>
      <c r="O559" s="57"/>
      <c r="P559" s="57"/>
      <c r="Q559" s="57"/>
      <c r="R559" s="2227"/>
      <c r="S559" s="255"/>
    </row>
    <row r="560" spans="1:19">
      <c r="A560" s="255"/>
      <c r="B560" s="57"/>
      <c r="C560" s="57"/>
      <c r="D560" s="57"/>
      <c r="E560" s="57"/>
      <c r="F560" s="57"/>
      <c r="G560" s="57"/>
      <c r="H560" s="57"/>
      <c r="I560" s="57"/>
      <c r="J560" s="57"/>
      <c r="K560" s="57"/>
      <c r="L560" s="57"/>
      <c r="M560" s="57"/>
      <c r="N560" s="57"/>
      <c r="O560" s="57"/>
      <c r="P560" s="57"/>
      <c r="Q560" s="57"/>
      <c r="R560" s="2227"/>
      <c r="S560" s="255"/>
    </row>
    <row r="561" spans="1:19">
      <c r="A561" s="255"/>
      <c r="B561" s="57"/>
      <c r="C561" s="57"/>
      <c r="D561" s="57"/>
      <c r="E561" s="57"/>
      <c r="F561" s="57"/>
      <c r="G561" s="57"/>
      <c r="H561" s="57"/>
      <c r="I561" s="57"/>
      <c r="J561" s="57"/>
      <c r="K561" s="57"/>
      <c r="L561" s="57"/>
      <c r="M561" s="57"/>
      <c r="N561" s="57"/>
      <c r="O561" s="57"/>
      <c r="P561" s="57"/>
      <c r="Q561" s="57"/>
      <c r="R561" s="2227"/>
      <c r="S561" s="255"/>
    </row>
    <row r="562" spans="1:19">
      <c r="A562" s="255"/>
      <c r="B562" s="57"/>
      <c r="C562" s="57"/>
      <c r="D562" s="57"/>
      <c r="E562" s="57"/>
      <c r="F562" s="57"/>
      <c r="G562" s="57"/>
      <c r="H562" s="57"/>
      <c r="I562" s="57"/>
      <c r="J562" s="57"/>
      <c r="K562" s="57"/>
      <c r="L562" s="57"/>
      <c r="M562" s="57"/>
      <c r="N562" s="57"/>
      <c r="O562" s="57"/>
      <c r="P562" s="57"/>
      <c r="Q562" s="57"/>
      <c r="R562" s="2227"/>
      <c r="S562" s="255"/>
    </row>
    <row r="563" spans="1:19">
      <c r="A563" s="255"/>
      <c r="B563" s="57"/>
      <c r="C563" s="57"/>
      <c r="D563" s="57"/>
      <c r="E563" s="57"/>
      <c r="F563" s="57"/>
      <c r="G563" s="57"/>
      <c r="H563" s="57"/>
      <c r="I563" s="57"/>
      <c r="J563" s="57"/>
      <c r="K563" s="57"/>
      <c r="L563" s="57"/>
      <c r="M563" s="57"/>
      <c r="N563" s="57"/>
      <c r="O563" s="57"/>
      <c r="P563" s="57"/>
      <c r="Q563" s="57"/>
      <c r="R563" s="2227"/>
      <c r="S563" s="255"/>
    </row>
    <row r="564" spans="1:19">
      <c r="A564" s="255"/>
      <c r="B564" s="57"/>
      <c r="C564" s="57"/>
      <c r="D564" s="57"/>
      <c r="E564" s="57"/>
      <c r="F564" s="57"/>
      <c r="G564" s="57"/>
      <c r="H564" s="57"/>
      <c r="I564" s="57"/>
      <c r="J564" s="57"/>
      <c r="K564" s="57"/>
      <c r="L564" s="57"/>
      <c r="M564" s="57"/>
      <c r="N564" s="57"/>
      <c r="O564" s="57"/>
      <c r="P564" s="57"/>
      <c r="Q564" s="57"/>
      <c r="R564" s="2227"/>
      <c r="S564" s="255"/>
    </row>
    <row r="565" spans="1:19">
      <c r="A565" s="255"/>
      <c r="B565" s="57"/>
      <c r="C565" s="57"/>
      <c r="D565" s="57"/>
      <c r="E565" s="57"/>
      <c r="F565" s="57"/>
      <c r="G565" s="57"/>
      <c r="H565" s="57"/>
      <c r="I565" s="57"/>
      <c r="J565" s="57"/>
      <c r="K565" s="57"/>
      <c r="L565" s="57"/>
      <c r="M565" s="57"/>
      <c r="N565" s="57"/>
      <c r="O565" s="57"/>
      <c r="P565" s="57"/>
      <c r="Q565" s="57"/>
      <c r="R565" s="2227"/>
      <c r="S565" s="255"/>
    </row>
    <row r="566" spans="1:19">
      <c r="A566" s="255"/>
      <c r="B566" s="57"/>
      <c r="C566" s="57"/>
      <c r="D566" s="57"/>
      <c r="E566" s="57"/>
      <c r="F566" s="57"/>
      <c r="G566" s="57"/>
      <c r="H566" s="57"/>
      <c r="I566" s="57"/>
      <c r="J566" s="57"/>
      <c r="K566" s="57"/>
      <c r="L566" s="57"/>
      <c r="M566" s="57"/>
      <c r="N566" s="57"/>
      <c r="O566" s="57"/>
      <c r="P566" s="57"/>
      <c r="Q566" s="57"/>
      <c r="R566" s="2227"/>
      <c r="S566" s="255"/>
    </row>
    <row r="567" spans="1:19">
      <c r="A567" s="255"/>
      <c r="B567" s="57"/>
      <c r="C567" s="57"/>
      <c r="D567" s="57"/>
      <c r="E567" s="57"/>
      <c r="F567" s="57"/>
      <c r="G567" s="57"/>
      <c r="H567" s="57"/>
      <c r="I567" s="57"/>
      <c r="J567" s="57"/>
      <c r="K567" s="57"/>
      <c r="L567" s="57"/>
      <c r="M567" s="57"/>
      <c r="N567" s="57"/>
      <c r="O567" s="57"/>
      <c r="P567" s="57"/>
      <c r="Q567" s="57"/>
      <c r="R567" s="2227"/>
      <c r="S567" s="255"/>
    </row>
    <row r="568" spans="1:19">
      <c r="A568" s="255"/>
      <c r="B568" s="57"/>
      <c r="C568" s="57"/>
      <c r="D568" s="57"/>
      <c r="E568" s="57"/>
      <c r="F568" s="57"/>
      <c r="G568" s="57"/>
      <c r="H568" s="57"/>
      <c r="I568" s="57"/>
      <c r="J568" s="57"/>
      <c r="K568" s="57"/>
      <c r="L568" s="57"/>
      <c r="M568" s="57"/>
      <c r="N568" s="57"/>
      <c r="O568" s="57"/>
      <c r="P568" s="57"/>
      <c r="Q568" s="57"/>
      <c r="R568" s="2227"/>
      <c r="S568" s="255"/>
    </row>
    <row r="569" spans="1:19">
      <c r="A569" s="255"/>
      <c r="B569" s="57"/>
      <c r="C569" s="57"/>
      <c r="D569" s="57"/>
      <c r="E569" s="57"/>
      <c r="F569" s="57"/>
      <c r="G569" s="57"/>
      <c r="H569" s="57"/>
      <c r="I569" s="57"/>
      <c r="J569" s="57"/>
      <c r="K569" s="57"/>
      <c r="L569" s="57"/>
      <c r="M569" s="57"/>
      <c r="N569" s="57"/>
      <c r="O569" s="57"/>
      <c r="P569" s="57"/>
      <c r="Q569" s="57"/>
      <c r="R569" s="2227"/>
      <c r="S569" s="255"/>
    </row>
    <row r="570" spans="1:19">
      <c r="A570" s="255"/>
      <c r="B570" s="57"/>
      <c r="C570" s="57"/>
      <c r="D570" s="57"/>
      <c r="E570" s="57"/>
      <c r="F570" s="57"/>
      <c r="G570" s="57"/>
      <c r="H570" s="57"/>
      <c r="I570" s="57"/>
      <c r="J570" s="57"/>
      <c r="K570" s="57"/>
      <c r="L570" s="57"/>
      <c r="M570" s="57"/>
      <c r="N570" s="57"/>
      <c r="O570" s="57"/>
      <c r="P570" s="57"/>
      <c r="Q570" s="57"/>
      <c r="R570" s="2227"/>
      <c r="S570" s="255"/>
    </row>
    <row r="571" spans="1:19">
      <c r="A571" s="255"/>
      <c r="B571" s="57"/>
      <c r="C571" s="57"/>
      <c r="D571" s="57"/>
      <c r="E571" s="57"/>
      <c r="F571" s="57"/>
      <c r="G571" s="57"/>
      <c r="H571" s="57"/>
      <c r="I571" s="57"/>
      <c r="J571" s="57"/>
      <c r="K571" s="57"/>
      <c r="L571" s="57"/>
      <c r="M571" s="57"/>
      <c r="N571" s="57"/>
      <c r="O571" s="57"/>
      <c r="P571" s="57"/>
      <c r="Q571" s="57"/>
      <c r="R571" s="2227"/>
      <c r="S571" s="255"/>
    </row>
    <row r="572" spans="1:19">
      <c r="A572" s="255"/>
      <c r="B572" s="57"/>
      <c r="C572" s="57"/>
      <c r="D572" s="57"/>
      <c r="E572" s="57"/>
      <c r="F572" s="57"/>
      <c r="G572" s="57"/>
      <c r="H572" s="57"/>
      <c r="I572" s="57"/>
      <c r="J572" s="57"/>
      <c r="K572" s="57"/>
      <c r="L572" s="57"/>
      <c r="M572" s="57"/>
      <c r="N572" s="57"/>
      <c r="O572" s="57"/>
      <c r="P572" s="57"/>
      <c r="Q572" s="57"/>
      <c r="R572" s="2227"/>
      <c r="S572" s="255"/>
    </row>
    <row r="573" spans="1:19">
      <c r="A573" s="255"/>
      <c r="B573" s="57"/>
      <c r="C573" s="57"/>
      <c r="D573" s="57"/>
      <c r="E573" s="57"/>
      <c r="F573" s="57"/>
      <c r="G573" s="57"/>
      <c r="H573" s="57"/>
      <c r="I573" s="57"/>
      <c r="J573" s="57"/>
      <c r="K573" s="57"/>
      <c r="L573" s="57"/>
      <c r="M573" s="57"/>
      <c r="N573" s="57"/>
      <c r="O573" s="57"/>
      <c r="P573" s="57"/>
      <c r="Q573" s="57"/>
      <c r="R573" s="2227"/>
      <c r="S573" s="255"/>
    </row>
    <row r="574" spans="1:19">
      <c r="A574" s="255"/>
      <c r="B574" s="57"/>
      <c r="C574" s="57"/>
      <c r="D574" s="57"/>
      <c r="E574" s="57"/>
      <c r="F574" s="57"/>
      <c r="G574" s="57"/>
      <c r="H574" s="57"/>
      <c r="I574" s="57"/>
      <c r="J574" s="57"/>
      <c r="K574" s="57"/>
      <c r="L574" s="57"/>
      <c r="M574" s="57"/>
      <c r="N574" s="57"/>
      <c r="O574" s="57"/>
      <c r="P574" s="57"/>
      <c r="Q574" s="57"/>
      <c r="R574" s="2227"/>
      <c r="S574" s="255"/>
    </row>
    <row r="575" spans="1:19">
      <c r="A575" s="255"/>
      <c r="B575" s="57"/>
      <c r="C575" s="57"/>
      <c r="D575" s="57"/>
      <c r="E575" s="57"/>
      <c r="F575" s="57"/>
      <c r="G575" s="57"/>
      <c r="H575" s="57"/>
      <c r="I575" s="57"/>
      <c r="J575" s="57"/>
      <c r="K575" s="57"/>
      <c r="L575" s="57"/>
      <c r="M575" s="57"/>
      <c r="N575" s="57"/>
      <c r="O575" s="57"/>
      <c r="P575" s="57"/>
      <c r="Q575" s="57"/>
      <c r="R575" s="2227"/>
      <c r="S575" s="255"/>
    </row>
    <row r="576" spans="1:19">
      <c r="A576" s="255"/>
      <c r="B576" s="57"/>
      <c r="C576" s="57"/>
      <c r="D576" s="57"/>
      <c r="E576" s="57"/>
      <c r="F576" s="57"/>
      <c r="G576" s="57"/>
      <c r="H576" s="57"/>
      <c r="I576" s="57"/>
      <c r="J576" s="57"/>
      <c r="K576" s="57"/>
      <c r="L576" s="57"/>
      <c r="M576" s="57"/>
      <c r="N576" s="57"/>
      <c r="O576" s="57"/>
      <c r="P576" s="57"/>
      <c r="Q576" s="57"/>
      <c r="R576" s="2227"/>
      <c r="S576" s="255"/>
    </row>
    <row r="577" spans="1:19">
      <c r="A577" s="255"/>
      <c r="B577" s="57"/>
      <c r="C577" s="57"/>
      <c r="D577" s="57"/>
      <c r="E577" s="57"/>
      <c r="F577" s="57"/>
      <c r="G577" s="57"/>
      <c r="H577" s="57"/>
      <c r="I577" s="57"/>
      <c r="J577" s="57"/>
      <c r="K577" s="57"/>
      <c r="L577" s="57"/>
      <c r="M577" s="57"/>
      <c r="N577" s="57"/>
      <c r="O577" s="57"/>
      <c r="P577" s="57"/>
      <c r="Q577" s="57"/>
      <c r="R577" s="2227"/>
      <c r="S577" s="255"/>
    </row>
    <row r="578" spans="1:19">
      <c r="A578" s="255"/>
      <c r="B578" s="57"/>
      <c r="C578" s="57"/>
      <c r="D578" s="57"/>
      <c r="E578" s="57"/>
      <c r="F578" s="57"/>
      <c r="G578" s="57"/>
      <c r="H578" s="57"/>
      <c r="I578" s="57"/>
      <c r="J578" s="57"/>
      <c r="K578" s="57"/>
      <c r="L578" s="57"/>
      <c r="M578" s="57"/>
      <c r="N578" s="57"/>
      <c r="O578" s="57"/>
      <c r="P578" s="57"/>
      <c r="Q578" s="57"/>
      <c r="R578" s="2227"/>
      <c r="S578" s="255"/>
    </row>
    <row r="579" spans="1:19">
      <c r="A579" s="255"/>
      <c r="B579" s="57"/>
      <c r="C579" s="57"/>
      <c r="D579" s="57"/>
      <c r="E579" s="57"/>
      <c r="F579" s="57"/>
      <c r="G579" s="57"/>
      <c r="H579" s="57"/>
      <c r="I579" s="57"/>
      <c r="J579" s="57"/>
      <c r="K579" s="57"/>
      <c r="L579" s="57"/>
      <c r="M579" s="57"/>
      <c r="N579" s="57"/>
      <c r="O579" s="57"/>
      <c r="P579" s="57"/>
      <c r="Q579" s="57"/>
      <c r="R579" s="2227"/>
      <c r="S579" s="255"/>
    </row>
    <row r="580" spans="1:19">
      <c r="A580" s="255"/>
      <c r="B580" s="57"/>
      <c r="C580" s="57"/>
      <c r="D580" s="57"/>
      <c r="E580" s="57"/>
      <c r="F580" s="57"/>
      <c r="G580" s="57"/>
      <c r="H580" s="57"/>
      <c r="I580" s="57"/>
      <c r="J580" s="57"/>
      <c r="K580" s="57"/>
      <c r="L580" s="57"/>
      <c r="M580" s="57"/>
      <c r="N580" s="57"/>
      <c r="O580" s="57"/>
      <c r="P580" s="57"/>
      <c r="Q580" s="57"/>
      <c r="R580" s="2227"/>
      <c r="S580" s="255"/>
    </row>
    <row r="581" spans="1:19">
      <c r="A581" s="255"/>
      <c r="B581" s="57"/>
      <c r="C581" s="57"/>
      <c r="D581" s="57"/>
      <c r="E581" s="57"/>
      <c r="F581" s="57"/>
      <c r="G581" s="57"/>
      <c r="H581" s="57"/>
      <c r="I581" s="57"/>
      <c r="J581" s="57"/>
      <c r="K581" s="57"/>
      <c r="L581" s="57"/>
      <c r="M581" s="57"/>
      <c r="N581" s="57"/>
      <c r="O581" s="57"/>
      <c r="P581" s="57"/>
      <c r="Q581" s="57"/>
      <c r="R581" s="2227"/>
      <c r="S581" s="255"/>
    </row>
    <row r="582" spans="1:19">
      <c r="A582" s="255"/>
      <c r="B582" s="57"/>
      <c r="C582" s="57"/>
      <c r="D582" s="57"/>
      <c r="E582" s="57"/>
      <c r="F582" s="57"/>
      <c r="G582" s="57"/>
      <c r="H582" s="57"/>
      <c r="I582" s="57"/>
      <c r="J582" s="57"/>
      <c r="K582" s="57"/>
      <c r="L582" s="57"/>
      <c r="M582" s="57"/>
      <c r="N582" s="57"/>
      <c r="O582" s="57"/>
      <c r="P582" s="57"/>
      <c r="Q582" s="57"/>
      <c r="R582" s="2227"/>
      <c r="S582" s="255"/>
    </row>
    <row r="583" spans="1:19">
      <c r="A583" s="255"/>
      <c r="B583" s="57"/>
      <c r="C583" s="57"/>
      <c r="D583" s="57"/>
      <c r="E583" s="57"/>
      <c r="F583" s="57"/>
      <c r="G583" s="57"/>
      <c r="H583" s="57"/>
      <c r="I583" s="57"/>
      <c r="J583" s="57"/>
      <c r="K583" s="57"/>
      <c r="L583" s="57"/>
      <c r="M583" s="57"/>
      <c r="N583" s="57"/>
      <c r="O583" s="57"/>
      <c r="P583" s="57"/>
      <c r="Q583" s="57"/>
      <c r="R583" s="2227"/>
      <c r="S583" s="255"/>
    </row>
    <row r="584" spans="1:19">
      <c r="A584" s="255"/>
      <c r="B584" s="57"/>
      <c r="C584" s="57"/>
      <c r="D584" s="57"/>
      <c r="E584" s="57"/>
      <c r="F584" s="57"/>
      <c r="G584" s="57"/>
      <c r="H584" s="57"/>
      <c r="I584" s="57"/>
      <c r="J584" s="57"/>
      <c r="K584" s="57"/>
      <c r="L584" s="57"/>
      <c r="M584" s="57"/>
      <c r="N584" s="57"/>
      <c r="O584" s="57"/>
      <c r="P584" s="57"/>
      <c r="Q584" s="57"/>
      <c r="R584" s="2227"/>
      <c r="S584" s="255"/>
    </row>
    <row r="585" spans="1:19">
      <c r="A585" s="255"/>
      <c r="B585" s="57"/>
      <c r="C585" s="57"/>
      <c r="D585" s="57"/>
      <c r="E585" s="57"/>
      <c r="F585" s="57"/>
      <c r="G585" s="57"/>
      <c r="H585" s="57"/>
      <c r="I585" s="57"/>
      <c r="J585" s="57"/>
      <c r="K585" s="57"/>
      <c r="L585" s="57"/>
      <c r="M585" s="57"/>
      <c r="N585" s="57"/>
      <c r="O585" s="57"/>
      <c r="P585" s="57"/>
      <c r="Q585" s="57"/>
      <c r="R585" s="2227"/>
      <c r="S585" s="255"/>
    </row>
    <row r="586" spans="1:19">
      <c r="A586" s="255"/>
      <c r="B586" s="57"/>
      <c r="C586" s="57"/>
      <c r="D586" s="57"/>
      <c r="E586" s="57"/>
      <c r="F586" s="57"/>
      <c r="G586" s="57"/>
      <c r="H586" s="57"/>
      <c r="I586" s="57"/>
      <c r="J586" s="57"/>
      <c r="K586" s="57"/>
      <c r="L586" s="57"/>
      <c r="M586" s="57"/>
      <c r="N586" s="57"/>
      <c r="O586" s="57"/>
      <c r="P586" s="57"/>
      <c r="Q586" s="57"/>
      <c r="R586" s="2227"/>
      <c r="S586" s="255"/>
    </row>
    <row r="587" spans="1:19">
      <c r="A587" s="255"/>
      <c r="B587" s="57"/>
      <c r="C587" s="57"/>
      <c r="D587" s="57"/>
      <c r="E587" s="57"/>
      <c r="F587" s="57"/>
      <c r="G587" s="57"/>
      <c r="H587" s="57"/>
      <c r="I587" s="57"/>
      <c r="J587" s="57"/>
      <c r="K587" s="57"/>
      <c r="L587" s="57"/>
      <c r="M587" s="57"/>
      <c r="N587" s="57"/>
      <c r="O587" s="57"/>
      <c r="P587" s="57"/>
      <c r="Q587" s="57"/>
      <c r="R587" s="2227"/>
      <c r="S587" s="255"/>
    </row>
    <row r="588" spans="1:19">
      <c r="A588" s="255"/>
      <c r="B588" s="57"/>
      <c r="C588" s="57"/>
      <c r="D588" s="57"/>
      <c r="E588" s="57"/>
      <c r="F588" s="57"/>
      <c r="G588" s="57"/>
      <c r="H588" s="57"/>
      <c r="I588" s="57"/>
      <c r="J588" s="57"/>
      <c r="K588" s="57"/>
      <c r="L588" s="57"/>
      <c r="M588" s="57"/>
      <c r="N588" s="57"/>
      <c r="O588" s="57"/>
      <c r="P588" s="57"/>
      <c r="Q588" s="57"/>
      <c r="R588" s="2227"/>
      <c r="S588" s="255"/>
    </row>
    <row r="589" spans="1:19">
      <c r="A589" s="255"/>
      <c r="B589" s="57"/>
      <c r="C589" s="57"/>
      <c r="D589" s="57"/>
      <c r="E589" s="57"/>
      <c r="F589" s="57"/>
      <c r="G589" s="57"/>
      <c r="H589" s="57"/>
      <c r="I589" s="57"/>
      <c r="J589" s="57"/>
      <c r="K589" s="57"/>
      <c r="L589" s="57"/>
      <c r="M589" s="57"/>
      <c r="N589" s="57"/>
      <c r="O589" s="57"/>
      <c r="P589" s="57"/>
      <c r="Q589" s="57"/>
      <c r="R589" s="2227"/>
      <c r="S589" s="255"/>
    </row>
    <row r="590" spans="1:19">
      <c r="A590" s="255"/>
      <c r="B590" s="57"/>
      <c r="C590" s="57"/>
      <c r="D590" s="57"/>
      <c r="E590" s="57"/>
      <c r="F590" s="57"/>
      <c r="G590" s="57"/>
      <c r="H590" s="57"/>
      <c r="I590" s="57"/>
      <c r="J590" s="57"/>
      <c r="K590" s="57"/>
      <c r="L590" s="57"/>
      <c r="M590" s="57"/>
      <c r="N590" s="57"/>
      <c r="O590" s="57"/>
      <c r="P590" s="57"/>
      <c r="Q590" s="57"/>
      <c r="R590" s="2227"/>
      <c r="S590" s="255"/>
    </row>
    <row r="591" spans="1:19">
      <c r="A591" s="255"/>
      <c r="B591" s="57"/>
      <c r="C591" s="57"/>
      <c r="D591" s="57"/>
      <c r="E591" s="57"/>
      <c r="F591" s="57"/>
      <c r="G591" s="57"/>
      <c r="H591" s="57"/>
      <c r="I591" s="57"/>
      <c r="J591" s="57"/>
      <c r="K591" s="57"/>
      <c r="L591" s="57"/>
      <c r="M591" s="57"/>
      <c r="N591" s="57"/>
      <c r="O591" s="57"/>
      <c r="P591" s="57"/>
      <c r="Q591" s="57"/>
      <c r="R591" s="2227"/>
      <c r="S591" s="255"/>
    </row>
    <row r="592" spans="1:19">
      <c r="A592" s="255"/>
      <c r="B592" s="57"/>
      <c r="C592" s="57"/>
      <c r="D592" s="57"/>
      <c r="E592" s="57"/>
      <c r="F592" s="57"/>
      <c r="G592" s="57"/>
      <c r="H592" s="57"/>
      <c r="I592" s="57"/>
      <c r="J592" s="57"/>
      <c r="K592" s="57"/>
      <c r="L592" s="57"/>
      <c r="M592" s="57"/>
      <c r="N592" s="57"/>
      <c r="O592" s="57"/>
      <c r="P592" s="57"/>
      <c r="Q592" s="57"/>
      <c r="R592" s="2227"/>
      <c r="S592" s="255"/>
    </row>
    <row r="593" spans="1:19">
      <c r="A593" s="255"/>
      <c r="B593" s="57"/>
      <c r="C593" s="57"/>
      <c r="D593" s="57"/>
      <c r="E593" s="57"/>
      <c r="F593" s="57"/>
      <c r="G593" s="57"/>
      <c r="H593" s="57"/>
      <c r="I593" s="57"/>
      <c r="J593" s="57"/>
      <c r="K593" s="57"/>
      <c r="L593" s="57"/>
      <c r="M593" s="57"/>
      <c r="N593" s="57"/>
      <c r="O593" s="57"/>
      <c r="P593" s="57"/>
      <c r="Q593" s="57"/>
      <c r="R593" s="2227"/>
      <c r="S593" s="255"/>
    </row>
    <row r="594" spans="1:19">
      <c r="A594" s="255"/>
      <c r="B594" s="57"/>
      <c r="C594" s="57"/>
      <c r="D594" s="57"/>
      <c r="E594" s="57"/>
      <c r="F594" s="57"/>
      <c r="G594" s="57"/>
      <c r="H594" s="57"/>
      <c r="I594" s="57"/>
      <c r="J594" s="57"/>
      <c r="K594" s="57"/>
      <c r="L594" s="57"/>
      <c r="M594" s="57"/>
      <c r="N594" s="57"/>
      <c r="O594" s="57"/>
      <c r="P594" s="57"/>
      <c r="Q594" s="57"/>
      <c r="R594" s="2227"/>
      <c r="S594" s="255"/>
    </row>
    <row r="595" spans="1:19">
      <c r="A595" s="255"/>
      <c r="B595" s="57"/>
      <c r="C595" s="57"/>
      <c r="D595" s="57"/>
      <c r="E595" s="57"/>
      <c r="F595" s="57"/>
      <c r="G595" s="57"/>
      <c r="H595" s="57"/>
      <c r="I595" s="57"/>
      <c r="J595" s="57"/>
      <c r="K595" s="57"/>
      <c r="L595" s="57"/>
      <c r="M595" s="57"/>
      <c r="N595" s="57"/>
      <c r="O595" s="57"/>
      <c r="P595" s="57"/>
      <c r="Q595" s="57"/>
      <c r="R595" s="2227"/>
      <c r="S595" s="255"/>
    </row>
    <row r="596" spans="1:19">
      <c r="A596" s="255"/>
      <c r="B596" s="57"/>
      <c r="C596" s="57"/>
      <c r="D596" s="57"/>
      <c r="E596" s="57"/>
      <c r="F596" s="57"/>
      <c r="G596" s="57"/>
      <c r="H596" s="57"/>
      <c r="I596" s="57"/>
      <c r="J596" s="57"/>
      <c r="K596" s="57"/>
      <c r="L596" s="57"/>
      <c r="M596" s="57"/>
      <c r="N596" s="57"/>
      <c r="O596" s="57"/>
      <c r="P596" s="57"/>
      <c r="Q596" s="57"/>
      <c r="R596" s="2227"/>
      <c r="S596" s="255"/>
    </row>
    <row r="597" spans="1:19">
      <c r="A597" s="255"/>
      <c r="B597" s="57"/>
      <c r="C597" s="57"/>
      <c r="D597" s="57"/>
      <c r="E597" s="57"/>
      <c r="F597" s="57"/>
      <c r="G597" s="57"/>
      <c r="H597" s="57"/>
      <c r="I597" s="57"/>
      <c r="J597" s="57"/>
      <c r="K597" s="57"/>
      <c r="L597" s="57"/>
      <c r="M597" s="57"/>
      <c r="N597" s="57"/>
      <c r="O597" s="57"/>
      <c r="P597" s="57"/>
      <c r="Q597" s="57"/>
      <c r="R597" s="2227"/>
      <c r="S597" s="255"/>
    </row>
    <row r="598" spans="1:19">
      <c r="A598" s="255"/>
      <c r="B598" s="57"/>
      <c r="C598" s="57"/>
      <c r="D598" s="57"/>
      <c r="E598" s="57"/>
      <c r="F598" s="57"/>
      <c r="G598" s="57"/>
      <c r="H598" s="57"/>
      <c r="I598" s="57"/>
      <c r="J598" s="57"/>
      <c r="K598" s="57"/>
      <c r="L598" s="57"/>
      <c r="M598" s="57"/>
      <c r="N598" s="57"/>
      <c r="O598" s="57"/>
      <c r="P598" s="57"/>
      <c r="Q598" s="57"/>
      <c r="R598" s="2227"/>
      <c r="S598" s="255"/>
    </row>
    <row r="599" spans="1:19">
      <c r="A599" s="255"/>
      <c r="B599" s="57"/>
      <c r="C599" s="57"/>
      <c r="D599" s="57"/>
      <c r="E599" s="57"/>
      <c r="F599" s="57"/>
      <c r="G599" s="57"/>
      <c r="H599" s="57"/>
      <c r="I599" s="57"/>
      <c r="J599" s="57"/>
      <c r="K599" s="57"/>
      <c r="L599" s="57"/>
      <c r="M599" s="57"/>
      <c r="N599" s="57"/>
      <c r="O599" s="57"/>
      <c r="P599" s="57"/>
      <c r="Q599" s="57"/>
      <c r="R599" s="2227"/>
      <c r="S599" s="255"/>
    </row>
    <row r="600" spans="1:19">
      <c r="A600" s="255"/>
      <c r="B600" s="57"/>
      <c r="C600" s="57"/>
      <c r="D600" s="57"/>
      <c r="E600" s="57"/>
      <c r="F600" s="57"/>
      <c r="G600" s="57"/>
      <c r="H600" s="57"/>
      <c r="I600" s="57"/>
      <c r="J600" s="57"/>
      <c r="K600" s="57"/>
      <c r="L600" s="57"/>
      <c r="M600" s="57"/>
      <c r="N600" s="57"/>
      <c r="O600" s="57"/>
      <c r="P600" s="57"/>
      <c r="Q600" s="57"/>
      <c r="R600" s="2227"/>
      <c r="S600" s="255"/>
    </row>
    <row r="601" spans="1:19">
      <c r="A601" s="255"/>
      <c r="B601" s="57"/>
      <c r="C601" s="57"/>
      <c r="D601" s="57"/>
      <c r="E601" s="57"/>
      <c r="F601" s="57"/>
      <c r="G601" s="57"/>
      <c r="H601" s="57"/>
      <c r="I601" s="57"/>
      <c r="J601" s="57"/>
      <c r="K601" s="57"/>
      <c r="L601" s="57"/>
      <c r="M601" s="57"/>
      <c r="N601" s="57"/>
      <c r="O601" s="57"/>
      <c r="P601" s="57"/>
      <c r="Q601" s="57"/>
      <c r="R601" s="2227"/>
      <c r="S601" s="255"/>
    </row>
    <row r="602" spans="1:19">
      <c r="A602" s="255"/>
      <c r="B602" s="57"/>
      <c r="C602" s="57"/>
      <c r="D602" s="57"/>
      <c r="E602" s="57"/>
      <c r="F602" s="57"/>
      <c r="G602" s="57"/>
      <c r="H602" s="57"/>
      <c r="I602" s="57"/>
      <c r="J602" s="57"/>
      <c r="K602" s="57"/>
      <c r="L602" s="57"/>
      <c r="M602" s="57"/>
      <c r="N602" s="57"/>
      <c r="O602" s="57"/>
      <c r="P602" s="57"/>
      <c r="Q602" s="57"/>
      <c r="R602" s="2227"/>
      <c r="S602" s="255"/>
    </row>
    <row r="603" spans="1:19">
      <c r="A603" s="255"/>
      <c r="B603" s="57"/>
      <c r="C603" s="57"/>
      <c r="D603" s="57"/>
      <c r="E603" s="57"/>
      <c r="F603" s="57"/>
      <c r="G603" s="57"/>
      <c r="H603" s="57"/>
      <c r="I603" s="57"/>
      <c r="J603" s="57"/>
      <c r="K603" s="57"/>
      <c r="L603" s="57"/>
      <c r="M603" s="57"/>
      <c r="N603" s="57"/>
      <c r="O603" s="57"/>
      <c r="P603" s="57"/>
      <c r="Q603" s="57"/>
      <c r="R603" s="2227"/>
      <c r="S603" s="255"/>
    </row>
    <row r="604" spans="1:19">
      <c r="A604" s="255"/>
      <c r="B604" s="57"/>
      <c r="C604" s="57"/>
      <c r="D604" s="57"/>
      <c r="E604" s="57"/>
      <c r="F604" s="57"/>
      <c r="G604" s="57"/>
      <c r="H604" s="57"/>
      <c r="I604" s="57"/>
      <c r="J604" s="57"/>
      <c r="K604" s="57"/>
      <c r="L604" s="57"/>
      <c r="M604" s="57"/>
      <c r="N604" s="57"/>
      <c r="O604" s="57"/>
      <c r="P604" s="57"/>
      <c r="Q604" s="57"/>
      <c r="R604" s="2227"/>
      <c r="S604" s="255"/>
    </row>
    <row r="605" spans="1:19">
      <c r="A605" s="255"/>
      <c r="B605" s="57"/>
      <c r="C605" s="57"/>
      <c r="D605" s="57"/>
      <c r="E605" s="57"/>
      <c r="F605" s="57"/>
      <c r="G605" s="57"/>
      <c r="H605" s="57"/>
      <c r="I605" s="57"/>
      <c r="J605" s="57"/>
      <c r="K605" s="57"/>
      <c r="L605" s="57"/>
      <c r="M605" s="57"/>
      <c r="N605" s="57"/>
      <c r="O605" s="57"/>
      <c r="P605" s="57"/>
      <c r="Q605" s="57"/>
      <c r="R605" s="2227"/>
      <c r="S605" s="255"/>
    </row>
    <row r="606" spans="1:19">
      <c r="A606" s="255"/>
      <c r="B606" s="57"/>
      <c r="C606" s="57"/>
      <c r="D606" s="57"/>
      <c r="E606" s="57"/>
      <c r="F606" s="57"/>
      <c r="G606" s="57"/>
      <c r="H606" s="57"/>
      <c r="I606" s="57"/>
      <c r="J606" s="57"/>
      <c r="K606" s="57"/>
      <c r="L606" s="57"/>
      <c r="M606" s="57"/>
      <c r="N606" s="57"/>
      <c r="O606" s="57"/>
      <c r="P606" s="57"/>
      <c r="Q606" s="57"/>
      <c r="R606" s="2227"/>
      <c r="S606" s="255"/>
    </row>
    <row r="607" spans="1:19">
      <c r="A607" s="255"/>
      <c r="B607" s="57"/>
      <c r="C607" s="57"/>
      <c r="D607" s="57"/>
      <c r="E607" s="57"/>
      <c r="F607" s="57"/>
      <c r="G607" s="57"/>
      <c r="H607" s="57"/>
      <c r="I607" s="57"/>
      <c r="J607" s="57"/>
      <c r="K607" s="57"/>
      <c r="L607" s="57"/>
      <c r="M607" s="57"/>
      <c r="N607" s="57"/>
      <c r="O607" s="57"/>
      <c r="P607" s="57"/>
      <c r="Q607" s="57"/>
      <c r="R607" s="2227"/>
      <c r="S607" s="255"/>
    </row>
    <row r="608" spans="1:19">
      <c r="A608" s="255"/>
      <c r="B608" s="57"/>
      <c r="C608" s="57"/>
      <c r="D608" s="57"/>
      <c r="E608" s="57"/>
      <c r="F608" s="57"/>
      <c r="G608" s="57"/>
      <c r="H608" s="57"/>
      <c r="I608" s="57"/>
      <c r="J608" s="57"/>
      <c r="K608" s="57"/>
      <c r="L608" s="57"/>
      <c r="M608" s="57"/>
      <c r="N608" s="57"/>
      <c r="O608" s="57"/>
      <c r="P608" s="57"/>
      <c r="Q608" s="57"/>
      <c r="R608" s="2227"/>
      <c r="S608" s="255"/>
    </row>
    <row r="609" spans="1:19">
      <c r="A609" s="255"/>
      <c r="B609" s="57"/>
      <c r="C609" s="57"/>
      <c r="D609" s="57"/>
      <c r="E609" s="57"/>
      <c r="F609" s="57"/>
      <c r="G609" s="57"/>
      <c r="H609" s="57"/>
      <c r="I609" s="57"/>
      <c r="J609" s="57"/>
      <c r="K609" s="57"/>
      <c r="L609" s="57"/>
      <c r="M609" s="57"/>
      <c r="N609" s="57"/>
      <c r="O609" s="57"/>
      <c r="P609" s="57"/>
      <c r="Q609" s="57"/>
      <c r="R609" s="2227"/>
      <c r="S609" s="255"/>
    </row>
    <row r="610" spans="1:19">
      <c r="A610" s="255"/>
      <c r="B610" s="57"/>
      <c r="C610" s="57"/>
      <c r="D610" s="57"/>
      <c r="E610" s="57"/>
      <c r="F610" s="57"/>
      <c r="G610" s="57"/>
      <c r="H610" s="57"/>
      <c r="I610" s="57"/>
      <c r="J610" s="57"/>
      <c r="K610" s="57"/>
      <c r="L610" s="57"/>
      <c r="M610" s="57"/>
      <c r="N610" s="57"/>
      <c r="O610" s="57"/>
      <c r="P610" s="57"/>
      <c r="Q610" s="57"/>
      <c r="R610" s="2227"/>
      <c r="S610" s="255"/>
    </row>
    <row r="611" spans="1:19">
      <c r="A611" s="255"/>
      <c r="B611" s="57"/>
      <c r="C611" s="57"/>
      <c r="D611" s="57"/>
      <c r="E611" s="57"/>
      <c r="F611" s="57"/>
      <c r="G611" s="57"/>
      <c r="H611" s="57"/>
      <c r="I611" s="57"/>
      <c r="J611" s="57"/>
      <c r="K611" s="57"/>
      <c r="L611" s="57"/>
      <c r="M611" s="57"/>
      <c r="N611" s="57"/>
      <c r="O611" s="57"/>
      <c r="P611" s="57"/>
      <c r="Q611" s="57"/>
      <c r="R611" s="2227"/>
      <c r="S611" s="255"/>
    </row>
    <row r="612" spans="1:19">
      <c r="A612" s="255"/>
      <c r="B612" s="57"/>
      <c r="C612" s="57"/>
      <c r="D612" s="57"/>
      <c r="E612" s="57"/>
      <c r="F612" s="57"/>
      <c r="G612" s="57"/>
      <c r="H612" s="57"/>
      <c r="I612" s="57"/>
      <c r="J612" s="57"/>
      <c r="K612" s="57"/>
      <c r="L612" s="57"/>
      <c r="M612" s="57"/>
      <c r="N612" s="57"/>
      <c r="O612" s="57"/>
      <c r="P612" s="57"/>
      <c r="Q612" s="57"/>
      <c r="R612" s="2227"/>
      <c r="S612" s="255"/>
    </row>
    <row r="613" spans="1:19">
      <c r="A613" s="255"/>
      <c r="B613" s="57"/>
      <c r="C613" s="57"/>
      <c r="D613" s="57"/>
      <c r="E613" s="57"/>
      <c r="F613" s="57"/>
      <c r="G613" s="57"/>
      <c r="H613" s="57"/>
      <c r="I613" s="57"/>
      <c r="J613" s="57"/>
      <c r="K613" s="57"/>
      <c r="L613" s="57"/>
      <c r="M613" s="57"/>
      <c r="N613" s="57"/>
      <c r="O613" s="57"/>
      <c r="P613" s="57"/>
      <c r="Q613" s="57"/>
      <c r="R613" s="2227"/>
      <c r="S613" s="255"/>
    </row>
    <row r="614" spans="1:19">
      <c r="A614" s="255"/>
      <c r="B614" s="57"/>
      <c r="C614" s="57"/>
      <c r="D614" s="57"/>
      <c r="E614" s="57"/>
      <c r="F614" s="57"/>
      <c r="G614" s="57"/>
      <c r="H614" s="57"/>
      <c r="I614" s="57"/>
      <c r="J614" s="57"/>
      <c r="K614" s="57"/>
      <c r="L614" s="57"/>
      <c r="M614" s="57"/>
      <c r="N614" s="57"/>
      <c r="O614" s="57"/>
      <c r="P614" s="57"/>
      <c r="Q614" s="57"/>
      <c r="R614" s="2227"/>
      <c r="S614" s="255"/>
    </row>
    <row r="615" spans="1:19">
      <c r="A615" s="255"/>
      <c r="B615" s="57"/>
      <c r="C615" s="57"/>
      <c r="D615" s="57"/>
      <c r="E615" s="57"/>
      <c r="F615" s="57"/>
      <c r="G615" s="57"/>
      <c r="H615" s="57"/>
      <c r="I615" s="57"/>
      <c r="J615" s="57"/>
      <c r="K615" s="57"/>
      <c r="L615" s="57"/>
      <c r="M615" s="57"/>
      <c r="N615" s="57"/>
      <c r="O615" s="57"/>
      <c r="P615" s="57"/>
      <c r="Q615" s="57"/>
      <c r="R615" s="2227"/>
      <c r="S615" s="255"/>
    </row>
    <row r="616" spans="1:19">
      <c r="A616" s="255"/>
      <c r="B616" s="57"/>
      <c r="C616" s="57"/>
      <c r="D616" s="57"/>
      <c r="E616" s="57"/>
      <c r="F616" s="57"/>
      <c r="G616" s="57"/>
      <c r="H616" s="57"/>
      <c r="I616" s="57"/>
      <c r="J616" s="57"/>
      <c r="K616" s="57"/>
      <c r="L616" s="57"/>
      <c r="M616" s="57"/>
      <c r="N616" s="57"/>
      <c r="O616" s="57"/>
      <c r="P616" s="57"/>
      <c r="Q616" s="57"/>
      <c r="R616" s="2227"/>
      <c r="S616" s="255"/>
    </row>
    <row r="617" spans="1:19">
      <c r="A617" s="255"/>
      <c r="B617" s="57"/>
      <c r="C617" s="57"/>
      <c r="D617" s="57"/>
      <c r="E617" s="57"/>
      <c r="F617" s="57"/>
      <c r="G617" s="57"/>
      <c r="H617" s="57"/>
      <c r="I617" s="57"/>
      <c r="J617" s="57"/>
      <c r="K617" s="57"/>
      <c r="L617" s="57"/>
      <c r="M617" s="57"/>
      <c r="N617" s="57"/>
      <c r="O617" s="57"/>
      <c r="P617" s="57"/>
      <c r="Q617" s="57"/>
      <c r="R617" s="2227"/>
      <c r="S617" s="255"/>
    </row>
    <row r="618" spans="1:19">
      <c r="A618" s="255"/>
      <c r="B618" s="57"/>
      <c r="C618" s="57"/>
      <c r="D618" s="57"/>
      <c r="E618" s="57"/>
      <c r="F618" s="57"/>
      <c r="G618" s="57"/>
      <c r="H618" s="57"/>
      <c r="I618" s="57"/>
      <c r="J618" s="57"/>
      <c r="K618" s="57"/>
      <c r="L618" s="57"/>
      <c r="M618" s="57"/>
      <c r="N618" s="57"/>
      <c r="O618" s="57"/>
      <c r="P618" s="57"/>
      <c r="Q618" s="57"/>
      <c r="R618" s="2227"/>
      <c r="S618" s="255"/>
    </row>
    <row r="619" spans="1:19">
      <c r="A619" s="255"/>
      <c r="B619" s="57"/>
      <c r="C619" s="57"/>
      <c r="D619" s="57"/>
      <c r="E619" s="57"/>
      <c r="F619" s="57"/>
      <c r="G619" s="57"/>
      <c r="H619" s="57"/>
      <c r="I619" s="57"/>
      <c r="J619" s="57"/>
      <c r="K619" s="57"/>
      <c r="L619" s="57"/>
      <c r="M619" s="57"/>
      <c r="N619" s="57"/>
      <c r="O619" s="57"/>
      <c r="P619" s="57"/>
      <c r="Q619" s="57"/>
      <c r="R619" s="2227"/>
      <c r="S619" s="255"/>
    </row>
    <row r="620" spans="1:19">
      <c r="A620" s="255"/>
      <c r="B620" s="57"/>
      <c r="C620" s="57"/>
      <c r="D620" s="57"/>
      <c r="E620" s="57"/>
      <c r="F620" s="57"/>
      <c r="G620" s="57"/>
      <c r="H620" s="57"/>
      <c r="I620" s="57"/>
      <c r="J620" s="57"/>
      <c r="K620" s="57"/>
      <c r="L620" s="57"/>
      <c r="M620" s="57"/>
      <c r="N620" s="57"/>
      <c r="O620" s="57"/>
      <c r="P620" s="57"/>
      <c r="Q620" s="57"/>
      <c r="R620" s="2227"/>
      <c r="S620" s="255"/>
    </row>
    <row r="621" spans="1:19">
      <c r="A621" s="255"/>
      <c r="B621" s="57"/>
      <c r="C621" s="57"/>
      <c r="D621" s="57"/>
      <c r="E621" s="57"/>
      <c r="F621" s="57"/>
      <c r="G621" s="57"/>
      <c r="H621" s="57"/>
      <c r="I621" s="57"/>
      <c r="J621" s="57"/>
      <c r="K621" s="57"/>
      <c r="L621" s="57"/>
      <c r="M621" s="57"/>
      <c r="N621" s="57"/>
      <c r="O621" s="57"/>
      <c r="P621" s="57"/>
      <c r="Q621" s="57"/>
      <c r="R621" s="2227"/>
      <c r="S621" s="255"/>
    </row>
    <row r="622" spans="1:19">
      <c r="A622" s="255"/>
      <c r="B622" s="57"/>
      <c r="C622" s="57"/>
      <c r="D622" s="57"/>
      <c r="E622" s="57"/>
      <c r="F622" s="57"/>
      <c r="G622" s="57"/>
      <c r="H622" s="57"/>
      <c r="I622" s="57"/>
      <c r="J622" s="57"/>
      <c r="K622" s="57"/>
      <c r="L622" s="57"/>
      <c r="M622" s="57"/>
      <c r="N622" s="57"/>
      <c r="O622" s="57"/>
      <c r="P622" s="57"/>
      <c r="Q622" s="57"/>
      <c r="R622" s="2227"/>
      <c r="S622" s="255"/>
    </row>
    <row r="623" spans="1:19">
      <c r="A623" s="255"/>
      <c r="B623" s="57"/>
      <c r="C623" s="57"/>
      <c r="D623" s="57"/>
      <c r="E623" s="57"/>
      <c r="F623" s="57"/>
      <c r="G623" s="57"/>
      <c r="H623" s="57"/>
      <c r="I623" s="57"/>
      <c r="J623" s="57"/>
      <c r="K623" s="57"/>
      <c r="L623" s="57"/>
      <c r="M623" s="57"/>
      <c r="N623" s="57"/>
      <c r="O623" s="57"/>
      <c r="P623" s="57"/>
      <c r="Q623" s="57"/>
      <c r="R623" s="2227"/>
      <c r="S623" s="255"/>
    </row>
    <row r="624" spans="1:19">
      <c r="A624" s="255"/>
      <c r="B624" s="57"/>
      <c r="C624" s="57"/>
      <c r="D624" s="57"/>
      <c r="E624" s="57"/>
      <c r="F624" s="57"/>
      <c r="G624" s="57"/>
      <c r="H624" s="57"/>
      <c r="I624" s="57"/>
      <c r="J624" s="57"/>
      <c r="K624" s="57"/>
      <c r="L624" s="57"/>
      <c r="M624" s="57"/>
      <c r="N624" s="57"/>
      <c r="O624" s="57"/>
      <c r="P624" s="57"/>
      <c r="Q624" s="57"/>
      <c r="R624" s="2227"/>
      <c r="S624" s="255"/>
    </row>
    <row r="625" spans="1:19">
      <c r="A625" s="255"/>
      <c r="B625" s="57"/>
      <c r="C625" s="57"/>
      <c r="D625" s="57"/>
      <c r="E625" s="57"/>
      <c r="F625" s="57"/>
      <c r="G625" s="57"/>
      <c r="H625" s="57"/>
      <c r="I625" s="57"/>
      <c r="J625" s="57"/>
      <c r="K625" s="57"/>
      <c r="L625" s="57"/>
      <c r="M625" s="57"/>
      <c r="N625" s="57"/>
      <c r="O625" s="57"/>
      <c r="P625" s="57"/>
      <c r="Q625" s="57"/>
      <c r="R625" s="2227"/>
      <c r="S625" s="255"/>
    </row>
    <row r="626" spans="1:19">
      <c r="A626" s="255"/>
      <c r="B626" s="57"/>
      <c r="C626" s="57"/>
      <c r="D626" s="57"/>
      <c r="E626" s="57"/>
      <c r="F626" s="57"/>
      <c r="G626" s="57"/>
      <c r="H626" s="57"/>
      <c r="I626" s="57"/>
      <c r="J626" s="57"/>
      <c r="K626" s="57"/>
      <c r="L626" s="57"/>
      <c r="M626" s="57"/>
      <c r="N626" s="57"/>
      <c r="O626" s="57"/>
      <c r="P626" s="57"/>
      <c r="Q626" s="57"/>
      <c r="R626" s="2227"/>
      <c r="S626" s="255"/>
    </row>
    <row r="627" spans="1:19">
      <c r="A627" s="255"/>
      <c r="B627" s="57"/>
      <c r="C627" s="57"/>
      <c r="D627" s="57"/>
      <c r="E627" s="57"/>
      <c r="F627" s="57"/>
      <c r="G627" s="57"/>
      <c r="H627" s="57"/>
      <c r="I627" s="57"/>
      <c r="J627" s="57"/>
      <c r="K627" s="57"/>
      <c r="L627" s="57"/>
      <c r="M627" s="57"/>
      <c r="N627" s="57"/>
      <c r="O627" s="57"/>
      <c r="P627" s="57"/>
      <c r="Q627" s="57"/>
      <c r="R627" s="2227"/>
      <c r="S627" s="255"/>
    </row>
    <row r="628" spans="1:19">
      <c r="A628" s="255"/>
      <c r="B628" s="57"/>
      <c r="C628" s="57"/>
      <c r="D628" s="57"/>
      <c r="E628" s="57"/>
      <c r="F628" s="57"/>
      <c r="G628" s="57"/>
      <c r="H628" s="57"/>
      <c r="I628" s="57"/>
      <c r="J628" s="57"/>
      <c r="K628" s="57"/>
      <c r="L628" s="57"/>
      <c r="M628" s="57"/>
      <c r="N628" s="57"/>
      <c r="O628" s="57"/>
      <c r="P628" s="57"/>
      <c r="Q628" s="57"/>
      <c r="R628" s="2227"/>
      <c r="S628" s="255"/>
    </row>
    <row r="629" spans="1:19">
      <c r="A629" s="255"/>
      <c r="B629" s="57"/>
      <c r="C629" s="57"/>
      <c r="D629" s="57"/>
      <c r="E629" s="57"/>
      <c r="F629" s="57"/>
      <c r="G629" s="57"/>
      <c r="H629" s="57"/>
      <c r="I629" s="57"/>
      <c r="J629" s="57"/>
      <c r="K629" s="57"/>
      <c r="L629" s="57"/>
      <c r="M629" s="57"/>
      <c r="N629" s="57"/>
      <c r="O629" s="57"/>
      <c r="P629" s="57"/>
      <c r="Q629" s="57"/>
      <c r="R629" s="2227"/>
      <c r="S629" s="255"/>
    </row>
    <row r="630" spans="1:19">
      <c r="A630" s="255"/>
      <c r="B630" s="57"/>
      <c r="C630" s="57"/>
      <c r="D630" s="57"/>
      <c r="E630" s="57"/>
      <c r="F630" s="57"/>
      <c r="G630" s="57"/>
      <c r="H630" s="57"/>
      <c r="I630" s="57"/>
      <c r="J630" s="57"/>
      <c r="K630" s="57"/>
      <c r="L630" s="57"/>
      <c r="M630" s="57"/>
      <c r="N630" s="57"/>
      <c r="O630" s="57"/>
      <c r="P630" s="57"/>
      <c r="Q630" s="57"/>
      <c r="R630" s="2227"/>
      <c r="S630" s="255"/>
    </row>
    <row r="631" spans="1:19">
      <c r="A631" s="255"/>
      <c r="B631" s="57"/>
      <c r="C631" s="57"/>
      <c r="D631" s="57"/>
      <c r="E631" s="57"/>
      <c r="F631" s="57"/>
      <c r="G631" s="57"/>
      <c r="H631" s="57"/>
      <c r="I631" s="57"/>
      <c r="J631" s="57"/>
      <c r="K631" s="57"/>
      <c r="L631" s="57"/>
      <c r="M631" s="57"/>
      <c r="N631" s="57"/>
      <c r="O631" s="57"/>
      <c r="P631" s="57"/>
      <c r="Q631" s="57"/>
      <c r="R631" s="2227"/>
      <c r="S631" s="255"/>
    </row>
    <row r="632" spans="1:19">
      <c r="A632" s="255"/>
      <c r="B632" s="57"/>
      <c r="C632" s="57"/>
      <c r="D632" s="57"/>
      <c r="E632" s="57"/>
      <c r="F632" s="57"/>
      <c r="G632" s="57"/>
      <c r="H632" s="57"/>
      <c r="I632" s="57"/>
      <c r="J632" s="57"/>
      <c r="K632" s="57"/>
      <c r="L632" s="57"/>
      <c r="M632" s="57"/>
      <c r="N632" s="57"/>
      <c r="O632" s="57"/>
      <c r="P632" s="57"/>
      <c r="Q632" s="57"/>
      <c r="R632" s="2227"/>
      <c r="S632" s="255"/>
    </row>
    <row r="633" spans="1:19">
      <c r="A633" s="255"/>
      <c r="B633" s="57"/>
      <c r="C633" s="57"/>
      <c r="D633" s="57"/>
      <c r="E633" s="57"/>
      <c r="F633" s="57"/>
      <c r="G633" s="57"/>
      <c r="H633" s="57"/>
      <c r="I633" s="57"/>
      <c r="J633" s="57"/>
      <c r="K633" s="57"/>
      <c r="L633" s="57"/>
      <c r="M633" s="57"/>
      <c r="N633" s="57"/>
      <c r="O633" s="57"/>
      <c r="P633" s="57"/>
      <c r="Q633" s="57"/>
      <c r="R633" s="2227"/>
      <c r="S633" s="255"/>
    </row>
    <row r="634" spans="1:19">
      <c r="A634" s="255"/>
      <c r="B634" s="57"/>
      <c r="C634" s="57"/>
      <c r="D634" s="57"/>
      <c r="E634" s="57"/>
      <c r="F634" s="57"/>
      <c r="G634" s="57"/>
      <c r="H634" s="57"/>
      <c r="I634" s="57"/>
      <c r="J634" s="57"/>
      <c r="K634" s="57"/>
      <c r="L634" s="57"/>
      <c r="M634" s="57"/>
      <c r="N634" s="57"/>
      <c r="O634" s="57"/>
      <c r="P634" s="57"/>
      <c r="Q634" s="57"/>
      <c r="R634" s="2227"/>
      <c r="S634" s="255"/>
    </row>
    <row r="635" spans="1:19">
      <c r="A635" s="255"/>
      <c r="B635" s="57"/>
      <c r="C635" s="57"/>
      <c r="D635" s="57"/>
      <c r="E635" s="57"/>
      <c r="F635" s="57"/>
      <c r="G635" s="57"/>
      <c r="H635" s="57"/>
      <c r="I635" s="57"/>
      <c r="J635" s="57"/>
      <c r="K635" s="57"/>
      <c r="L635" s="57"/>
      <c r="M635" s="57"/>
      <c r="N635" s="57"/>
      <c r="O635" s="57"/>
      <c r="P635" s="57"/>
      <c r="Q635" s="57"/>
      <c r="R635" s="2227"/>
      <c r="S635" s="255"/>
    </row>
    <row r="636" spans="1:19">
      <c r="A636" s="255"/>
      <c r="B636" s="57"/>
      <c r="C636" s="57"/>
      <c r="D636" s="57"/>
      <c r="E636" s="57"/>
      <c r="F636" s="57"/>
      <c r="G636" s="57"/>
      <c r="H636" s="57"/>
      <c r="I636" s="57"/>
      <c r="J636" s="57"/>
      <c r="K636" s="57"/>
      <c r="L636" s="57"/>
      <c r="M636" s="57"/>
      <c r="N636" s="57"/>
      <c r="O636" s="57"/>
      <c r="P636" s="57"/>
      <c r="Q636" s="57"/>
      <c r="R636" s="2227"/>
      <c r="S636" s="255"/>
    </row>
    <row r="637" spans="1:19">
      <c r="A637" s="255"/>
      <c r="B637" s="57"/>
      <c r="C637" s="57"/>
      <c r="D637" s="57"/>
      <c r="E637" s="57"/>
      <c r="F637" s="57"/>
      <c r="G637" s="57"/>
      <c r="H637" s="57"/>
      <c r="I637" s="57"/>
      <c r="J637" s="57"/>
      <c r="K637" s="57"/>
      <c r="L637" s="57"/>
      <c r="M637" s="57"/>
      <c r="N637" s="57"/>
      <c r="O637" s="57"/>
      <c r="P637" s="57"/>
      <c r="Q637" s="57"/>
      <c r="R637" s="2227"/>
      <c r="S637" s="255"/>
    </row>
    <row r="638" spans="1:19">
      <c r="A638" s="255"/>
      <c r="B638" s="57"/>
      <c r="C638" s="57"/>
      <c r="D638" s="57"/>
      <c r="E638" s="57"/>
      <c r="F638" s="57"/>
      <c r="G638" s="57"/>
      <c r="H638" s="57"/>
      <c r="I638" s="57"/>
      <c r="J638" s="57"/>
      <c r="K638" s="57"/>
      <c r="L638" s="57"/>
      <c r="M638" s="57"/>
      <c r="N638" s="57"/>
      <c r="O638" s="57"/>
      <c r="P638" s="57"/>
      <c r="Q638" s="57"/>
      <c r="R638" s="2227"/>
      <c r="S638" s="255"/>
    </row>
    <row r="639" spans="1:19">
      <c r="A639" s="255"/>
      <c r="B639" s="57"/>
      <c r="C639" s="57"/>
      <c r="D639" s="57"/>
      <c r="E639" s="57"/>
      <c r="F639" s="57"/>
      <c r="G639" s="57"/>
      <c r="H639" s="57"/>
      <c r="I639" s="57"/>
      <c r="J639" s="57"/>
      <c r="K639" s="57"/>
      <c r="L639" s="57"/>
      <c r="M639" s="57"/>
      <c r="N639" s="57"/>
      <c r="O639" s="57"/>
      <c r="P639" s="57"/>
      <c r="Q639" s="57"/>
      <c r="R639" s="2227"/>
      <c r="S639" s="255"/>
    </row>
    <row r="640" spans="1:19">
      <c r="A640" s="255"/>
      <c r="B640" s="57"/>
      <c r="C640" s="57"/>
      <c r="D640" s="57"/>
      <c r="E640" s="57"/>
      <c r="F640" s="57"/>
      <c r="G640" s="57"/>
      <c r="H640" s="57"/>
      <c r="I640" s="57"/>
      <c r="J640" s="57"/>
      <c r="K640" s="57"/>
      <c r="L640" s="57"/>
      <c r="M640" s="57"/>
      <c r="N640" s="57"/>
      <c r="O640" s="57"/>
      <c r="P640" s="57"/>
      <c r="Q640" s="57"/>
      <c r="R640" s="2227"/>
      <c r="S640" s="255"/>
    </row>
    <row r="641" spans="1:19">
      <c r="A641" s="255"/>
      <c r="B641" s="57"/>
      <c r="C641" s="57"/>
      <c r="D641" s="57"/>
      <c r="E641" s="57"/>
      <c r="F641" s="57"/>
      <c r="G641" s="57"/>
      <c r="H641" s="57"/>
      <c r="I641" s="57"/>
      <c r="J641" s="57"/>
      <c r="K641" s="57"/>
      <c r="L641" s="57"/>
      <c r="M641" s="57"/>
      <c r="N641" s="57"/>
      <c r="O641" s="57"/>
      <c r="P641" s="57"/>
      <c r="Q641" s="57"/>
      <c r="R641" s="2227"/>
      <c r="S641" s="255"/>
    </row>
    <row r="642" spans="1:19">
      <c r="A642" s="255"/>
      <c r="B642" s="57"/>
      <c r="C642" s="57"/>
      <c r="D642" s="57"/>
      <c r="E642" s="57"/>
      <c r="F642" s="57"/>
      <c r="G642" s="57"/>
      <c r="H642" s="57"/>
      <c r="I642" s="57"/>
      <c r="J642" s="57"/>
      <c r="K642" s="57"/>
      <c r="L642" s="57"/>
      <c r="M642" s="57"/>
      <c r="N642" s="57"/>
      <c r="O642" s="57"/>
      <c r="P642" s="57"/>
      <c r="Q642" s="57"/>
      <c r="R642" s="2227"/>
      <c r="S642" s="255"/>
    </row>
    <row r="643" spans="1:19">
      <c r="A643" s="255"/>
      <c r="B643" s="57"/>
      <c r="C643" s="57"/>
      <c r="D643" s="57"/>
      <c r="E643" s="57"/>
      <c r="F643" s="57"/>
      <c r="G643" s="57"/>
      <c r="H643" s="57"/>
      <c r="I643" s="57"/>
      <c r="J643" s="57"/>
      <c r="K643" s="57"/>
      <c r="L643" s="57"/>
      <c r="M643" s="57"/>
      <c r="N643" s="57"/>
      <c r="O643" s="57"/>
      <c r="P643" s="57"/>
      <c r="Q643" s="57"/>
      <c r="R643" s="2227"/>
      <c r="S643" s="255"/>
    </row>
    <row r="644" spans="1:19">
      <c r="A644" s="255"/>
      <c r="B644" s="57"/>
      <c r="C644" s="57"/>
      <c r="D644" s="57"/>
      <c r="E644" s="57"/>
      <c r="F644" s="57"/>
      <c r="G644" s="57"/>
      <c r="H644" s="57"/>
      <c r="I644" s="57"/>
      <c r="J644" s="57"/>
      <c r="K644" s="57"/>
      <c r="L644" s="57"/>
      <c r="M644" s="57"/>
      <c r="N644" s="57"/>
      <c r="O644" s="57"/>
      <c r="P644" s="57"/>
      <c r="Q644" s="57"/>
      <c r="R644" s="2227"/>
      <c r="S644" s="255"/>
    </row>
    <row r="645" spans="1:19">
      <c r="A645" s="255"/>
      <c r="B645" s="57"/>
      <c r="C645" s="57"/>
      <c r="D645" s="57"/>
      <c r="E645" s="57"/>
      <c r="F645" s="57"/>
      <c r="G645" s="57"/>
      <c r="H645" s="57"/>
      <c r="I645" s="57"/>
      <c r="J645" s="57"/>
      <c r="K645" s="57"/>
      <c r="L645" s="57"/>
      <c r="M645" s="57"/>
      <c r="N645" s="57"/>
      <c r="O645" s="57"/>
      <c r="P645" s="57"/>
      <c r="Q645" s="57"/>
      <c r="R645" s="2227"/>
      <c r="S645" s="255"/>
    </row>
    <row r="646" spans="1:19">
      <c r="A646" s="255"/>
      <c r="B646" s="57"/>
      <c r="C646" s="57"/>
      <c r="D646" s="57"/>
      <c r="E646" s="57"/>
      <c r="F646" s="57"/>
      <c r="G646" s="57"/>
      <c r="H646" s="57"/>
      <c r="I646" s="57"/>
      <c r="J646" s="57"/>
      <c r="K646" s="57"/>
      <c r="L646" s="57"/>
      <c r="M646" s="57"/>
      <c r="N646" s="57"/>
      <c r="O646" s="57"/>
      <c r="P646" s="57"/>
      <c r="Q646" s="57"/>
      <c r="R646" s="2227"/>
      <c r="S646" s="255"/>
    </row>
    <row r="647" spans="1:19">
      <c r="A647" s="255"/>
      <c r="B647" s="57"/>
      <c r="C647" s="57"/>
      <c r="D647" s="57"/>
      <c r="E647" s="57"/>
      <c r="F647" s="57"/>
      <c r="G647" s="57"/>
      <c r="H647" s="57"/>
      <c r="I647" s="57"/>
      <c r="J647" s="57"/>
      <c r="K647" s="57"/>
      <c r="L647" s="57"/>
      <c r="M647" s="57"/>
      <c r="N647" s="57"/>
      <c r="O647" s="57"/>
      <c r="P647" s="57"/>
      <c r="Q647" s="57"/>
      <c r="R647" s="2227"/>
      <c r="S647" s="255"/>
    </row>
    <row r="648" spans="1:19">
      <c r="A648" s="255"/>
      <c r="B648" s="57"/>
      <c r="C648" s="57"/>
      <c r="D648" s="57"/>
      <c r="E648" s="57"/>
      <c r="F648" s="57"/>
      <c r="G648" s="57"/>
      <c r="H648" s="57"/>
      <c r="I648" s="57"/>
      <c r="J648" s="57"/>
      <c r="K648" s="57"/>
      <c r="L648" s="57"/>
      <c r="M648" s="57"/>
      <c r="N648" s="57"/>
      <c r="O648" s="57"/>
      <c r="P648" s="57"/>
      <c r="Q648" s="57"/>
      <c r="R648" s="2227"/>
      <c r="S648" s="255"/>
    </row>
    <row r="649" spans="1:19">
      <c r="A649" s="255"/>
      <c r="B649" s="57"/>
      <c r="C649" s="57"/>
      <c r="D649" s="57"/>
      <c r="E649" s="57"/>
      <c r="F649" s="57"/>
      <c r="G649" s="57"/>
      <c r="H649" s="57"/>
      <c r="I649" s="57"/>
      <c r="J649" s="57"/>
      <c r="K649" s="57"/>
      <c r="L649" s="57"/>
      <c r="M649" s="57"/>
      <c r="N649" s="57"/>
      <c r="O649" s="57"/>
      <c r="P649" s="57"/>
      <c r="Q649" s="57"/>
      <c r="R649" s="2227"/>
      <c r="S649" s="255"/>
    </row>
    <row r="650" spans="1:19">
      <c r="A650" s="255"/>
      <c r="B650" s="57"/>
      <c r="C650" s="57"/>
      <c r="D650" s="57"/>
      <c r="E650" s="57"/>
      <c r="F650" s="57"/>
      <c r="G650" s="57"/>
      <c r="H650" s="57"/>
      <c r="I650" s="57"/>
      <c r="J650" s="57"/>
      <c r="K650" s="57"/>
      <c r="L650" s="57"/>
      <c r="M650" s="57"/>
      <c r="N650" s="57"/>
      <c r="O650" s="57"/>
      <c r="P650" s="57"/>
      <c r="Q650" s="57"/>
      <c r="R650" s="2227"/>
      <c r="S650" s="255"/>
    </row>
    <row r="651" spans="1:19">
      <c r="A651" s="255"/>
      <c r="B651" s="57"/>
      <c r="C651" s="57"/>
      <c r="D651" s="57"/>
      <c r="E651" s="57"/>
      <c r="F651" s="57"/>
      <c r="G651" s="57"/>
      <c r="H651" s="57"/>
      <c r="I651" s="57"/>
      <c r="J651" s="57"/>
      <c r="K651" s="57"/>
      <c r="L651" s="57"/>
      <c r="M651" s="57"/>
      <c r="N651" s="57"/>
      <c r="O651" s="57"/>
      <c r="P651" s="57"/>
      <c r="Q651" s="57"/>
      <c r="R651" s="2227"/>
      <c r="S651" s="255"/>
    </row>
    <row r="652" spans="1:19">
      <c r="A652" s="255"/>
      <c r="B652" s="57"/>
      <c r="C652" s="57"/>
      <c r="D652" s="57"/>
      <c r="E652" s="57"/>
      <c r="F652" s="57"/>
      <c r="G652" s="57"/>
      <c r="H652" s="57"/>
      <c r="I652" s="57"/>
      <c r="J652" s="57"/>
      <c r="K652" s="57"/>
      <c r="L652" s="57"/>
      <c r="M652" s="57"/>
      <c r="N652" s="57"/>
      <c r="O652" s="57"/>
      <c r="P652" s="57"/>
      <c r="Q652" s="57"/>
      <c r="R652" s="2227"/>
      <c r="S652" s="255"/>
    </row>
    <row r="653" spans="1:19">
      <c r="A653" s="255"/>
      <c r="B653" s="57"/>
      <c r="C653" s="57"/>
      <c r="D653" s="57"/>
      <c r="E653" s="57"/>
      <c r="F653" s="57"/>
      <c r="G653" s="57"/>
      <c r="H653" s="57"/>
      <c r="I653" s="57"/>
      <c r="J653" s="57"/>
      <c r="K653" s="57"/>
      <c r="L653" s="57"/>
      <c r="M653" s="57"/>
      <c r="N653" s="57"/>
      <c r="O653" s="57"/>
      <c r="P653" s="57"/>
      <c r="Q653" s="57"/>
      <c r="R653" s="2227"/>
      <c r="S653" s="255"/>
    </row>
    <row r="654" spans="1:19">
      <c r="A654" s="255"/>
      <c r="B654" s="57"/>
      <c r="C654" s="57"/>
      <c r="D654" s="57"/>
      <c r="E654" s="57"/>
      <c r="F654" s="57"/>
      <c r="G654" s="57"/>
      <c r="H654" s="57"/>
      <c r="I654" s="57"/>
      <c r="J654" s="57"/>
      <c r="K654" s="57"/>
      <c r="L654" s="57"/>
      <c r="M654" s="57"/>
      <c r="N654" s="57"/>
      <c r="O654" s="57"/>
      <c r="P654" s="57"/>
      <c r="Q654" s="57"/>
      <c r="R654" s="2227"/>
      <c r="S654" s="255"/>
    </row>
    <row r="655" spans="1:19">
      <c r="A655" s="255"/>
      <c r="B655" s="57"/>
      <c r="C655" s="57"/>
      <c r="D655" s="57"/>
      <c r="E655" s="57"/>
      <c r="F655" s="57"/>
      <c r="G655" s="57"/>
      <c r="H655" s="57"/>
      <c r="I655" s="57"/>
      <c r="J655" s="57"/>
      <c r="K655" s="57"/>
      <c r="L655" s="57"/>
      <c r="M655" s="57"/>
      <c r="N655" s="57"/>
      <c r="O655" s="57"/>
      <c r="P655" s="57"/>
      <c r="Q655" s="57"/>
      <c r="R655" s="2227"/>
      <c r="S655" s="255"/>
    </row>
    <row r="656" spans="1:19">
      <c r="A656" s="255"/>
      <c r="B656" s="57"/>
      <c r="C656" s="57"/>
      <c r="D656" s="57"/>
      <c r="E656" s="57"/>
      <c r="F656" s="57"/>
      <c r="G656" s="57"/>
      <c r="H656" s="57"/>
      <c r="I656" s="57"/>
      <c r="J656" s="57"/>
      <c r="K656" s="57"/>
      <c r="L656" s="57"/>
      <c r="M656" s="57"/>
      <c r="N656" s="57"/>
      <c r="O656" s="57"/>
      <c r="P656" s="57"/>
      <c r="Q656" s="57"/>
      <c r="R656" s="2227"/>
      <c r="S656" s="255"/>
    </row>
    <row r="657" spans="1:19">
      <c r="A657" s="255"/>
      <c r="B657" s="57"/>
      <c r="C657" s="57"/>
      <c r="D657" s="57"/>
      <c r="E657" s="57"/>
      <c r="F657" s="57"/>
      <c r="G657" s="57"/>
      <c r="H657" s="57"/>
      <c r="I657" s="57"/>
      <c r="J657" s="57"/>
      <c r="K657" s="57"/>
      <c r="L657" s="57"/>
      <c r="M657" s="57"/>
      <c r="N657" s="57"/>
      <c r="O657" s="57"/>
      <c r="P657" s="57"/>
      <c r="Q657" s="57"/>
      <c r="R657" s="2227"/>
      <c r="S657" s="255"/>
    </row>
    <row r="658" spans="1:19">
      <c r="A658" s="255"/>
      <c r="B658" s="57"/>
      <c r="C658" s="57"/>
      <c r="D658" s="57"/>
      <c r="E658" s="57"/>
      <c r="F658" s="57"/>
      <c r="G658" s="57"/>
      <c r="H658" s="57"/>
      <c r="I658" s="57"/>
      <c r="J658" s="57"/>
      <c r="K658" s="57"/>
      <c r="L658" s="57"/>
      <c r="M658" s="57"/>
      <c r="N658" s="57"/>
      <c r="O658" s="57"/>
      <c r="P658" s="57"/>
      <c r="Q658" s="57"/>
      <c r="R658" s="2227"/>
      <c r="S658" s="255"/>
    </row>
    <row r="659" spans="1:19">
      <c r="A659" s="255"/>
      <c r="B659" s="57"/>
      <c r="C659" s="57"/>
      <c r="D659" s="57"/>
      <c r="E659" s="57"/>
      <c r="F659" s="57"/>
      <c r="G659" s="57"/>
      <c r="H659" s="57"/>
      <c r="I659" s="57"/>
      <c r="J659" s="57"/>
      <c r="K659" s="57"/>
      <c r="L659" s="57"/>
      <c r="M659" s="57"/>
      <c r="N659" s="57"/>
      <c r="O659" s="57"/>
      <c r="P659" s="57"/>
      <c r="Q659" s="57"/>
      <c r="R659" s="2227"/>
      <c r="S659" s="255"/>
    </row>
    <row r="660" spans="1:19">
      <c r="A660" s="255"/>
      <c r="B660" s="57"/>
      <c r="C660" s="57"/>
      <c r="D660" s="57"/>
      <c r="E660" s="57"/>
      <c r="F660" s="57"/>
      <c r="G660" s="57"/>
      <c r="H660" s="57"/>
      <c r="I660" s="57"/>
      <c r="J660" s="57"/>
      <c r="K660" s="57"/>
      <c r="L660" s="57"/>
      <c r="M660" s="57"/>
      <c r="N660" s="57"/>
      <c r="O660" s="57"/>
      <c r="P660" s="57"/>
      <c r="Q660" s="57"/>
      <c r="R660" s="2227"/>
      <c r="S660" s="255"/>
    </row>
    <row r="661" spans="1:19">
      <c r="A661" s="255"/>
      <c r="B661" s="57"/>
      <c r="C661" s="57"/>
      <c r="D661" s="57"/>
      <c r="E661" s="57"/>
      <c r="F661" s="57"/>
      <c r="G661" s="57"/>
      <c r="H661" s="57"/>
      <c r="I661" s="57"/>
      <c r="J661" s="57"/>
      <c r="K661" s="57"/>
      <c r="L661" s="57"/>
      <c r="M661" s="57"/>
      <c r="N661" s="57"/>
      <c r="O661" s="57"/>
      <c r="P661" s="57"/>
      <c r="Q661" s="57"/>
      <c r="R661" s="2227"/>
      <c r="S661" s="255"/>
    </row>
    <row r="662" spans="1:19">
      <c r="A662" s="255"/>
      <c r="B662" s="57"/>
      <c r="C662" s="57"/>
      <c r="D662" s="57"/>
      <c r="E662" s="57"/>
      <c r="F662" s="57"/>
      <c r="G662" s="57"/>
      <c r="H662" s="57"/>
      <c r="I662" s="57"/>
      <c r="J662" s="57"/>
      <c r="K662" s="57"/>
      <c r="L662" s="57"/>
      <c r="M662" s="57"/>
      <c r="N662" s="57"/>
      <c r="O662" s="57"/>
      <c r="P662" s="57"/>
      <c r="Q662" s="57"/>
      <c r="R662" s="2227"/>
      <c r="S662" s="255"/>
    </row>
    <row r="663" spans="1:19">
      <c r="A663" s="255"/>
      <c r="B663" s="57"/>
      <c r="C663" s="57"/>
      <c r="D663" s="57"/>
      <c r="E663" s="57"/>
      <c r="F663" s="57"/>
      <c r="G663" s="57"/>
      <c r="H663" s="57"/>
      <c r="I663" s="57"/>
      <c r="J663" s="57"/>
      <c r="K663" s="57"/>
      <c r="L663" s="57"/>
      <c r="M663" s="57"/>
      <c r="N663" s="57"/>
      <c r="O663" s="57"/>
      <c r="P663" s="57"/>
      <c r="Q663" s="57"/>
      <c r="R663" s="2227"/>
      <c r="S663" s="255"/>
    </row>
    <row r="664" spans="1:19">
      <c r="A664" s="255"/>
      <c r="B664" s="57"/>
      <c r="C664" s="57"/>
      <c r="D664" s="57"/>
      <c r="E664" s="57"/>
      <c r="F664" s="57"/>
      <c r="G664" s="57"/>
      <c r="H664" s="57"/>
      <c r="I664" s="57"/>
      <c r="J664" s="57"/>
      <c r="K664" s="57"/>
      <c r="L664" s="57"/>
      <c r="M664" s="57"/>
      <c r="N664" s="57"/>
      <c r="O664" s="57"/>
      <c r="P664" s="57"/>
      <c r="Q664" s="57"/>
      <c r="R664" s="2227"/>
      <c r="S664" s="255"/>
    </row>
    <row r="665" spans="1:19">
      <c r="A665" s="255"/>
      <c r="B665" s="57"/>
      <c r="C665" s="57"/>
      <c r="D665" s="57"/>
      <c r="E665" s="57"/>
      <c r="F665" s="57"/>
      <c r="G665" s="57"/>
      <c r="H665" s="57"/>
      <c r="I665" s="57"/>
      <c r="J665" s="57"/>
      <c r="K665" s="57"/>
      <c r="L665" s="57"/>
      <c r="M665" s="57"/>
      <c r="N665" s="57"/>
      <c r="O665" s="57"/>
      <c r="P665" s="57"/>
      <c r="Q665" s="57"/>
      <c r="R665" s="2227"/>
      <c r="S665" s="255"/>
    </row>
    <row r="666" spans="1:19">
      <c r="A666" s="255"/>
      <c r="B666" s="57"/>
      <c r="C666" s="57"/>
      <c r="D666" s="57"/>
      <c r="E666" s="57"/>
      <c r="F666" s="57"/>
      <c r="G666" s="57"/>
      <c r="H666" s="57"/>
      <c r="I666" s="57"/>
      <c r="J666" s="57"/>
      <c r="K666" s="57"/>
      <c r="L666" s="57"/>
      <c r="M666" s="57"/>
      <c r="N666" s="57"/>
      <c r="O666" s="57"/>
      <c r="P666" s="57"/>
      <c r="Q666" s="57"/>
      <c r="R666" s="2227"/>
      <c r="S666" s="255"/>
    </row>
    <row r="667" spans="1:19">
      <c r="A667" s="255"/>
      <c r="B667" s="57"/>
      <c r="C667" s="57"/>
      <c r="D667" s="57"/>
      <c r="E667" s="57"/>
      <c r="F667" s="57"/>
      <c r="G667" s="57"/>
      <c r="H667" s="57"/>
      <c r="I667" s="57"/>
      <c r="J667" s="57"/>
      <c r="K667" s="57"/>
      <c r="L667" s="57"/>
      <c r="M667" s="57"/>
      <c r="N667" s="57"/>
      <c r="O667" s="57"/>
      <c r="P667" s="57"/>
      <c r="Q667" s="57"/>
      <c r="R667" s="2227"/>
      <c r="S667" s="255"/>
    </row>
    <row r="668" spans="1:19">
      <c r="A668" s="255"/>
      <c r="B668" s="57"/>
      <c r="C668" s="57"/>
      <c r="D668" s="57"/>
      <c r="E668" s="57"/>
      <c r="F668" s="57"/>
      <c r="G668" s="57"/>
      <c r="H668" s="57"/>
      <c r="I668" s="57"/>
      <c r="J668" s="57"/>
      <c r="K668" s="57"/>
      <c r="L668" s="57"/>
      <c r="M668" s="57"/>
      <c r="N668" s="57"/>
      <c r="O668" s="57"/>
      <c r="P668" s="57"/>
      <c r="Q668" s="57"/>
      <c r="R668" s="2227"/>
      <c r="S668" s="255"/>
    </row>
    <row r="669" spans="1:19">
      <c r="A669" s="255"/>
      <c r="B669" s="57"/>
      <c r="C669" s="57"/>
      <c r="D669" s="57"/>
      <c r="E669" s="57"/>
      <c r="F669" s="57"/>
      <c r="G669" s="57"/>
      <c r="H669" s="57"/>
      <c r="I669" s="57"/>
      <c r="J669" s="57"/>
      <c r="K669" s="57"/>
      <c r="L669" s="57"/>
      <c r="M669" s="57"/>
      <c r="N669" s="57"/>
      <c r="O669" s="57"/>
      <c r="P669" s="57"/>
      <c r="Q669" s="57"/>
      <c r="R669" s="2227"/>
      <c r="S669" s="255"/>
    </row>
    <row r="670" spans="1:19">
      <c r="A670" s="255"/>
      <c r="B670" s="57"/>
      <c r="C670" s="57"/>
      <c r="D670" s="57"/>
      <c r="E670" s="57"/>
      <c r="F670" s="57"/>
      <c r="G670" s="57"/>
      <c r="H670" s="57"/>
      <c r="I670" s="57"/>
      <c r="J670" s="57"/>
      <c r="K670" s="57"/>
      <c r="L670" s="57"/>
      <c r="M670" s="57"/>
      <c r="N670" s="57"/>
      <c r="O670" s="57"/>
      <c r="P670" s="57"/>
      <c r="Q670" s="57"/>
      <c r="R670" s="2227"/>
      <c r="S670" s="255"/>
    </row>
    <row r="671" spans="1:19">
      <c r="A671" s="255"/>
      <c r="B671" s="57"/>
      <c r="C671" s="57"/>
      <c r="D671" s="57"/>
      <c r="E671" s="57"/>
      <c r="F671" s="57"/>
      <c r="G671" s="57"/>
      <c r="H671" s="57"/>
      <c r="I671" s="57"/>
      <c r="J671" s="57"/>
      <c r="K671" s="57"/>
      <c r="L671" s="57"/>
      <c r="M671" s="57"/>
      <c r="N671" s="57"/>
      <c r="O671" s="57"/>
      <c r="P671" s="57"/>
      <c r="Q671" s="57"/>
      <c r="R671" s="2227"/>
      <c r="S671" s="255"/>
    </row>
    <row r="672" spans="1:19">
      <c r="A672" s="255"/>
      <c r="B672" s="57"/>
      <c r="C672" s="57"/>
      <c r="D672" s="57"/>
      <c r="E672" s="57"/>
      <c r="F672" s="57"/>
      <c r="G672" s="57"/>
      <c r="H672" s="57"/>
      <c r="I672" s="57"/>
      <c r="J672" s="57"/>
      <c r="K672" s="57"/>
      <c r="L672" s="57"/>
      <c r="M672" s="57"/>
      <c r="N672" s="57"/>
      <c r="O672" s="57"/>
      <c r="P672" s="57"/>
      <c r="Q672" s="57"/>
      <c r="R672" s="2227"/>
      <c r="S672" s="255"/>
    </row>
    <row r="673" spans="1:19">
      <c r="A673" s="255"/>
      <c r="B673" s="57"/>
      <c r="C673" s="57"/>
      <c r="D673" s="57"/>
      <c r="E673" s="57"/>
      <c r="F673" s="57"/>
      <c r="G673" s="57"/>
      <c r="H673" s="57"/>
      <c r="I673" s="57"/>
      <c r="J673" s="57"/>
      <c r="K673" s="57"/>
      <c r="L673" s="57"/>
      <c r="M673" s="57"/>
      <c r="N673" s="57"/>
      <c r="O673" s="57"/>
      <c r="P673" s="57"/>
      <c r="Q673" s="57"/>
      <c r="R673" s="2227"/>
      <c r="S673" s="255"/>
    </row>
    <row r="674" spans="1:19">
      <c r="A674" s="255"/>
      <c r="B674" s="57"/>
      <c r="C674" s="57"/>
      <c r="D674" s="57"/>
      <c r="E674" s="57"/>
      <c r="F674" s="57"/>
      <c r="G674" s="57"/>
      <c r="H674" s="57"/>
      <c r="I674" s="57"/>
      <c r="J674" s="57"/>
      <c r="K674" s="57"/>
      <c r="L674" s="57"/>
      <c r="M674" s="57"/>
      <c r="N674" s="57"/>
      <c r="O674" s="57"/>
      <c r="P674" s="57"/>
      <c r="Q674" s="57"/>
      <c r="R674" s="2227"/>
      <c r="S674" s="255"/>
    </row>
    <row r="675" spans="1:19">
      <c r="A675" s="255"/>
      <c r="B675" s="57"/>
      <c r="C675" s="57"/>
      <c r="D675" s="57"/>
      <c r="E675" s="57"/>
      <c r="F675" s="57"/>
      <c r="G675" s="57"/>
      <c r="H675" s="57"/>
      <c r="I675" s="57"/>
      <c r="J675" s="57"/>
      <c r="K675" s="57"/>
      <c r="L675" s="57"/>
      <c r="M675" s="57"/>
      <c r="N675" s="57"/>
      <c r="O675" s="57"/>
      <c r="P675" s="57"/>
      <c r="Q675" s="57"/>
      <c r="R675" s="2227"/>
      <c r="S675" s="255"/>
    </row>
    <row r="676" spans="1:19">
      <c r="A676" s="255"/>
      <c r="B676" s="57"/>
      <c r="C676" s="57"/>
      <c r="D676" s="57"/>
      <c r="E676" s="57"/>
      <c r="F676" s="57"/>
      <c r="G676" s="57"/>
      <c r="H676" s="57"/>
      <c r="I676" s="57"/>
      <c r="J676" s="57"/>
      <c r="K676" s="57"/>
      <c r="L676" s="57"/>
      <c r="M676" s="57"/>
      <c r="N676" s="57"/>
      <c r="O676" s="57"/>
      <c r="P676" s="57"/>
      <c r="Q676" s="57"/>
      <c r="R676" s="2227"/>
      <c r="S676" s="255"/>
    </row>
    <row r="677" spans="1:19">
      <c r="A677" s="255"/>
      <c r="B677" s="57"/>
      <c r="C677" s="57"/>
      <c r="D677" s="57"/>
      <c r="E677" s="57"/>
      <c r="F677" s="57"/>
      <c r="G677" s="57"/>
      <c r="H677" s="57"/>
      <c r="I677" s="57"/>
      <c r="J677" s="57"/>
      <c r="K677" s="57"/>
      <c r="L677" s="57"/>
      <c r="M677" s="57"/>
      <c r="N677" s="57"/>
      <c r="O677" s="57"/>
      <c r="P677" s="57"/>
      <c r="Q677" s="57"/>
      <c r="R677" s="2227"/>
      <c r="S677" s="255"/>
    </row>
    <row r="678" spans="1:19">
      <c r="A678" s="255"/>
      <c r="B678" s="57"/>
      <c r="C678" s="57"/>
      <c r="D678" s="57"/>
      <c r="E678" s="57"/>
      <c r="F678" s="57"/>
      <c r="G678" s="57"/>
      <c r="H678" s="57"/>
      <c r="I678" s="57"/>
      <c r="J678" s="57"/>
      <c r="K678" s="57"/>
      <c r="L678" s="57"/>
      <c r="M678" s="57"/>
      <c r="N678" s="57"/>
      <c r="O678" s="57"/>
      <c r="P678" s="57"/>
      <c r="Q678" s="57"/>
      <c r="R678" s="2227"/>
      <c r="S678" s="255"/>
    </row>
    <row r="679" spans="1:19">
      <c r="A679" s="255"/>
      <c r="B679" s="57"/>
      <c r="C679" s="57"/>
      <c r="D679" s="57"/>
      <c r="E679" s="57"/>
      <c r="F679" s="57"/>
      <c r="G679" s="57"/>
      <c r="H679" s="57"/>
      <c r="I679" s="57"/>
      <c r="J679" s="57"/>
      <c r="K679" s="57"/>
      <c r="L679" s="57"/>
      <c r="M679" s="57"/>
      <c r="N679" s="57"/>
      <c r="O679" s="57"/>
      <c r="P679" s="57"/>
      <c r="Q679" s="57"/>
      <c r="R679" s="2227"/>
      <c r="S679" s="255"/>
    </row>
    <row r="680" spans="1:19">
      <c r="A680" s="255"/>
      <c r="B680" s="57"/>
      <c r="C680" s="57"/>
      <c r="D680" s="57"/>
      <c r="E680" s="57"/>
      <c r="F680" s="57"/>
      <c r="G680" s="57"/>
      <c r="H680" s="57"/>
      <c r="I680" s="57"/>
      <c r="J680" s="57"/>
      <c r="K680" s="57"/>
      <c r="L680" s="57"/>
      <c r="M680" s="57"/>
      <c r="N680" s="57"/>
      <c r="O680" s="57"/>
      <c r="P680" s="57"/>
      <c r="Q680" s="57"/>
      <c r="R680" s="2227"/>
      <c r="S680" s="255"/>
    </row>
    <row r="681" spans="1:19">
      <c r="A681" s="255"/>
      <c r="B681" s="57"/>
      <c r="C681" s="57"/>
      <c r="D681" s="57"/>
      <c r="E681" s="57"/>
      <c r="F681" s="57"/>
      <c r="G681" s="57"/>
      <c r="H681" s="57"/>
      <c r="I681" s="57"/>
      <c r="J681" s="57"/>
      <c r="K681" s="57"/>
      <c r="L681" s="57"/>
      <c r="M681" s="57"/>
      <c r="N681" s="57"/>
      <c r="O681" s="57"/>
      <c r="P681" s="57"/>
      <c r="Q681" s="57"/>
      <c r="R681" s="2227"/>
      <c r="S681" s="255"/>
    </row>
    <row r="682" spans="1:19">
      <c r="A682" s="255"/>
      <c r="B682" s="57"/>
      <c r="C682" s="57"/>
      <c r="D682" s="57"/>
      <c r="E682" s="57"/>
      <c r="F682" s="57"/>
      <c r="G682" s="57"/>
      <c r="H682" s="57"/>
      <c r="I682" s="57"/>
      <c r="J682" s="57"/>
      <c r="K682" s="57"/>
      <c r="L682" s="57"/>
      <c r="M682" s="57"/>
      <c r="N682" s="57"/>
      <c r="O682" s="57"/>
      <c r="P682" s="57"/>
      <c r="Q682" s="57"/>
      <c r="R682" s="222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2796</v>
      </c>
      <c r="C1" s="3031">
        <f>项目基本情况!D3</f>
        <v>43138</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2827</v>
      </c>
      <c r="C2" s="3032">
        <f>'数据-取费表'!B22</f>
        <v>1.5</v>
      </c>
      <c r="D2" s="3027" t="s">
        <v>2797</v>
      </c>
      <c r="E2" s="3030">
        <f ca="1">INDIRECT("I"&amp;$I$1)/100</f>
        <v>4.7500000000000001E-2</v>
      </c>
      <c r="G2" s="2967"/>
      <c r="H2" s="2967"/>
      <c r="I2" s="2967" t="s">
        <v>2798</v>
      </c>
      <c r="K2" s="2967"/>
      <c r="L2" s="2967"/>
      <c r="M2" s="2967"/>
      <c r="N2" s="2967" t="s">
        <v>2799</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2829</v>
      </c>
      <c r="C3" s="3029">
        <f>'数据-取费表'!B19</f>
        <v>0</v>
      </c>
      <c r="D3" s="3027" t="s">
        <v>2797</v>
      </c>
      <c r="E3" s="3030">
        <f ca="1">INDIRECT("J"&amp;$J$1)/100</f>
        <v>0</v>
      </c>
      <c r="G3" s="2969" t="s">
        <v>2800</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2828</v>
      </c>
      <c r="C4" s="3030">
        <f ca="1">N4/100</f>
        <v>1.4999999999999999E-2</v>
      </c>
      <c r="G4" s="2975" t="s">
        <v>2801</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2802</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2803</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2804</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2805</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2806</v>
      </c>
      <c r="C10" s="2994"/>
      <c r="D10" s="2994"/>
      <c r="E10" s="2994"/>
      <c r="F10" s="2994"/>
      <c r="G10" s="2994"/>
      <c r="H10" s="2994"/>
      <c r="I10" s="2968"/>
      <c r="J10" s="2968"/>
      <c r="K10" s="2994"/>
      <c r="L10" s="2995" t="s">
        <v>2807</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2808</v>
      </c>
      <c r="C11" s="2999" t="s">
        <v>2809</v>
      </c>
      <c r="D11" s="3000" t="s">
        <v>2810</v>
      </c>
      <c r="E11" s="3001"/>
      <c r="F11" s="3000" t="s">
        <v>2811</v>
      </c>
      <c r="G11" s="3002"/>
      <c r="H11" s="3001"/>
      <c r="I11" s="3000" t="s">
        <v>2812</v>
      </c>
      <c r="J11" s="3001"/>
      <c r="K11" s="2997"/>
      <c r="L11" s="2998" t="s">
        <v>2808</v>
      </c>
      <c r="M11" s="2999" t="s">
        <v>2809</v>
      </c>
      <c r="N11" s="2998" t="s">
        <v>2813</v>
      </c>
      <c r="O11" s="3000" t="s">
        <v>2814</v>
      </c>
      <c r="P11" s="3002"/>
      <c r="Q11" s="3002"/>
      <c r="R11" s="3002"/>
      <c r="S11" s="3002"/>
      <c r="T11" s="3001"/>
      <c r="U11" s="3000" t="s">
        <v>2815</v>
      </c>
      <c r="V11" s="3002"/>
      <c r="W11" s="3001"/>
      <c r="X11" s="2998" t="s">
        <v>2816</v>
      </c>
      <c r="Y11" s="2998" t="s">
        <v>2817</v>
      </c>
      <c r="Z11" s="2998" t="s">
        <v>2818</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2819</v>
      </c>
      <c r="E12" s="3007" t="s">
        <v>2820</v>
      </c>
      <c r="F12" s="3007" t="s">
        <v>2821</v>
      </c>
      <c r="G12" s="3007" t="s">
        <v>2822</v>
      </c>
      <c r="H12" s="3007" t="s">
        <v>2804</v>
      </c>
      <c r="I12" s="3008" t="s">
        <v>2823</v>
      </c>
      <c r="J12" s="3008" t="s">
        <v>2823</v>
      </c>
      <c r="K12" s="3004"/>
      <c r="L12" s="3005"/>
      <c r="M12" s="3006"/>
      <c r="N12" s="3005"/>
      <c r="O12" s="3008" t="s">
        <v>2824</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2825</v>
      </c>
      <c r="C13" s="3012">
        <v>42301</v>
      </c>
      <c r="D13" s="3013">
        <v>4.3499999999999996</v>
      </c>
      <c r="E13" s="3013">
        <v>4.3499999999999996</v>
      </c>
      <c r="F13" s="3013">
        <v>4.75</v>
      </c>
      <c r="G13" s="3013">
        <v>4.75</v>
      </c>
      <c r="H13" s="3013">
        <v>4.9000000000000004</v>
      </c>
      <c r="I13" s="3013">
        <v>2.75</v>
      </c>
      <c r="J13" s="3013">
        <v>3.25</v>
      </c>
      <c r="K13" s="3010"/>
      <c r="L13" s="3011" t="s">
        <v>2825</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2826</v>
      </c>
      <c r="Y42" s="3017" t="s">
        <v>2826</v>
      </c>
      <c r="Z42" s="3017" t="s">
        <v>2826</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2826</v>
      </c>
      <c r="Y43" s="3017" t="s">
        <v>2826</v>
      </c>
      <c r="Z43" s="3017" t="s">
        <v>2826</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2826</v>
      </c>
      <c r="Y44" s="3017" t="s">
        <v>2826</v>
      </c>
      <c r="Z44" s="3017" t="s">
        <v>2826</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2826</v>
      </c>
      <c r="Y45" s="3017" t="s">
        <v>2826</v>
      </c>
      <c r="Z45" s="3017" t="s">
        <v>2826</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2826</v>
      </c>
      <c r="Y46" s="3017" t="s">
        <v>2826</v>
      </c>
      <c r="Z46" s="3017" t="s">
        <v>2826</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2826</v>
      </c>
      <c r="Y47" s="3017" t="s">
        <v>2826</v>
      </c>
      <c r="Z47" s="3017" t="s">
        <v>2826</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2826</v>
      </c>
      <c r="Y48" s="3017" t="s">
        <v>2826</v>
      </c>
      <c r="Z48" s="3017" t="s">
        <v>2826</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2826</v>
      </c>
      <c r="Y49" s="3017" t="s">
        <v>2826</v>
      </c>
      <c r="Z49" s="3017" t="s">
        <v>2826</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2826</v>
      </c>
      <c r="Y50" s="3017" t="s">
        <v>2826</v>
      </c>
      <c r="Z50" s="3017" t="s">
        <v>2826</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2826</v>
      </c>
      <c r="V51" s="3017" t="s">
        <v>2826</v>
      </c>
      <c r="W51" s="3017" t="s">
        <v>2826</v>
      </c>
      <c r="X51" s="3017" t="s">
        <v>2826</v>
      </c>
      <c r="Y51" s="3017" t="s">
        <v>2826</v>
      </c>
      <c r="Z51" s="3017" t="s">
        <v>2826</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2826</v>
      </c>
      <c r="J55" s="3017" t="s">
        <v>2826</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2042</v>
      </c>
      <c r="B1" s="3203"/>
      <c r="C1" s="3203"/>
      <c r="D1" s="3203"/>
      <c r="E1" s="3203"/>
      <c r="F1" s="3203"/>
      <c r="G1" s="3203"/>
      <c r="H1" s="3203"/>
      <c r="I1" s="3203"/>
      <c r="J1" s="3203"/>
      <c r="K1" s="3203"/>
      <c r="L1" s="3203"/>
      <c r="M1" s="3203"/>
      <c r="N1" s="3203"/>
      <c r="O1" s="3203"/>
      <c r="P1" s="3203"/>
      <c r="Q1" s="3203"/>
      <c r="R1" s="3203"/>
    </row>
    <row r="2" spans="1:18">
      <c r="A2" s="1808" t="s">
        <v>2044</v>
      </c>
      <c r="B2" s="1808"/>
      <c r="C2" s="1808"/>
      <c r="D2" s="1808"/>
      <c r="E2" s="1808"/>
      <c r="F2" s="1808"/>
      <c r="G2" s="1808"/>
      <c r="H2" s="1808"/>
      <c r="I2" s="1809"/>
      <c r="J2" s="1809"/>
      <c r="K2" s="1810" t="str">
        <f>"估价期日："&amp;TEXT(项目基本情况!D3,"yyyy年m月d日;;")</f>
        <v>估价期日：2018年2月7日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4" t="s">
        <v>2033</v>
      </c>
      <c r="B3" s="3204" t="s">
        <v>2739</v>
      </c>
      <c r="C3" s="3205" t="s">
        <v>2034</v>
      </c>
      <c r="D3" s="3204" t="s">
        <v>2743</v>
      </c>
      <c r="E3" s="3207" t="s">
        <v>2035</v>
      </c>
      <c r="F3" s="3207"/>
      <c r="G3" s="3207"/>
      <c r="H3" s="3207" t="s">
        <v>2036</v>
      </c>
      <c r="I3" s="3207"/>
      <c r="J3" s="3207"/>
      <c r="K3" s="3205" t="s">
        <v>2037</v>
      </c>
      <c r="L3" s="3205" t="s">
        <v>2038</v>
      </c>
      <c r="M3" s="3204" t="s">
        <v>2740</v>
      </c>
      <c r="N3" s="3206" t="str">
        <f>"（分摊）"&amp;项目基本情况!B16&amp;"国有建设用地使用权面积/㎡"</f>
        <v>（分摊）出让国有建设用地使用权面积/㎡</v>
      </c>
      <c r="O3" s="3204" t="s">
        <v>2067</v>
      </c>
      <c r="P3" s="3205" t="s">
        <v>2047</v>
      </c>
      <c r="Q3" s="3205" t="s">
        <v>2068</v>
      </c>
      <c r="R3" s="3205" t="s">
        <v>2039</v>
      </c>
    </row>
    <row r="4" spans="1:18" ht="36.75" customHeight="1">
      <c r="A4" s="3204"/>
      <c r="B4" s="3204"/>
      <c r="C4" s="3205"/>
      <c r="D4" s="3204"/>
      <c r="E4" s="2675" t="s">
        <v>2046</v>
      </c>
      <c r="F4" s="2675" t="s">
        <v>2752</v>
      </c>
      <c r="G4" s="2675" t="s">
        <v>2040</v>
      </c>
      <c r="H4" s="2675" t="s">
        <v>2041</v>
      </c>
      <c r="I4" s="2675" t="s">
        <v>2753</v>
      </c>
      <c r="J4" s="2675" t="s">
        <v>2040</v>
      </c>
      <c r="K4" s="3205"/>
      <c r="L4" s="3205"/>
      <c r="M4" s="3204"/>
      <c r="N4" s="3206"/>
      <c r="O4" s="3204"/>
      <c r="P4" s="3205"/>
      <c r="Q4" s="3205"/>
      <c r="R4" s="3205"/>
    </row>
    <row r="5" spans="1:18" ht="135" customHeight="1">
      <c r="A5" s="1944" t="s">
        <v>2663</v>
      </c>
      <c r="B5" s="2894" t="s">
        <v>2661</v>
      </c>
      <c r="C5" s="2674">
        <v>22</v>
      </c>
      <c r="D5" s="2673" t="s">
        <v>2662</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36665.199999999997</v>
      </c>
      <c r="O5" s="1811">
        <f>项目基本情况!C21</f>
        <v>113662.12</v>
      </c>
      <c r="P5" s="1811">
        <f ca="1">结果表!E42</f>
        <v>35485</v>
      </c>
      <c r="Q5" s="1811">
        <f ca="1">结果表!D42</f>
        <v>11447</v>
      </c>
      <c r="R5" s="1812">
        <f ca="1">结果表!C42</f>
        <v>130108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3">
        <f ca="1">结果表!O39</f>
        <v>95108</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3" t="str">
        <f>结果表!O40</f>
        <v>——</v>
      </c>
    </row>
    <row r="8" spans="1:18">
      <c r="A8" s="3208" t="str">
        <f>IF(项目基本情况!B9="市场价格","——",项目基本情况!E9)</f>
        <v>抵押净值</v>
      </c>
      <c r="B8" s="3209"/>
      <c r="C8" s="3209"/>
      <c r="D8" s="3209"/>
      <c r="E8" s="3209"/>
      <c r="F8" s="3209"/>
      <c r="G8" s="3209"/>
      <c r="H8" s="3209"/>
      <c r="I8" s="3209"/>
      <c r="J8" s="3209"/>
      <c r="K8" s="3209"/>
      <c r="L8" s="3209"/>
      <c r="M8" s="3209"/>
      <c r="N8" s="3209"/>
      <c r="O8" s="3209"/>
      <c r="P8" s="3209"/>
      <c r="Q8" s="3210"/>
      <c r="R8" s="1813">
        <f ca="1">结果表!O41</f>
        <v>46634</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2" t="s">
        <v>2069</v>
      </c>
      <c r="B1" s="3212"/>
      <c r="C1" s="3212"/>
      <c r="D1" s="3212"/>
    </row>
    <row r="2" spans="1:4" ht="47.25" customHeight="1">
      <c r="A2" s="3213" t="str">
        <f>"1.权利限制："&amp;项目基本情况!L24&amp;"未设定租赁等其他他项权利。"</f>
        <v>1.权利限制：根据估价对象《不动产权证书》原件、《国有土地使用权》复印件，截至估价期日，估价对象抵押权未见登记。未设定租赁等其他他项权利。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2070</v>
      </c>
      <c r="B5" s="3211"/>
      <c r="C5" s="3211"/>
      <c r="D5" s="3211"/>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1" t="s">
        <v>2072</v>
      </c>
      <c r="B12" s="3211"/>
      <c r="C12" s="3211"/>
      <c r="D12" s="3211"/>
    </row>
    <row r="13" spans="1:4">
      <c r="A13" s="3215" t="s">
        <v>2754</v>
      </c>
      <c r="B13" s="3215"/>
      <c r="C13" s="3215"/>
      <c r="D13" s="3215"/>
    </row>
    <row r="14" spans="1:4">
      <c r="A14" s="3214" t="str">
        <f>IF(项目基本情况!B8="抵押","综上，"&amp;结果表!K47,"——")</f>
        <v>综上，本次评估估价师知悉的法定优先受偿款为人民币35000万元整。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2710</v>
      </c>
      <c r="B17" s="3212"/>
      <c r="C17" s="3212"/>
      <c r="D17" s="3212"/>
    </row>
    <row r="18" spans="1:4">
      <c r="A18" s="3212" t="s">
        <v>2702</v>
      </c>
      <c r="B18" s="3212"/>
      <c r="C18" s="3212"/>
      <c r="D18" s="3212"/>
    </row>
    <row r="19" spans="1:4">
      <c r="A19" s="2895" t="s">
        <v>2703</v>
      </c>
      <c r="B19" s="2895" t="s">
        <v>2704</v>
      </c>
      <c r="C19" s="2895" t="s">
        <v>2705</v>
      </c>
      <c r="D19" s="2895" t="s">
        <v>2706</v>
      </c>
    </row>
    <row r="20" spans="1:4">
      <c r="A20" s="2895" t="str">
        <f>项目基本情况!B4</f>
        <v>王鹏</v>
      </c>
      <c r="B20" s="2895">
        <f ca="1">项目基本情况!C4</f>
        <v>2002110030</v>
      </c>
      <c r="C20" s="2897"/>
      <c r="D20" s="1801" t="s">
        <v>2711</v>
      </c>
    </row>
    <row r="21" spans="1:4">
      <c r="A21" s="2895" t="str">
        <f>项目基本情况!D4</f>
        <v>郑燚</v>
      </c>
      <c r="B21" s="2895">
        <f>项目基本情况!E4</f>
        <v>2014110011</v>
      </c>
      <c r="C21" s="2897"/>
      <c r="D21" s="1801" t="s">
        <v>2712</v>
      </c>
    </row>
    <row r="23" spans="1:4">
      <c r="A23" s="3212" t="s">
        <v>2707</v>
      </c>
      <c r="B23" s="3212"/>
      <c r="C23" s="3212"/>
      <c r="D23" s="3212"/>
    </row>
    <row r="24" spans="1:4">
      <c r="A24" s="2895" t="s">
        <v>2703</v>
      </c>
      <c r="B24" s="2895" t="s">
        <v>2708</v>
      </c>
      <c r="C24" s="2895" t="s">
        <v>2705</v>
      </c>
      <c r="D24" s="2895" t="s">
        <v>2706</v>
      </c>
    </row>
    <row r="25" spans="1:4">
      <c r="A25" s="2898" t="s">
        <v>2709</v>
      </c>
      <c r="B25" s="2895" t="s">
        <v>953</v>
      </c>
      <c r="C25" s="2897"/>
      <c r="D25" s="1801" t="s">
        <v>2712</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3" t="s">
        <v>53</v>
      </c>
      <c r="B15" s="3224" t="s">
        <v>847</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838</v>
      </c>
    </row>
    <row r="25" spans="1:3" ht="14.25">
      <c r="A25" s="3222"/>
      <c r="B25" s="3226"/>
      <c r="C25" s="1176" t="s">
        <v>839</v>
      </c>
    </row>
    <row r="26" spans="1:3" ht="14.25">
      <c r="A26" s="3222"/>
      <c r="B26" s="3226"/>
      <c r="C26" s="1176" t="s">
        <v>840</v>
      </c>
    </row>
    <row r="27" spans="1:3" ht="14.25">
      <c r="A27" s="3222"/>
      <c r="B27" s="3226"/>
      <c r="C27" s="1176" t="s">
        <v>841</v>
      </c>
    </row>
    <row r="28" spans="1:3" ht="14.25">
      <c r="A28" s="3222"/>
      <c r="B28" s="3226"/>
      <c r="C28" s="1176" t="s">
        <v>842</v>
      </c>
    </row>
    <row r="29" spans="1:3" ht="14.25">
      <c r="A29" s="3222"/>
      <c r="B29" s="3226"/>
      <c r="C29" s="1176" t="s">
        <v>843</v>
      </c>
    </row>
    <row r="30" spans="1:3" ht="14.25">
      <c r="A30" s="3222"/>
      <c r="B30" s="3226"/>
      <c r="C30" s="1176" t="s">
        <v>844</v>
      </c>
    </row>
    <row r="31" spans="1:3" ht="14.25">
      <c r="A31" s="3222"/>
      <c r="B31" s="3226"/>
      <c r="C31" s="1176" t="s">
        <v>845</v>
      </c>
    </row>
    <row r="32" spans="1:3" ht="14.25">
      <c r="A32" s="3222"/>
      <c r="B32" s="3226"/>
      <c r="C32" s="1176" t="s">
        <v>1648</v>
      </c>
    </row>
    <row r="33" spans="1:3" ht="14.25">
      <c r="A33" s="3222"/>
      <c r="B33" s="3216" t="s">
        <v>1654</v>
      </c>
      <c r="C33" s="1176" t="s">
        <v>1649</v>
      </c>
    </row>
    <row r="34" spans="1:3" ht="14.25">
      <c r="A34" s="3222"/>
      <c r="B34" s="3217"/>
      <c r="C34" s="1181" t="s">
        <v>1650</v>
      </c>
    </row>
    <row r="35" spans="1:3" ht="14.25">
      <c r="A35" s="3222"/>
      <c r="B35" s="3217"/>
      <c r="C35" s="1182" t="s">
        <v>1651</v>
      </c>
    </row>
    <row r="36" spans="1:3" ht="14.25">
      <c r="A36" s="3222"/>
      <c r="B36" s="3217"/>
      <c r="C36" s="1182" t="s">
        <v>1652</v>
      </c>
    </row>
    <row r="37" spans="1:3" ht="14.25">
      <c r="A37" s="3222"/>
      <c r="B37" s="321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43157</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2581</v>
      </c>
      <c r="B15" s="2344">
        <v>1120070085</v>
      </c>
      <c r="C15" s="3033">
        <v>43814</v>
      </c>
      <c r="D15" s="2344" t="s">
        <v>2581</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27" t="s">
        <v>1930</v>
      </c>
      <c r="B25" s="3227"/>
      <c r="C25" s="3227"/>
      <c r="D25" s="3227"/>
      <c r="E25" s="3227"/>
      <c r="F25" s="3227"/>
      <c r="G25" s="3227"/>
    </row>
    <row r="26" spans="1:7" ht="20.25" customHeight="1">
      <c r="A26" s="3228" t="s">
        <v>1931</v>
      </c>
      <c r="B26" s="3228"/>
      <c r="C26" s="3228"/>
      <c r="D26" s="3228" t="s">
        <v>1932</v>
      </c>
      <c r="E26" s="3228"/>
      <c r="F26" s="322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2953</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4" sqref="AC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3" t="s">
        <v>2966</v>
      </c>
      <c r="C18" s="1554"/>
    </row>
    <row r="19" spans="1:3">
      <c r="A19" s="8" t="s">
        <v>120</v>
      </c>
      <c r="B19" s="3143" t="s">
        <v>2974</v>
      </c>
      <c r="C19" s="1554"/>
    </row>
    <row r="20" spans="1:3">
      <c r="A20" s="8" t="s">
        <v>121</v>
      </c>
      <c r="B20" s="3143" t="s">
        <v>3108</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3229"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设定用途为，剩余土地使用年限为的出让国有建设用地使用权价格。</v>
      </c>
      <c r="D53" s="1768"/>
      <c r="E53" s="1768"/>
    </row>
    <row r="54" spans="1:5">
      <c r="A54" s="3229"/>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规划指标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2018-02-26T07:17:57Z</dcterms:modified>
</cp:coreProperties>
</file>