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43" i="77" l="1"/>
  <c r="M42" i="77"/>
  <c r="N40" i="77"/>
  <c r="Y6" i="1"/>
  <c r="U32" i="77"/>
  <c r="T32" i="77"/>
  <c r="U31" i="77"/>
  <c r="G30" i="77"/>
  <c r="F30" i="77"/>
  <c r="G33" i="77" s="1"/>
  <c r="E30" i="77"/>
  <c r="D30" i="77"/>
  <c r="I31" i="77" s="1"/>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T10" i="77"/>
  <c r="U9" i="77"/>
  <c r="T9" i="77"/>
  <c r="U8" i="77"/>
  <c r="T8" i="77"/>
  <c r="U7" i="77"/>
  <c r="T7" i="77"/>
  <c r="U5" i="77"/>
  <c r="T5" i="77"/>
  <c r="T31" i="77" s="1"/>
  <c r="V31" i="77" s="1"/>
  <c r="D29" i="43"/>
  <c r="F19" i="6"/>
  <c r="AB5" i="71" l="1"/>
  <c r="AA5" i="71"/>
  <c r="Y5" i="71"/>
  <c r="X5" i="71"/>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J53" i="67"/>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27" i="6"/>
  <c r="E11" i="6"/>
  <c r="E61" i="39"/>
  <c r="BL17" i="3"/>
  <c r="AZ17" i="3"/>
  <c r="BL13" i="3"/>
  <c r="E65" i="39"/>
  <c r="G30" i="6"/>
  <c r="G31" i="6"/>
  <c r="J56" i="9"/>
  <c r="J57" i="9"/>
  <c r="A24" i="51"/>
  <c r="B18" i="72" s="1"/>
  <c r="U29" i="34"/>
  <c r="E14" i="6"/>
  <c r="E64" i="39" s="1"/>
  <c r="E5" i="6"/>
  <c r="D9" i="11" s="1"/>
  <c r="C9" i="11" s="1"/>
  <c r="P10" i="1"/>
  <c r="E32" i="6"/>
  <c r="L19" i="6"/>
  <c r="G1" i="68"/>
  <c r="K1" i="12"/>
  <c r="F30" i="6"/>
  <c r="E28" i="6"/>
  <c r="E30" i="6" s="1"/>
  <c r="E57" i="40"/>
  <c r="E56" i="40"/>
  <c r="AR12" i="1"/>
  <c r="AQ12" i="1"/>
  <c r="T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53" i="43"/>
  <c r="H78" i="43"/>
  <c r="H71" i="43"/>
  <c r="C17" i="43"/>
  <c r="F33" i="43"/>
  <c r="K17" i="43"/>
  <c r="F34" i="43"/>
  <c r="N6" i="43"/>
  <c r="N3" i="43"/>
  <c r="F38" i="43"/>
  <c r="F37" i="43"/>
  <c r="M9" i="43"/>
  <c r="C6" i="43" s="1"/>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c r="C48" i="35"/>
  <c r="D48" i="35" s="1"/>
  <c r="E48" i="35" s="1"/>
  <c r="C4" i="12"/>
  <c r="H66" i="43"/>
  <c r="H65" i="43"/>
  <c r="H64" i="43"/>
  <c r="H63" i="43"/>
  <c r="H55" i="43"/>
  <c r="H56" i="43"/>
  <c r="H72" i="43"/>
  <c r="L20" i="6"/>
  <c r="E62" i="39"/>
  <c r="E56" i="39"/>
  <c r="E51" i="40"/>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E63" i="39"/>
  <c r="D19" i="12"/>
  <c r="C19" i="12" s="1"/>
  <c r="K15"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E31" i="6"/>
  <c r="BL5" i="3"/>
  <c r="J59" i="9"/>
  <c r="J61" i="9"/>
  <c r="K21" i="6"/>
  <c r="M21" i="6" s="1"/>
  <c r="I21" i="6" s="1"/>
  <c r="S21" i="6" s="1"/>
  <c r="E335" i="3"/>
  <c r="E294" i="3"/>
  <c r="E215" i="3"/>
  <c r="E230" i="3"/>
  <c r="E189" i="3"/>
  <c r="E130" i="3"/>
  <c r="E134" i="3"/>
  <c r="E254" i="3"/>
  <c r="E91" i="3"/>
  <c r="E269" i="3"/>
  <c r="E181" i="3"/>
  <c r="E122" i="3"/>
  <c r="E157" i="3"/>
  <c r="E89" i="3"/>
  <c r="K22" i="6"/>
  <c r="M22" i="6" s="1"/>
  <c r="I22" i="6" s="1"/>
  <c r="S22" i="6"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B5" i="62"/>
  <c r="B73" i="72"/>
  <c r="AP7" i="1"/>
  <c r="C36" i="69"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H112" i="9"/>
  <c r="D21" i="53"/>
  <c r="B39" i="72"/>
  <c r="H111" i="9"/>
  <c r="D126" i="9"/>
  <c r="D19" i="53"/>
  <c r="D59" i="9"/>
  <c r="M55" i="9"/>
  <c r="B38" i="72"/>
  <c r="D20" i="53"/>
  <c r="B40" i="72"/>
  <c r="I14" i="74"/>
  <c r="B8" i="74"/>
  <c r="D127" i="9"/>
  <c r="D13" i="52"/>
  <c r="D12" i="52"/>
  <c r="AD3" i="71"/>
  <c r="B4" i="62"/>
  <c r="B71" i="72"/>
  <c r="D9" i="68"/>
  <c r="D2" i="36"/>
  <c r="D2" i="35"/>
  <c r="M22" i="15"/>
  <c r="M24" i="67"/>
  <c r="L47" i="67"/>
  <c r="B11" i="76"/>
  <c r="F5" i="73"/>
  <c r="F13" i="67"/>
  <c r="M24" i="15"/>
  <c r="F6" i="15"/>
  <c r="D2" i="21"/>
  <c r="AO13" i="1"/>
  <c r="M26" i="15"/>
  <c r="F37" i="67"/>
  <c r="C76" i="67"/>
  <c r="B12" i="76"/>
  <c r="F42" i="15"/>
  <c r="E11" i="76"/>
  <c r="F7" i="15"/>
  <c r="M29" i="15"/>
  <c r="L48" i="67"/>
  <c r="F7" i="73"/>
  <c r="E10" i="76"/>
  <c r="B13" i="76"/>
  <c r="F43" i="15"/>
  <c r="F26" i="15"/>
  <c r="F16" i="67"/>
  <c r="B9" i="76"/>
  <c r="F37" i="15"/>
  <c r="M9" i="15"/>
  <c r="M8" i="15"/>
  <c r="F36" i="67"/>
  <c r="F38" i="67"/>
  <c r="M22" i="67"/>
  <c r="M28" i="67"/>
  <c r="M6" i="67"/>
  <c r="AO11" i="1"/>
  <c r="AO10" i="1"/>
  <c r="B7" i="76"/>
  <c r="AO12" i="1"/>
  <c r="F6" i="73"/>
  <c r="F13" i="15"/>
  <c r="F6" i="67"/>
  <c r="M26" i="67"/>
  <c r="F38" i="15"/>
  <c r="F43" i="67"/>
  <c r="D2" i="34"/>
  <c r="M23" i="67"/>
  <c r="M23" i="15"/>
  <c r="F8" i="15"/>
  <c r="F26" i="67"/>
  <c r="D2" i="37"/>
  <c r="F8" i="67"/>
  <c r="E9" i="76"/>
  <c r="D2" i="33"/>
  <c r="F4" i="73"/>
  <c r="F40" i="67"/>
  <c r="M9" i="67"/>
  <c r="E13" i="76"/>
  <c r="F42" i="67"/>
  <c r="F40" i="15"/>
  <c r="E2" i="69"/>
  <c r="J15" i="67"/>
  <c r="M21" i="67"/>
  <c r="B10" i="76"/>
  <c r="L47" i="15"/>
  <c r="F9" i="15"/>
  <c r="E2" i="68"/>
  <c r="M27" i="67"/>
  <c r="M27" i="15"/>
  <c r="AO8" i="1"/>
  <c r="F35" i="67"/>
  <c r="F16" i="15"/>
  <c r="M6" i="15"/>
  <c r="F41" i="67"/>
  <c r="F36" i="15"/>
  <c r="B8" i="76"/>
  <c r="E12" i="76"/>
  <c r="L48" i="15"/>
  <c r="J15" i="15"/>
  <c r="F3" i="73"/>
  <c r="F9" i="67"/>
  <c r="M29" i="67"/>
  <c r="C76" i="15"/>
  <c r="E7" i="76"/>
  <c r="E8" i="76"/>
  <c r="M28" i="15"/>
  <c r="AO7" i="1"/>
  <c r="F7" i="67"/>
  <c r="AO9" i="1"/>
  <c r="M8" i="67"/>
  <c r="F20" i="31"/>
  <c r="P61" i="15" l="1"/>
  <c r="J53" i="15"/>
  <c r="Q52" i="15" s="1"/>
  <c r="AG6" i="1"/>
  <c r="C9" i="68"/>
  <c r="F54" i="9"/>
  <c r="F28" i="15"/>
  <c r="C28" i="15" s="1"/>
  <c r="F31" i="12"/>
  <c r="C31" i="12" s="1"/>
  <c r="M18" i="67"/>
  <c r="F30" i="68"/>
  <c r="D68" i="9"/>
  <c r="M18" i="15"/>
  <c r="F32" i="15"/>
  <c r="F60" i="15" s="1"/>
  <c r="F30" i="69"/>
  <c r="C48" i="69" s="1"/>
  <c r="F32" i="67"/>
  <c r="F60" i="67" s="1"/>
  <c r="F52" i="9"/>
  <c r="F28" i="67"/>
  <c r="F30" i="11"/>
  <c r="E2" i="70"/>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117" i="3"/>
  <c r="E180" i="3"/>
  <c r="E161" i="3"/>
  <c r="E221" i="3"/>
  <c r="E290" i="3"/>
  <c r="E135" i="3"/>
  <c r="E61" i="3"/>
  <c r="E185" i="3"/>
  <c r="E169" i="3"/>
  <c r="E216" i="3"/>
  <c r="E298" i="3"/>
  <c r="E231" i="3"/>
  <c r="E321" i="3"/>
  <c r="E380" i="3"/>
  <c r="AR11" i="1"/>
  <c r="T11" i="1"/>
  <c r="T10" i="1"/>
  <c r="F31" i="6"/>
  <c r="E66" i="39"/>
  <c r="E16" i="6"/>
  <c r="M7" i="1"/>
  <c r="Q16" i="1"/>
  <c r="H16" i="1"/>
  <c r="P11" i="1"/>
  <c r="O12" i="1"/>
  <c r="P12" i="1" s="1"/>
  <c r="AQ6" i="1"/>
  <c r="AY6" i="3"/>
  <c r="E3" i="6"/>
  <c r="AR8" i="1"/>
  <c r="T8" i="1"/>
  <c r="O9" i="1"/>
  <c r="P9" i="1" s="1"/>
  <c r="O8" i="1"/>
  <c r="P8" i="1" s="1"/>
  <c r="K19" i="6"/>
  <c r="S6" i="1" s="1"/>
  <c r="K26" i="6"/>
  <c r="M26" i="6" s="1"/>
  <c r="I26" i="6" s="1"/>
  <c r="S26" i="6" s="1"/>
  <c r="K14" i="1"/>
  <c r="K24" i="6"/>
  <c r="M24" i="6" s="1"/>
  <c r="I24" i="6" s="1"/>
  <c r="S24" i="6" s="1"/>
  <c r="K20" i="6"/>
  <c r="M20" i="6" s="1"/>
  <c r="I20" i="6" s="1"/>
  <c r="S20" i="6" s="1"/>
  <c r="T9" i="1"/>
  <c r="E59" i="40"/>
  <c r="AQ9" i="1"/>
  <c r="D9" i="69"/>
  <c r="C9" i="69"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C65" i="40"/>
  <c r="D63" i="40"/>
  <c r="G16" i="1"/>
  <c r="F10" i="39" s="1"/>
  <c r="J1" i="73"/>
  <c r="AA7" i="33"/>
  <c r="R48" i="33" s="1"/>
  <c r="C36" i="11"/>
  <c r="C13" i="12"/>
  <c r="C30" i="69"/>
  <c r="C77" i="9"/>
  <c r="C74" i="9" s="1"/>
  <c r="C28" i="67"/>
  <c r="C30" i="68"/>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E48" i="33"/>
  <c r="R49" i="33"/>
  <c r="G52" i="33"/>
  <c r="H52" i="33" s="1"/>
  <c r="G59" i="34"/>
  <c r="C70" i="39"/>
  <c r="D68" i="39"/>
  <c r="J10" i="40"/>
  <c r="J10" i="39"/>
  <c r="H10" i="39"/>
  <c r="U7" i="33"/>
  <c r="AC7" i="33"/>
  <c r="V48" i="33" s="1"/>
  <c r="I48" i="33" s="1"/>
  <c r="G53" i="33" s="1"/>
  <c r="H53" i="33" s="1"/>
  <c r="G52" i="37"/>
  <c r="H52" i="37" s="1"/>
  <c r="I52" i="37" s="1"/>
  <c r="J52" i="37" s="1"/>
  <c r="K52" i="37" s="1"/>
  <c r="L52" i="37" s="1"/>
  <c r="M52" i="37" s="1"/>
  <c r="N52" i="37" s="1"/>
  <c r="O52" i="37" s="1"/>
  <c r="H7" i="37"/>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C36" i="68"/>
  <c r="C14" i="15"/>
  <c r="D7" i="73"/>
  <c r="F31" i="15"/>
  <c r="C17" i="67"/>
  <c r="M17" i="67"/>
  <c r="D4" i="73"/>
  <c r="D5" i="73"/>
  <c r="C16" i="67"/>
  <c r="F59" i="67"/>
  <c r="C17" i="15"/>
  <c r="C16" i="15"/>
  <c r="D6" i="73"/>
  <c r="M17" i="15"/>
  <c r="F31" i="67"/>
  <c r="D3" i="73"/>
  <c r="F59" i="15"/>
  <c r="C14" i="67"/>
  <c r="F1" i="15" l="1"/>
  <c r="H83" i="43"/>
  <c r="H86" i="43"/>
  <c r="H87" i="43"/>
  <c r="H85" i="43"/>
  <c r="H84" i="43"/>
  <c r="H82" i="43"/>
  <c r="H81" i="43"/>
  <c r="H88" i="43"/>
  <c r="C48" i="11"/>
  <c r="C30" i="11"/>
  <c r="AR6" i="1"/>
  <c r="S16" i="1"/>
  <c r="T6" i="1"/>
  <c r="AC6" i="3"/>
  <c r="H6" i="3"/>
  <c r="C18" i="15"/>
  <c r="C15" i="15"/>
  <c r="D22" i="43"/>
  <c r="D3" i="21"/>
  <c r="D19" i="11"/>
  <c r="C19" i="11" s="1"/>
  <c r="C20" i="11" s="1"/>
  <c r="C17" i="4"/>
  <c r="B4" i="52" s="1"/>
  <c r="B43" i="72" s="1"/>
  <c r="L18" i="9"/>
  <c r="D3" i="37"/>
  <c r="D3" i="33"/>
  <c r="D37" i="11"/>
  <c r="C37" i="11" s="1"/>
  <c r="M18" i="9"/>
  <c r="B118" i="9" s="1"/>
  <c r="B14" i="74" s="1"/>
  <c r="B1" i="74" s="1"/>
  <c r="D3" i="34"/>
  <c r="E6" i="6"/>
  <c r="D14" i="12"/>
  <c r="F27" i="69"/>
  <c r="F28" i="12"/>
  <c r="C29" i="12" s="1"/>
  <c r="D28" i="12" s="1"/>
  <c r="F27" i="11"/>
  <c r="M14" i="1"/>
  <c r="M16" i="1" s="1"/>
  <c r="K16" i="1"/>
  <c r="C34" i="69"/>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98" i="3"/>
  <c r="AY82" i="3"/>
  <c r="AY18" i="3"/>
  <c r="AY191" i="3"/>
  <c r="AY171" i="3"/>
  <c r="AY132" i="3"/>
  <c r="AY90" i="3"/>
  <c r="AY31" i="3"/>
  <c r="AY163" i="3"/>
  <c r="AY292" i="3"/>
  <c r="AY75" i="3"/>
  <c r="AY147" i="3"/>
  <c r="AY237"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03" i="3"/>
  <c r="AY50" i="3"/>
  <c r="AY160" i="3"/>
  <c r="AY289" i="3"/>
  <c r="AY183" i="3"/>
  <c r="AY261" i="3"/>
  <c r="AY284"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67" i="3"/>
  <c r="AY196" i="3"/>
  <c r="AY139" i="3"/>
  <c r="AY74" i="3"/>
  <c r="AY123" i="3"/>
  <c r="AY204" i="3"/>
  <c r="AY252"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189" i="3"/>
  <c r="AY169" i="3"/>
  <c r="AY129" i="3"/>
  <c r="AY282" i="3"/>
  <c r="AY266" i="3"/>
  <c r="AY223" i="3"/>
  <c r="AY369" i="3"/>
  <c r="AY345" i="3"/>
  <c r="AY313" i="3"/>
  <c r="AY328" i="3"/>
  <c r="AY487" i="3"/>
  <c r="AY484" i="3"/>
  <c r="AY453" i="3"/>
  <c r="AY442" i="3"/>
  <c r="AY410" i="3"/>
  <c r="AY423" i="3"/>
  <c r="AY579" i="3"/>
  <c r="AY499" i="3"/>
  <c r="D3" i="6"/>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8" i="3"/>
  <c r="AY137" i="3"/>
  <c r="AY287" i="3"/>
  <c r="AY251" i="3"/>
  <c r="AY234" i="3"/>
  <c r="AY380" i="3"/>
  <c r="AY364" i="3"/>
  <c r="AY329" i="3"/>
  <c r="AY344" i="3"/>
  <c r="AY312" i="3"/>
  <c r="AY471" i="3"/>
  <c r="AY468" i="3"/>
  <c r="AY458" i="3"/>
  <c r="AY426" i="3"/>
  <c r="AY439" i="3"/>
  <c r="AY407" i="3"/>
  <c r="AY506"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O7" i="1"/>
  <c r="P7" i="1" s="1"/>
  <c r="L109" i="43"/>
  <c r="L102" i="43"/>
  <c r="L105" i="43"/>
  <c r="L104" i="43"/>
  <c r="L106" i="43"/>
  <c r="L107" i="43"/>
  <c r="L103" i="43"/>
  <c r="N102" i="43"/>
  <c r="N103" i="43"/>
  <c r="N106" i="43"/>
  <c r="N107" i="43"/>
  <c r="N105" i="43"/>
  <c r="N104" i="43"/>
  <c r="N109" i="43"/>
  <c r="K103" i="43"/>
  <c r="K107" i="43"/>
  <c r="K104" i="43"/>
  <c r="K106" i="43"/>
  <c r="K102" i="43"/>
  <c r="K105" i="43"/>
  <c r="K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H102" i="43"/>
  <c r="H103" i="43"/>
  <c r="H104" i="43"/>
  <c r="H109" i="43"/>
  <c r="H107" i="43"/>
  <c r="H105" i="43"/>
  <c r="H106" i="43"/>
  <c r="F104" i="43"/>
  <c r="F107" i="43"/>
  <c r="F106" i="43"/>
  <c r="F103" i="43"/>
  <c r="F102" i="43"/>
  <c r="F105" i="43"/>
  <c r="F109" i="43"/>
  <c r="I104" i="43"/>
  <c r="I109" i="43"/>
  <c r="I106" i="43"/>
  <c r="I103" i="43"/>
  <c r="I102"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 i="40"/>
  <c r="AB10" i="40" s="1"/>
  <c r="F10" i="40"/>
  <c r="AA10" i="40" s="1"/>
  <c r="J7" i="36"/>
  <c r="J7" i="35"/>
  <c r="F7" i="37"/>
  <c r="K1" i="73"/>
  <c r="E20" i="43"/>
  <c r="P28" i="43" s="1"/>
  <c r="D65" i="40"/>
  <c r="E63" i="40"/>
  <c r="G17" i="43"/>
  <c r="C16" i="43" s="1"/>
  <c r="D5" i="43" s="1"/>
  <c r="E58" i="21"/>
  <c r="F58" i="21" s="1"/>
  <c r="G58" i="21" s="1"/>
  <c r="H58" i="21" s="1"/>
  <c r="I58" i="21" s="1"/>
  <c r="J58" i="21" s="1"/>
  <c r="K58" i="21" s="1"/>
  <c r="L58" i="21" s="1"/>
  <c r="M58" i="21" s="1"/>
  <c r="N58" i="21" s="1"/>
  <c r="O58" i="21" s="1"/>
  <c r="F7" i="21"/>
  <c r="H7" i="21"/>
  <c r="U7" i="36"/>
  <c r="AB7" i="36"/>
  <c r="T36" i="36" s="1"/>
  <c r="G36" i="36" s="1"/>
  <c r="AA7" i="35"/>
  <c r="R38" i="35" s="1"/>
  <c r="S7" i="35"/>
  <c r="AC7" i="37"/>
  <c r="V42" i="37" s="1"/>
  <c r="I42" i="37" s="1"/>
  <c r="W7" i="37"/>
  <c r="I52" i="33"/>
  <c r="J52" i="33" s="1"/>
  <c r="I53" i="33"/>
  <c r="J53" i="33" s="1"/>
  <c r="U10" i="39"/>
  <c r="AB10" i="39"/>
  <c r="W10" i="39"/>
  <c r="AC10" i="39"/>
  <c r="W10" i="40"/>
  <c r="AC10" i="40"/>
  <c r="D70" i="39"/>
  <c r="E68" i="39"/>
  <c r="H59" i="34"/>
  <c r="C49" i="33"/>
  <c r="B2" i="33" s="1"/>
  <c r="B3" i="33" s="1"/>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S10" i="39"/>
  <c r="AA10" i="39"/>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74" i="15"/>
  <c r="Q61" i="15"/>
  <c r="Q61" i="67"/>
  <c r="Q74" i="67"/>
  <c r="AE6" i="1"/>
  <c r="F41" i="15" s="1"/>
  <c r="F27" i="68"/>
  <c r="G1" i="73"/>
  <c r="C19" i="15" l="1"/>
  <c r="F69" i="15"/>
  <c r="N28" i="43"/>
  <c r="O28" i="43"/>
  <c r="M28" i="43"/>
  <c r="G20" i="43" s="1"/>
  <c r="E41" i="43" s="1"/>
  <c r="C41" i="43" s="1"/>
  <c r="U10" i="40"/>
  <c r="E6" i="3"/>
  <c r="S10" i="40"/>
  <c r="C38" i="69"/>
  <c r="C35" i="69"/>
  <c r="O14" i="1"/>
  <c r="P14" i="1" s="1"/>
  <c r="P16" i="1" s="1"/>
  <c r="C11" i="12" s="1"/>
  <c r="T16" i="1"/>
  <c r="C47" i="11"/>
  <c r="D45" i="11" s="1"/>
  <c r="C29" i="11"/>
  <c r="D27" i="11" s="1"/>
  <c r="C29" i="68"/>
  <c r="D27" i="68" s="1"/>
  <c r="C47" i="68"/>
  <c r="D45" i="68" s="1"/>
  <c r="D10" i="69"/>
  <c r="D10" i="11"/>
  <c r="C10" i="11" s="1"/>
  <c r="D20" i="12"/>
  <c r="C20" i="12" s="1"/>
  <c r="C18" i="12" s="1"/>
  <c r="C7" i="74"/>
  <c r="C8" i="74"/>
  <c r="C28" i="11"/>
  <c r="C27" i="11" s="1"/>
  <c r="N16" i="1"/>
  <c r="L16" i="1"/>
  <c r="C34" i="11"/>
  <c r="O16" i="1"/>
  <c r="H20" i="6"/>
  <c r="M19" i="9"/>
  <c r="C118" i="9" s="1"/>
  <c r="C14" i="74" s="1"/>
  <c r="B2" i="74" s="1"/>
  <c r="D19" i="6"/>
  <c r="D26" i="6"/>
  <c r="C18" i="4"/>
  <c r="D8" i="6"/>
  <c r="D23" i="6"/>
  <c r="D14" i="6"/>
  <c r="D25" i="6"/>
  <c r="D15" i="6"/>
  <c r="D22" i="6"/>
  <c r="D21" i="6"/>
  <c r="D24" i="6"/>
  <c r="D20" i="6"/>
  <c r="R20" i="6" s="1"/>
  <c r="D5" i="6"/>
  <c r="D12" i="6"/>
  <c r="D11" i="6"/>
  <c r="D13" i="6"/>
  <c r="D28" i="6"/>
  <c r="E61" i="40"/>
  <c r="H22" i="6"/>
  <c r="H21" i="6"/>
  <c r="H24" i="6"/>
  <c r="D6" i="6"/>
  <c r="D9" i="6"/>
  <c r="D10" i="6"/>
  <c r="L19" i="9"/>
  <c r="D29" i="6"/>
  <c r="H25" i="6"/>
  <c r="H23" i="6"/>
  <c r="H26" i="6"/>
  <c r="M27" i="6"/>
  <c r="I19" i="6"/>
  <c r="C47" i="69"/>
  <c r="D45" i="69" s="1"/>
  <c r="C29" i="69"/>
  <c r="D27" i="69" s="1"/>
  <c r="D17" i="12"/>
  <c r="C17" i="12" s="1"/>
  <c r="C14" i="12"/>
  <c r="C115" i="43"/>
  <c r="D113" i="43" s="1"/>
  <c r="S3" i="43"/>
  <c r="S2" i="43"/>
  <c r="S6" i="43"/>
  <c r="S7" i="43"/>
  <c r="C23" i="43"/>
  <c r="C21" i="43" s="1"/>
  <c r="S5" i="43"/>
  <c r="S4" i="43"/>
  <c r="C5" i="43"/>
  <c r="B40" i="1"/>
  <c r="F22" i="68" s="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7" i="37"/>
  <c r="J47" i="37" s="1"/>
  <c r="I46" i="37"/>
  <c r="J46" i="37" s="1"/>
  <c r="E38" i="35"/>
  <c r="R39" i="35"/>
  <c r="S7" i="21"/>
  <c r="AA7" i="21"/>
  <c r="R48" i="21" s="1"/>
  <c r="C6" i="71"/>
  <c r="C5" i="71" s="1"/>
  <c r="D5" i="71" s="1"/>
  <c r="T7" i="71"/>
  <c r="D6" i="71"/>
  <c r="D7" i="71"/>
  <c r="C19" i="67"/>
  <c r="C20" i="67" s="1"/>
  <c r="C26" i="67" s="1"/>
  <c r="J24" i="67"/>
  <c r="J26" i="67"/>
  <c r="J29" i="67" s="1"/>
  <c r="J18" i="67"/>
  <c r="C53" i="67"/>
  <c r="C48" i="67" s="1"/>
  <c r="C10" i="67"/>
  <c r="C5" i="67" s="1"/>
  <c r="C20" i="15"/>
  <c r="C26" i="15" s="1"/>
  <c r="J24" i="15"/>
  <c r="J18" i="15"/>
  <c r="J26" i="15"/>
  <c r="J29" i="15" s="1"/>
  <c r="C53" i="15"/>
  <c r="C48" i="15" s="1"/>
  <c r="C10" i="15"/>
  <c r="C5" i="15" s="1"/>
  <c r="D10" i="68"/>
  <c r="C34" i="68"/>
  <c r="C20" i="43" l="1"/>
  <c r="D16" i="6"/>
  <c r="F24" i="67"/>
  <c r="C24" i="67" s="1"/>
  <c r="D30" i="6"/>
  <c r="R26" i="6"/>
  <c r="C15" i="12"/>
  <c r="C12" i="12"/>
  <c r="S19" i="6"/>
  <c r="S27" i="6" s="1"/>
  <c r="I27" i="6"/>
  <c r="H19" i="6"/>
  <c r="H27" i="6" s="1"/>
  <c r="R21" i="6"/>
  <c r="D7" i="74"/>
  <c r="D8" i="74"/>
  <c r="C38" i="11"/>
  <c r="C35" i="11"/>
  <c r="F50" i="69"/>
  <c r="F50" i="11"/>
  <c r="F50" i="68"/>
  <c r="C10" i="69"/>
  <c r="C8" i="69" s="1"/>
  <c r="C5" i="69" s="1"/>
  <c r="D19" i="69"/>
  <c r="R24" i="6"/>
  <c r="R22" i="6"/>
  <c r="R25" i="6"/>
  <c r="R23" i="6"/>
  <c r="A7" i="51"/>
  <c r="B7" i="72" s="1"/>
  <c r="A10" i="51"/>
  <c r="B9" i="72" s="1"/>
  <c r="C4" i="52"/>
  <c r="B45" i="72" s="1"/>
  <c r="D27" i="6"/>
  <c r="D31" i="6" s="1"/>
  <c r="R19" i="6"/>
  <c r="C38" i="68"/>
  <c r="C35" i="68"/>
  <c r="C10" i="68"/>
  <c r="C8" i="68" s="1"/>
  <c r="D19" i="68"/>
  <c r="F25" i="12"/>
  <c r="C26" i="12" s="1"/>
  <c r="D25" i="12" s="1"/>
  <c r="F22" i="11"/>
  <c r="C44" i="11" s="1"/>
  <c r="D41" i="11" s="1"/>
  <c r="F24" i="15"/>
  <c r="C24" i="15" s="1"/>
  <c r="F22" i="69"/>
  <c r="C44" i="69" s="1"/>
  <c r="D41" i="69"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U7" i="71"/>
  <c r="C26" i="68"/>
  <c r="D22" i="68" s="1"/>
  <c r="C44" i="68"/>
  <c r="D41" i="68" s="1"/>
  <c r="C38" i="15"/>
  <c r="C32" i="15"/>
  <c r="C66" i="15"/>
  <c r="C60" i="15"/>
  <c r="C60" i="67"/>
  <c r="C66" i="67"/>
  <c r="C38" i="67"/>
  <c r="C32" i="67"/>
  <c r="C23" i="15" l="1"/>
  <c r="C29" i="15" s="1"/>
  <c r="J19" i="15" s="1"/>
  <c r="C23" i="67"/>
  <c r="C29" i="67" s="1"/>
  <c r="J14" i="67" s="1"/>
  <c r="T14" i="43"/>
  <c r="V14" i="43" s="1"/>
  <c r="C26" i="11"/>
  <c r="D22" i="11" s="1"/>
  <c r="R27" i="6"/>
  <c r="R6" i="1"/>
  <c r="C25" i="11"/>
  <c r="C23" i="11"/>
  <c r="C16" i="12"/>
  <c r="C21" i="12" s="1"/>
  <c r="C22" i="12" s="1"/>
  <c r="C30" i="12" s="1"/>
  <c r="C28" i="12" s="1"/>
  <c r="C23" i="69"/>
  <c r="C33" i="11"/>
  <c r="C39" i="11" s="1"/>
  <c r="I6" i="6"/>
  <c r="I5" i="6"/>
  <c r="C19" i="68"/>
  <c r="D37" i="68"/>
  <c r="C37" i="68" s="1"/>
  <c r="C33" i="68" s="1"/>
  <c r="C19" i="69"/>
  <c r="C24" i="69" s="1"/>
  <c r="D37" i="69"/>
  <c r="C37" i="69" s="1"/>
  <c r="C33" i="69" s="1"/>
  <c r="C39" i="69" s="1"/>
  <c r="C26" i="69"/>
  <c r="D22" i="69" s="1"/>
  <c r="C24"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Q49" i="15"/>
  <c r="C33" i="15"/>
  <c r="C36" i="15"/>
  <c r="J14" i="15"/>
  <c r="J59" i="15"/>
  <c r="J60" i="15" s="1"/>
  <c r="C33" i="67"/>
  <c r="C31" i="67" s="1"/>
  <c r="C57" i="67"/>
  <c r="J19" i="67"/>
  <c r="J17" i="67" s="1"/>
  <c r="C36" i="67"/>
  <c r="F35" i="15"/>
  <c r="M21" i="15"/>
  <c r="C13" i="15" l="1"/>
  <c r="C56" i="15" s="1"/>
  <c r="C65" i="15" s="1"/>
  <c r="C57" i="15"/>
  <c r="J20" i="15"/>
  <c r="J17" i="15" s="1"/>
  <c r="F63" i="15"/>
  <c r="C62" i="15" s="1"/>
  <c r="C34" i="15"/>
  <c r="R16" i="1"/>
  <c r="C31" i="15"/>
  <c r="J59" i="67"/>
  <c r="J60" i="67" s="1"/>
  <c r="Q48" i="67" s="1"/>
  <c r="Q49" i="67"/>
  <c r="C13" i="67"/>
  <c r="C75" i="67" s="1"/>
  <c r="G37" i="43"/>
  <c r="I37" i="43" s="1"/>
  <c r="G36" i="43"/>
  <c r="I36" i="43" s="1"/>
  <c r="C22" i="11"/>
  <c r="C31" i="11" s="1"/>
  <c r="C42" i="11"/>
  <c r="C46" i="11"/>
  <c r="C45" i="11" s="1"/>
  <c r="C43" i="11"/>
  <c r="C42" i="69"/>
  <c r="C27" i="12"/>
  <c r="C25" i="12" s="1"/>
  <c r="C32" i="12" s="1"/>
  <c r="B2" i="12" s="1"/>
  <c r="B3" i="12" s="1"/>
  <c r="C39" i="68"/>
  <c r="C43" i="68" s="1"/>
  <c r="C42" i="68"/>
  <c r="C46" i="69"/>
  <c r="C45" i="69" s="1"/>
  <c r="C43" i="69"/>
  <c r="C24" i="68"/>
  <c r="C20" i="69"/>
  <c r="G35" i="43"/>
  <c r="I35" i="43" s="1"/>
  <c r="E29" i="43"/>
  <c r="C26" i="43" s="1"/>
  <c r="B2" i="43" s="1"/>
  <c r="C6" i="68" s="1"/>
  <c r="C7" i="68" s="1"/>
  <c r="C5" i="68" s="1"/>
  <c r="C23" i="68" s="1"/>
  <c r="H65" i="40"/>
  <c r="I63" i="40"/>
  <c r="C50" i="34"/>
  <c r="B2" i="34" s="1"/>
  <c r="B3" i="34" s="1"/>
  <c r="C49" i="34"/>
  <c r="I68" i="39"/>
  <c r="H70" i="39"/>
  <c r="G53" i="34"/>
  <c r="H53" i="34" s="1"/>
  <c r="G54" i="34"/>
  <c r="H54" i="34" s="1"/>
  <c r="E54" i="34"/>
  <c r="F54" i="34" s="1"/>
  <c r="E53" i="34"/>
  <c r="F53" i="34" s="1"/>
  <c r="G39" i="43"/>
  <c r="I39" i="43" s="1"/>
  <c r="G34" i="43"/>
  <c r="I34" i="43" s="1"/>
  <c r="J13" i="67"/>
  <c r="J23" i="67" s="1"/>
  <c r="J22" i="67"/>
  <c r="Q48" i="15"/>
  <c r="J13" i="15"/>
  <c r="J23" i="15" s="1"/>
  <c r="J22" i="15"/>
  <c r="C61" i="67"/>
  <c r="C59" i="67" s="1"/>
  <c r="C64" i="67"/>
  <c r="Q70" i="15"/>
  <c r="C37" i="15"/>
  <c r="C61" i="15"/>
  <c r="C64" i="15"/>
  <c r="B6" i="76"/>
  <c r="C75" i="15" l="1"/>
  <c r="C80" i="15" s="1"/>
  <c r="C79" i="15" s="1"/>
  <c r="C30" i="15"/>
  <c r="C39" i="15" s="1"/>
  <c r="C59" i="15"/>
  <c r="C37" i="67"/>
  <c r="C30" i="67" s="1"/>
  <c r="C39" i="67" s="1"/>
  <c r="Q69" i="67" s="1"/>
  <c r="C56" i="67"/>
  <c r="C65" i="67" s="1"/>
  <c r="C58" i="67" s="1"/>
  <c r="C67" i="67" s="1"/>
  <c r="C68" i="67" s="1"/>
  <c r="L46" i="67"/>
  <c r="Q70" i="67"/>
  <c r="C27" i="43"/>
  <c r="C20" i="68"/>
  <c r="C28" i="68" s="1"/>
  <c r="C27" i="68" s="1"/>
  <c r="C41" i="68"/>
  <c r="C41" i="69"/>
  <c r="C49" i="69" s="1"/>
  <c r="C51" i="69" s="1"/>
  <c r="C41" i="11"/>
  <c r="C49" i="11" s="1"/>
  <c r="C51" i="11" s="1"/>
  <c r="C52" i="11" s="1"/>
  <c r="B2" i="11" s="1"/>
  <c r="B3" i="11" s="1"/>
  <c r="C46" i="68"/>
  <c r="C45" i="68" s="1"/>
  <c r="C28" i="69"/>
  <c r="C27" i="69" s="1"/>
  <c r="C25" i="69"/>
  <c r="C22" i="69" s="1"/>
  <c r="I65" i="40"/>
  <c r="J63" i="40"/>
  <c r="J68" i="39"/>
  <c r="I70" i="39"/>
  <c r="B2" i="76"/>
  <c r="B3" i="43"/>
  <c r="J16" i="67"/>
  <c r="J25" i="67" s="1"/>
  <c r="J16" i="15"/>
  <c r="J25" i="15" s="1"/>
  <c r="Q69" i="15"/>
  <c r="Q68" i="15" s="1"/>
  <c r="C40" i="15"/>
  <c r="C40" i="67"/>
  <c r="C58" i="15"/>
  <c r="C67" i="15" s="1"/>
  <c r="C68" i="15" s="1"/>
  <c r="E6" i="76"/>
  <c r="L51" i="15"/>
  <c r="L51" i="67"/>
  <c r="Q68" i="67" l="1"/>
  <c r="C80" i="67"/>
  <c r="C79" i="67" s="1"/>
  <c r="C25" i="68"/>
  <c r="C22" i="68" s="1"/>
  <c r="C31" i="68" s="1"/>
  <c r="E2" i="76"/>
  <c r="B3" i="76" s="1"/>
  <c r="C49" i="68"/>
  <c r="C51" i="68" s="1"/>
  <c r="C31" i="69"/>
  <c r="C52" i="69" s="1"/>
  <c r="C57" i="69" s="1"/>
  <c r="C56" i="69" s="1"/>
  <c r="C56" i="11"/>
  <c r="C57" i="11" s="1"/>
  <c r="K63" i="40"/>
  <c r="J65" i="40"/>
  <c r="K68" i="39"/>
  <c r="J70" i="39"/>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D19" i="9"/>
  <c r="AO6" i="1"/>
  <c r="D102" i="9" l="1"/>
  <c r="D21" i="9"/>
  <c r="B6" i="70"/>
  <c r="B2" i="70" s="1"/>
  <c r="B3" i="70" s="1"/>
  <c r="B3" i="15"/>
  <c r="B2" i="69"/>
  <c r="B3" i="69" s="1"/>
  <c r="C52" i="68"/>
  <c r="B2" i="68" s="1"/>
  <c r="L63" i="40"/>
  <c r="K65" i="40"/>
  <c r="L68" i="39"/>
  <c r="K70" i="39"/>
  <c r="Q57" i="15"/>
  <c r="Q66" i="15"/>
  <c r="Q75" i="15" s="1"/>
  <c r="Q66" i="67"/>
  <c r="Q75" i="67" s="1"/>
  <c r="Q57" i="67"/>
  <c r="Q62" i="67" s="1"/>
  <c r="Q62" i="15"/>
  <c r="B2" i="67"/>
  <c r="B3" i="67"/>
  <c r="D20" i="9"/>
  <c r="C19" i="9"/>
  <c r="B3" i="68"/>
  <c r="C20" i="9"/>
  <c r="D103" i="9" l="1"/>
  <c r="G20" i="9"/>
  <c r="C103" i="9"/>
  <c r="C102" i="9"/>
  <c r="D22" i="9"/>
  <c r="G19" i="9"/>
  <c r="C21" i="9"/>
  <c r="C57" i="68"/>
  <c r="M63" i="40"/>
  <c r="L65" i="40"/>
  <c r="M68" i="39"/>
  <c r="L70" i="39"/>
  <c r="D35" i="9"/>
  <c r="C56" i="68" l="1"/>
  <c r="C32" i="9"/>
  <c r="G21" i="9"/>
  <c r="N63" i="40"/>
  <c r="M65" i="40"/>
  <c r="N68" i="39"/>
  <c r="M70" i="39"/>
  <c r="D34" i="9"/>
  <c r="C35" i="9" l="1"/>
  <c r="F118" i="9" s="1"/>
  <c r="H118" i="9"/>
  <c r="J7" i="40"/>
  <c r="N65" i="40"/>
  <c r="O63" i="40"/>
  <c r="O65" i="40" s="1"/>
  <c r="F7" i="40" s="1"/>
  <c r="O68" i="39"/>
  <c r="O70" i="39" s="1"/>
  <c r="N70" i="39"/>
  <c r="C34" i="9" l="1"/>
  <c r="D118" i="9" s="1"/>
  <c r="D119" i="9" s="1"/>
  <c r="D5" i="52" s="1"/>
  <c r="B49" i="72" s="1"/>
  <c r="F4" i="52"/>
  <c r="B51" i="72" s="1"/>
  <c r="G118" i="9"/>
  <c r="G4" i="52" s="1"/>
  <c r="B52" i="72" s="1"/>
  <c r="F119" i="9"/>
  <c r="F5" i="52" s="1"/>
  <c r="B53" i="72" s="1"/>
  <c r="I118" i="9"/>
  <c r="H101" i="9"/>
  <c r="H4" i="52"/>
  <c r="D14" i="74"/>
  <c r="C104" i="9"/>
  <c r="H119" i="9"/>
  <c r="H5" i="52" s="1"/>
  <c r="S7" i="40"/>
  <c r="AA7" i="40"/>
  <c r="R42" i="40" s="1"/>
  <c r="H7" i="40"/>
  <c r="W7" i="40"/>
  <c r="AC7" i="40"/>
  <c r="V42" i="40" s="1"/>
  <c r="I42" i="40" s="1"/>
  <c r="F7" i="39"/>
  <c r="J7" i="39"/>
  <c r="H7" i="39"/>
  <c r="D4" i="52" l="1"/>
  <c r="B47" i="72" s="1"/>
  <c r="E14" i="74"/>
  <c r="F14" i="74"/>
  <c r="B5" i="74"/>
  <c r="D45" i="9"/>
  <c r="M48" i="9"/>
  <c r="H107" i="9"/>
  <c r="D5" i="53"/>
  <c r="I4" i="52"/>
  <c r="E118" i="9"/>
  <c r="E4" i="52" s="1"/>
  <c r="B48" i="72" s="1"/>
  <c r="C105" i="9"/>
  <c r="H102" i="9"/>
  <c r="D7" i="53" s="1"/>
  <c r="B21" i="72" s="1"/>
  <c r="E42" i="40"/>
  <c r="R43" i="40"/>
  <c r="I47" i="40"/>
  <c r="J47" i="40" s="1"/>
  <c r="I46" i="40"/>
  <c r="J46" i="40" s="1"/>
  <c r="U7" i="40"/>
  <c r="AB7" i="40"/>
  <c r="T42" i="40" s="1"/>
  <c r="G42" i="40" s="1"/>
  <c r="AB7" i="39"/>
  <c r="T47" i="39" s="1"/>
  <c r="G47" i="39" s="1"/>
  <c r="U7" i="39"/>
  <c r="AC7" i="39"/>
  <c r="V47" i="39" s="1"/>
  <c r="I47" i="39" s="1"/>
  <c r="W7" i="39"/>
  <c r="S7" i="39"/>
  <c r="AA7" i="39"/>
  <c r="R47" i="39" s="1"/>
  <c r="B20" i="72" l="1"/>
  <c r="D6" i="53"/>
  <c r="B22" i="72" s="1"/>
  <c r="D5" i="74"/>
  <c r="C5" i="74"/>
  <c r="H108" i="9"/>
  <c r="D15" i="53" s="1"/>
  <c r="B31" i="72" s="1"/>
  <c r="D122" i="9"/>
  <c r="D13" i="53"/>
  <c r="D55" i="9"/>
  <c r="M53" i="9" s="1"/>
  <c r="C93" i="9"/>
  <c r="C86" i="9" s="1"/>
  <c r="C78" i="9"/>
  <c r="C73" i="9" s="1"/>
  <c r="D53" i="9"/>
  <c r="C64" i="9"/>
  <c r="C63" i="9" s="1"/>
  <c r="C67" i="9" s="1"/>
  <c r="C68" i="9" s="1"/>
  <c r="D54" i="9" s="1"/>
  <c r="D52" i="9"/>
  <c r="C85" i="9"/>
  <c r="C72" i="9"/>
  <c r="G47" i="40"/>
  <c r="H47" i="40" s="1"/>
  <c r="G46" i="40"/>
  <c r="H46" i="40" s="1"/>
  <c r="C43" i="40"/>
  <c r="C42" i="40"/>
  <c r="E47" i="40"/>
  <c r="F47" i="40" s="1"/>
  <c r="E46" i="40"/>
  <c r="F46" i="40" s="1"/>
  <c r="I51" i="39"/>
  <c r="J51" i="39" s="1"/>
  <c r="E47" i="39"/>
  <c r="I52" i="39" s="1"/>
  <c r="J52" i="39" s="1"/>
  <c r="R48" i="39"/>
  <c r="G51" i="39"/>
  <c r="H51" i="39" s="1"/>
  <c r="G52" i="39"/>
  <c r="H52" i="39" s="1"/>
  <c r="C79" i="9" l="1"/>
  <c r="C80" i="9" s="1"/>
  <c r="E80" i="9" s="1"/>
  <c r="E81" i="9" s="1"/>
  <c r="D14" i="53"/>
  <c r="B32" i="72" s="1"/>
  <c r="B30" i="72"/>
  <c r="C95" i="9"/>
  <c r="D8" i="52"/>
  <c r="D123" i="9"/>
  <c r="D9" i="52" s="1"/>
  <c r="G14" i="74"/>
  <c r="B6" i="74"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81" i="9" l="1"/>
  <c r="C96" i="9"/>
  <c r="E96" i="9" s="1"/>
  <c r="E97" i="9" s="1"/>
  <c r="C6" i="74"/>
  <c r="D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Administrator</author>
  </authors>
  <commentList>
    <comment ref="H4" authorId="0">
      <text>
        <r>
          <rPr>
            <b/>
            <sz val="9"/>
            <color indexed="81"/>
            <rFont val="宋体"/>
            <family val="3"/>
            <charset val="134"/>
          </rPr>
          <t>Administrator:</t>
        </r>
        <r>
          <rPr>
            <sz val="9"/>
            <color indexed="81"/>
            <rFont val="宋体"/>
            <family val="3"/>
            <charset val="134"/>
          </rPr>
          <t xml:space="preserve">
如宿舍楼等</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<sst xmlns="http://schemas.openxmlformats.org/spreadsheetml/2006/main" count="7394" uniqueCount="3153">
  <si>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</si>
  <si>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</si>
  <si>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</si>
  <si>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</si>
  <si>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</si>
  <si>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</si>
  <si>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</si>
  <si>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</si>
  <si>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</si>
  <si>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</si>
  <si>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</si>
  <si>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</si>
  <si>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</si>
  <si>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</si>
  <si>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</si>
  <si>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</si>
  <si>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</si>
  <si>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</si>
  <si>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</si>
  <si>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</si>
  <si>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</si>
  <si>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</si>
  <si>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</si>
  <si>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</si>
  <si>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</si>
  <si>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</si>
  <si>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</si>
  <si>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</si>
  <si>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</si>
  <si>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</si>
  <si>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</si>
  <si>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</si>
  <si>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</si>
  <si>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</si>
  <si>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</si>
  <si>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</si>
  <si>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</si>
  <si>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</si>
  <si>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</si>
  <si>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</si>
  <si>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</si>
  <si>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</si>
  <si>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</si>
  <si>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</si>
  <si>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</si>
  <si>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</si>
  <si>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</si>
  <si>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</si>
  <si>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</si>
  <si>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</si>
  <si>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</si>
  <si>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</si>
  <si>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</si>
  <si>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</si>
  <si>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</si>
  <si>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</si>
  <si>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</si>
  <si>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</si>
  <si>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</si>
  <si>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</si>
  <si>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</si>
  <si>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</si>
  <si>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</si>
  <si>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</si>
  <si>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</si>
  <si>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</si>
  <si>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</si>
  <si>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</si>
  <si>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</si>
  <si>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</si>
  <si>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</si>
  <si>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</si>
  <si>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</si>
  <si>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</si>
  <si>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</si>
  <si>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</si>
  <si>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</si>
  <si>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</si>
  <si>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</si>
  <si>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</si>
  <si>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</si>
  <si>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</si>
  <si>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</si>
  <si>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</si>
  <si>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</si>
  <si>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</si>
  <si>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</si>
  <si>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</si>
  <si>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</si>
  <si>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</si>
  <si>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</si>
  <si>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</si>
  <si>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</si>
  <si>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</si>
  <si>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</si>
  <si>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</si>
  <si>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</si>
  <si>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</si>
  <si>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</si>
  <si>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</si>
  <si>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</si>
  <si>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</si>
  <si>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</si>
  <si>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</si>
  <si>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</si>
  <si>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</si>
  <si>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</si>
  <si>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</si>
  <si>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</si>
  <si>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</si>
  <si>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</si>
  <si>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</si>
  <si>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</si>
  <si>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</si>
  <si>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</si>
  <si>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</si>
  <si>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</si>
  <si>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</si>
  <si>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</si>
  <si>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</si>
  <si>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</si>
  <si>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</si>
  <si>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</si>
  <si>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</si>
  <si>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</si>
  <si>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</si>
  <si>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</si>
  <si>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</si>
  <si>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</si>
  <si>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</si>
  <si>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</si>
  <si>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</si>
  <si>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</si>
  <si>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</si>
  <si>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</si>
  <si>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</si>
  <si>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</si>
  <si>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</si>
  <si>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</si>
  <si>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</si>
  <si>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</si>
  <si>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</si>
  <si>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</si>
  <si>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</si>
  <si>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</si>
  <si>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</si>
  <si>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</si>
  <si>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</si>
  <si>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</si>
  <si>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</si>
  <si>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</si>
  <si>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</si>
  <si>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</si>
  <si>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</si>
  <si>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</si>
  <si>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</si>
  <si>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</si>
  <si>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</si>
  <si>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</si>
  <si>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</si>
  <si>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</si>
  <si>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</si>
  <si>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</si>
  <si>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</si>
  <si>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</si>
  <si>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</si>
  <si>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</si>
  <si>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</si>
  <si>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</si>
  <si>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</si>
  <si>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</si>
  <si>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</si>
  <si>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</si>
  <si>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</si>
  <si>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</si>
  <si>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</si>
  <si>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</si>
  <si>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</si>
  <si>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</si>
  <si>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</si>
  <si>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</si>
  <si>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</si>
  <si>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</si>
  <si>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</si>
  <si>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</si>
  <si>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</si>
  <si>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</si>
  <si>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</si>
  <si>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</si>
  <si>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</si>
  <si>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</si>
  <si>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</si>
  <si>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</si>
  <si>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</si>
  <si>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</si>
  <si>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</si>
  <si>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</si>
  <si>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</si>
  <si>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</si>
  <si>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</si>
  <si>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</si>
  <si>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</si>
  <si>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</si>
  <si>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</si>
  <si>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</si>
  <si>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</si>
  <si>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</si>
  <si>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</si>
  <si>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</si>
  <si>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</si>
  <si>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</si>
  <si>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</si>
  <si>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</si>
  <si>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</si>
  <si>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</si>
  <si>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</si>
  <si>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</si>
  <si>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</si>
  <si>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</si>
  <si>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</si>
  <si>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</si>
  <si>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</si>
  <si>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</si>
  <si>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</si>
  <si>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</si>
  <si>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</si>
  <si>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</si>
  <si>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</si>
  <si>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</si>
  <si>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</si>
  <si>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</si>
  <si>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</si>
  <si>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</si>
  <si>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</si>
  <si>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</si>
  <si>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</si>
  <si>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</si>
  <si>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</si>
  <si>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</si>
  <si>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</si>
  <si>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</si>
  <si>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</si>
  <si>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</si>
  <si>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</si>
  <si>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</si>
  <si>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</si>
  <si>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</si>
  <si>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</si>
  <si>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</si>
  <si>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</si>
  <si>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</si>
  <si>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</si>
  <si>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</si>
  <si>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</si>
  <si>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</si>
  <si>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</si>
  <si>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</si>
  <si>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</si>
  <si>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</si>
  <si>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</si>
  <si>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</si>
  <si>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</si>
  <si>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</si>
  <si>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</si>
  <si>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</si>
  <si>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</si>
  <si>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</si>
  <si>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</si>
  <si>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</si>
  <si>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</si>
  <si>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</si>
  <si>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</si>
  <si>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</si>
  <si>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</si>
  <si>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</si>
  <si>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</si>
  <si>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</si>
  <si>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</si>
  <si>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</si>
  <si>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</si>
  <si>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</si>
  <si>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</si>
  <si>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</si>
  <si>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</si>
  <si>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</si>
  <si>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</si>
  <si>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</si>
  <si>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</si>
  <si>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</si>
  <si>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</si>
  <si>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</si>
  <si>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</si>
  <si>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</si>
  <si>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</si>
  <si>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</si>
  <si>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</si>
  <si>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</si>
  <si>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</si>
  <si>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</si>
  <si>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</si>
  <si>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</si>
  <si>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</si>
  <si>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</si>
  <si>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</si>
  <si>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</si>
  <si>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</si>
  <si>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</si>
  <si>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</si>
  <si>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</si>
  <si>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</si>
  <si>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</si>
  <si>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</si>
  <si>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</si>
  <si>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</si>
  <si>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</si>
  <si>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</si>
  <si>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</si>
  <si>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</si>
  <si>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</si>
  <si>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</si>
  <si>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</si>
  <si>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</si>
  <si>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</si>
  <si>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</si>
  <si>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</si>
  <si>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</si>
  <si>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</si>
  <si>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</si>
  <si>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</si>
  <si>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</si>
  <si>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</si>
  <si>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</si>
  <si>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</si>
  <si>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</si>
  <si>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</si>
  <si>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</si>
  <si>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</si>
  <si>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</si>
  <si>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</si>
  <si>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</si>
  <si>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</si>
  <si>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</si>
  <si>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</si>
  <si>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</si>
  <si>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</si>
  <si>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</si>
  <si>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</si>
  <si>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</si>
  <si>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</si>
  <si>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</si>
  <si>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</si>
  <si>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</si>
  <si>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</si>
  <si>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</si>
  <si>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</si>
  <si>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</si>
  <si>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</si>
  <si>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</si>
  <si>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</si>
  <si>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</si>
  <si>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</si>
  <si>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</si>
  <si>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</si>
  <si>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</si>
  <si>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</si>
  <si>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</si>
  <si>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</si>
  <si>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</si>
  <si>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</si>
  <si>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</si>
  <si>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</si>
  <si>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</si>
  <si>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</si>
  <si>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</si>
  <si>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</si>
  <si>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</si>
  <si>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</si>
  <si>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</si>
  <si>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</si>
  <si>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</si>
  <si>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</si>
  <si>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</si>
  <si>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</si>
  <si>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</si>
  <si>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</si>
  <si>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</si>
  <si>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</si>
  <si>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</si>
  <si>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</si>
  <si>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</si>
  <si>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</si>
  <si>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</si>
  <si>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</si>
  <si>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</si>
  <si>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</si>
  <si>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</si>
  <si>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</si>
  <si>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</si>
  <si>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</si>
  <si>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</si>
  <si>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</si>
  <si>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</si>
  <si>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</si>
  <si>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</si>
  <si>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</si>
  <si>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</si>
  <si>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</si>
  <si>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</si>
  <si>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</si>
  <si>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</si>
  <si>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</si>
  <si>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</si>
  <si>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</si>
  <si>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</si>
  <si>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</si>
  <si>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</si>
  <si>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</si>
  <si>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</si>
  <si>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</si>
  <si>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</si>
  <si>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</si>
  <si>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</si>
  <si>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</si>
  <si>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</si>
  <si>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</si>
  <si>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</si>
  <si>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</si>
  <si>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</si>
  <si>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</si>
  <si>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</si>
  <si>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</si>
  <si>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</si>
  <si>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</si>
  <si>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</si>
  <si>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</si>
  <si>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</si>
  <si>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</si>
  <si>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</si>
  <si>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</si>
  <si>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</si>
  <si>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</si>
  <si>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</si>
  <si>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</si>
  <si>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</si>
  <si>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</si>
  <si>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</si>
  <si>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</si>
  <si>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</si>
  <si>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</si>
  <si>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</si>
  <si>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</si>
  <si>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</si>
  <si>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</si>
  <si>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</si>
  <si>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</si>
  <si>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</si>
  <si>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</si>
  <si>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</si>
  <si>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</si>
  <si>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</si>
  <si>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</si>
  <si>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</si>
  <si>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</si>
  <si>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</si>
  <si>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</si>
  <si>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</si>
  <si>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</si>
  <si>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</si>
  <si>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</si>
  <si>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</si>
  <si>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</si>
  <si>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</si>
  <si>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</si>
  <si>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</si>
  <si>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</si>
  <si>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</si>
  <si>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</si>
  <si>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</si>
  <si>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</si>
  <si>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</si>
  <si>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</si>
  <si>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</si>
  <si>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</si>
  <si>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</si>
  <si>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</si>
  <si>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</si>
  <si>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</si>
  <si>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</si>
  <si>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</si>
  <si>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</si>
  <si>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</si>
  <si>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</si>
  <si>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</si>
  <si>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</si>
  <si>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</si>
  <si>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</si>
  <si>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</si>
  <si>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</si>
  <si>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</si>
  <si>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</si>
  <si>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</si>
  <si>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</si>
  <si>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</si>
  <si>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</si>
  <si>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</si>
  <si>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</si>
  <si>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</si>
  <si>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</si>
  <si>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</si>
  <si>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</si>
  <si>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</si>
  <si>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</si>
  <si>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</si>
  <si>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</si>
  <si>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</si>
  <si>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</si>
  <si>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</si>
  <si>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</si>
  <si>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</si>
  <si>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</si>
  <si>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</si>
  <si>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</si>
  <si>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</si>
  <si>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</si>
  <si>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</si>
  <si>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</si>
  <si>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</si>
  <si>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</si>
  <si>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</si>
  <si>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</si>
  <si>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</si>
  <si>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</si>
  <si>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</si>
  <si>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</si>
  <si>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</si>
  <si>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</si>
  <si>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</si>
  <si>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</si>
  <si>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</si>
  <si>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</si>
  <si>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</si>
  <si>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</si>
  <si>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</si>
  <si>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</si>
  <si>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</si>
  <si>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</si>
  <si>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</si>
  <si>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</si>
  <si>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</si>
  <si>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</si>
  <si>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</si>
  <si>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</si>
  <si>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</si>
  <si>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</si>
  <si>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</si>
  <si>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</si>
  <si>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</si>
  <si>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</si>
  <si>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</si>
  <si>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</si>
  <si>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</si>
  <si>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</si>
  <si>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</si>
  <si>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</si>
  <si>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</si>
  <si>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</si>
  <si>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</si>
  <si>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</si>
  <si>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</si>
  <si>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</si>
  <si>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</si>
  <si>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</si>
  <si>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</si>
  <si>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</si>
  <si>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</si>
  <si>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</si>
  <si>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</si>
  <si>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</si>
  <si>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</si>
  <si>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</si>
  <si>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</si>
  <si>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</si>
  <si>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</si>
  <si>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</si>
  <si>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</si>
  <si>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</si>
  <si>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</si>
  <si>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</si>
  <si>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</si>
  <si>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</si>
  <si>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</si>
  <si>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</si>
  <si>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</si>
  <si>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</si>
  <si>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</si>
  <si>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</si>
  <si>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</si>
  <si>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</si>
  <si>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</si>
  <si>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</si>
  <si>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</si>
  <si>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</si>
  <si>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</si>
  <si>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</si>
  <si>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</si>
  <si>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</si>
  <si>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</si>
  <si>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</si>
  <si>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</si>
  <si>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</si>
  <si>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</si>
  <si>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</si>
  <si>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</si>
  <si>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</si>
  <si>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</si>
  <si>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</si>
  <si>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</si>
  <si>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</si>
  <si>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</si>
  <si>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</si>
  <si>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</si>
  <si>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</si>
  <si>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</si>
  <si>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</si>
  <si>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</si>
  <si>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</si>
  <si>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</si>
  <si>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</si>
  <si>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</si>
  <si>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</si>
  <si>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</si>
  <si>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</si>
  <si>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</si>
  <si>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</si>
  <si>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</si>
  <si>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</si>
  <si>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</si>
  <si>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</si>
  <si>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</si>
  <si>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</si>
  <si>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</si>
  <si>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</si>
  <si>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</si>
  <si>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</si>
  <si>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</si>
  <si>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</si>
  <si>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</si>
  <si>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</si>
  <si>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</si>
  <si>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</si>
  <si>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</si>
  <si>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</si>
  <si>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</si>
  <si>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</si>
  <si>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</si>
  <si>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</si>
  <si>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</si>
  <si>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</si>
  <si>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</si>
  <si>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</si>
  <si>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</si>
  <si>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</si>
  <si>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</si>
  <si>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</si>
  <si>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</si>
  <si>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</si>
  <si>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</si>
  <si>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</si>
  <si>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</si>
  <si>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</si>
  <si>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</si>
  <si>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</si>
  <si>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</si>
  <si>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</si>
  <si>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</si>
  <si>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</si>
  <si>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</si>
  <si>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</si>
  <si>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</si>
  <si>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</si>
  <si>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</si>
  <si>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</si>
  <si>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</si>
  <si>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</si>
  <si>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</si>
  <si>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</si>
  <si>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</si>
  <si>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</si>
  <si>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</si>
  <si>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</si>
  <si>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</si>
  <si>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</si>
  <si>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</si>
  <si>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</si>
  <si>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</si>
  <si>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</si>
  <si>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</si>
  <si>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</si>
  <si>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</si>
  <si>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</si>
  <si>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</si>
  <si>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</si>
  <si>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</si>
  <si>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</si>
  <si>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</si>
  <si>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</si>
  <si>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</si>
  <si>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</si>
  <si>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</si>
  <si>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</si>
  <si>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</si>
  <si>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</si>
  <si>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</si>
  <si>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</si>
  <si>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</si>
  <si>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</si>
  <si>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</si>
  <si>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</si>
  <si>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</si>
  <si>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</si>
  <si>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</si>
  <si>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</si>
  <si>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</si>
  <si>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</si>
  <si>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</si>
  <si>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</si>
  <si>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</si>
  <si>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</si>
  <si>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</si>
  <si>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</si>
  <si>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</si>
  <si>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</si>
  <si>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</si>
  <si>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</si>
  <si>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</si>
  <si>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</si>
  <si>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</si>
  <si>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</si>
  <si>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</si>
  <si>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</si>
  <si>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</si>
  <si>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</si>
  <si>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</si>
  <si>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</si>
  <si>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</si>
  <si>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</si>
  <si>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</si>
  <si>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</si>
  <si>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</si>
  <si>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</si>
  <si>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</si>
  <si>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</si>
  <si>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</si>
  <si>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</si>
  <si>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</si>
  <si>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</si>
  <si>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</si>
  <si>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</si>
  <si>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</si>
  <si>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</si>
  <si>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</si>
  <si>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</si>
  <si>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</si>
  <si>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</si>
  <si>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</si>
  <si>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</si>
  <si>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</si>
  <si>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</si>
  <si>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</si>
  <si>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</si>
  <si>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</si>
  <si>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</si>
  <si>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</si>
  <si>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</si>
  <si>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</si>
  <si>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</si>
  <si>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</si>
  <si>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</si>
  <si>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</si>
  <si>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</si>
  <si>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</si>
  <si>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</si>
  <si>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</si>
  <si>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</si>
  <si>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</si>
  <si>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</si>
  <si>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</si>
  <si>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</si>
  <si>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</si>
  <si>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</si>
  <si>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</si>
  <si>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</si>
  <si>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</si>
  <si>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</si>
  <si>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</si>
  <si>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</si>
  <si>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</si>
  <si>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</si>
  <si>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</si>
  <si>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</si>
  <si>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</si>
  <si>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</si>
  <si>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</si>
  <si>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</si>
  <si>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</si>
  <si>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</si>
  <si>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</si>
  <si>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</si>
  <si>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</si>
  <si>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</si>
  <si>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</si>
  <si>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</si>
  <si>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</si>
  <si>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</si>
  <si>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</si>
  <si>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</si>
  <si>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</si>
  <si>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</si>
  <si>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</si>
  <si>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</si>
  <si>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</si>
  <si>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</si>
  <si>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</si>
  <si>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</si>
  <si>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</si>
  <si>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</si>
  <si>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</si>
  <si>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</si>
  <si>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</si>
  <si>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</si>
  <si>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</si>
  <si>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</si>
  <si>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</si>
  <si>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</si>
  <si>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</si>
  <si>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</si>
  <si>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</si>
  <si>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</si>
  <si>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</si>
  <si>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</si>
  <si>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</si>
  <si>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</si>
  <si>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</si>
  <si>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</si>
  <si>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</si>
  <si>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</si>
  <si>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</si>
  <si>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</si>
  <si>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</si>
  <si>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</si>
  <si>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</si>
  <si>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</si>
  <si>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</si>
  <si>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</si>
  <si>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</si>
  <si>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</si>
  <si>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</si>
  <si>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</si>
  <si>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</si>
  <si>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</si>
  <si>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</si>
  <si>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</si>
  <si>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</si>
  <si>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</si>
  <si>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</si>
  <si>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</si>
  <si>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</si>
  <si>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</si>
  <si>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</si>
  <si>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</si>
  <si>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</si>
  <si>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</si>
  <si>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</si>
  <si>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</si>
  <si>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</si>
  <si>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</si>
  <si>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</si>
  <si>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</si>
  <si>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</si>
  <si>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</si>
  <si>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</si>
  <si>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</si>
  <si>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</si>
  <si>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</si>
  <si>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</si>
  <si>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</si>
  <si>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</si>
  <si>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</si>
  <si>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</si>
  <si>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</si>
  <si>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</si>
  <si>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</si>
  <si>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</si>
  <si>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</si>
  <si>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</si>
  <si>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</si>
  <si>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</si>
  <si>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</si>
  <si>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</si>
  <si>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</si>
  <si>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</si>
  <si>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</si>
  <si>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</si>
  <si>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</si>
  <si>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</si>
  <si>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</si>
  <si>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</si>
  <si>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</si>
  <si>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</si>
  <si>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</si>
  <si>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</si>
  <si>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</si>
  <si>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</si>
  <si>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</si>
  <si>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</si>
  <si>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</si>
  <si>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</si>
  <si>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</si>
  <si>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</si>
  <si>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</si>
  <si>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</si>
  <si>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</si>
  <si>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</si>
  <si>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</si>
  <si>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</si>
  <si>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</si>
  <si>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</si>
  <si>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</si>
  <si>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</si>
  <si>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</si>
  <si>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</si>
  <si>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</si>
  <si>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</si>
  <si>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</si>
  <si>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</si>
  <si>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</si>
  <si>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</si>
  <si>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</si>
  <si>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</si>
  <si>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</si>
  <si>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</si>
  <si>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</si>
  <si>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</si>
  <si>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</si>
  <si>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</si>
  <si>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</si>
  <si>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</si>
  <si>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</si>
  <si>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</si>
  <si>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</si>
  <si>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</si>
  <si>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</si>
  <si>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</si>
  <si>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</si>
  <si>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</si>
  <si>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</si>
  <si>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</si>
  <si>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</si>
  <si>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</si>
  <si>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</si>
  <si>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</si>
  <si>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</si>
  <si>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</si>
  <si>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</si>
  <si>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</si>
  <si>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</si>
  <si>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</si>
  <si>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</si>
  <si>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</si>
  <si>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</si>
  <si>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</si>
  <si>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</si>
  <si>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</si>
  <si>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</si>
  <si>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</si>
  <si>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</si>
  <si>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</si>
  <si>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</si>
  <si>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</si>
  <si>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</si>
  <si>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</si>
  <si>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</si>
  <si>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</si>
  <si>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</si>
  <si>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</si>
  <si>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</si>
  <si>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</si>
  <si>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</si>
  <si>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</si>
  <si>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</si>
  <si>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</si>
  <si>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</si>
  <si>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</si>
  <si>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</si>
  <si>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</si>
  <si>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</si>
  <si>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</si>
  <si>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</si>
  <si>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</si>
  <si>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</si>
  <si>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</si>
  <si>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</si>
  <si>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</si>
  <si>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</si>
  <si>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</si>
  <si>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</si>
  <si>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</si>
  <si>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</si>
  <si>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</si>
  <si>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</si>
  <si>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</si>
  <si>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</si>
  <si>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</si>
  <si>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</si>
  <si>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</si>
  <si>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</si>
  <si>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</si>
  <si>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</si>
  <si>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</si>
  <si>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</si>
  <si>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</si>
  <si>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</si>
  <si>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</si>
  <si>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</si>
  <si>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</si>
  <si>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</si>
  <si>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</si>
  <si>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</si>
  <si>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</si>
  <si>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</si>
  <si>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</si>
  <si>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</si>
  <si>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</si>
  <si>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</si>
  <si>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</si>
  <si>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</si>
  <si>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</si>
  <si>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</si>
  <si>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</si>
  <si>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</si>
  <si>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</si>
  <si>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</si>
  <si>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</si>
  <si>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</si>
  <si>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</si>
  <si>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</si>
  <si>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</si>
  <si>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</si>
  <si>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</si>
  <si>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</si>
  <si>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</si>
  <si>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</si>
  <si>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</si>
  <si>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</si>
  <si>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</si>
  <si>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</si>
  <si>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</si>
  <si>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</si>
  <si>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</si>
  <si>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</si>
  <si>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</si>
  <si>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</si>
  <si>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</si>
  <si>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</si>
  <si>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</si>
  <si>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</si>
  <si>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</si>
  <si>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</si>
  <si>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</si>
  <si>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</si>
  <si>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</si>
  <si>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</si>
  <si>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</si>
  <si>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</si>
  <si>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</si>
  <si>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</si>
  <si>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</si>
  <si>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</si>
  <si>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</si>
  <si>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</si>
  <si>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</si>
  <si>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</si>
  <si>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</si>
  <si>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</si>
  <si>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</si>
  <si>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</si>
  <si>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</si>
  <si>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</si>
  <si>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</si>
  <si>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</si>
  <si>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</si>
  <si>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</si>
  <si>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</si>
  <si>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</si>
  <si>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</si>
  <si>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</si>
  <si>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</si>
  <si>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</si>
  <si>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</si>
  <si>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</si>
  <si>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</si>
  <si>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</si>
  <si>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</si>
  <si>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</si>
  <si>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</si>
  <si>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</si>
  <si>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</si>
  <si>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</si>
  <si>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</si>
  <si>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</si>
  <si>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</si>
  <si>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</si>
  <si>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</si>
  <si>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</si>
  <si>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</si>
  <si>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</si>
  <si>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</si>
  <si>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</si>
  <si>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</si>
  <si>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</si>
  <si>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</si>
  <si>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</si>
  <si>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</si>
  <si>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</si>
  <si>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</si>
  <si>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</si>
  <si>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</si>
  <si>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</si>
  <si>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</si>
  <si>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</si>
  <si>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</si>
  <si>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</si>
  <si>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</si>
  <si>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</si>
  <si>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</si>
  <si>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</si>
  <si>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</si>
  <si>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</si>
  <si>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</si>
  <si>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</si>
  <si>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</si>
  <si>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</si>
  <si>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</si>
  <si>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</si>
  <si>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</si>
  <si>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</si>
  <si>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</si>
  <si>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</si>
  <si>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</si>
  <si>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</si>
  <si>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</si>
  <si>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</si>
  <si>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</si>
  <si>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</si>
  <si>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</si>
  <si>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</si>
  <si>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</si>
  <si>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</si>
  <si>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</si>
  <si>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</si>
  <si>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</si>
  <si>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</si>
  <si>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</si>
  <si>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</si>
  <si>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</si>
  <si>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</si>
  <si>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</si>
  <si>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</si>
  <si>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</si>
  <si>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</si>
  <si>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</si>
  <si>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</si>
  <si>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</si>
  <si>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</si>
  <si>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</si>
  <si>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</si>
  <si>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</si>
  <si>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</si>
  <si>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</si>
  <si>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</si>
  <si>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</si>
  <si>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</si>
  <si>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</si>
  <si>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</si>
  <si>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</si>
  <si>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</si>
  <si>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</si>
  <si>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</si>
  <si>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</si>
  <si>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</si>
  <si>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</si>
  <si>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</si>
  <si>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</si>
  <si>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</si>
  <si>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</si>
  <si>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</si>
  <si>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</si>
  <si>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</si>
  <si>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</si>
  <si>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</si>
  <si>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</si>
  <si>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</si>
  <si>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</si>
  <si>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</si>
  <si>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</si>
  <si>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</si>
  <si>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</si>
  <si>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</si>
  <si>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</si>
  <si>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</si>
  <si>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</si>
  <si>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</si>
  <si>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</si>
  <si>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</si>
  <si>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</si>
  <si>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</si>
  <si>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</si>
  <si>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</si>
  <si>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</si>
  <si>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</si>
  <si>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</si>
  <si>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</si>
  <si>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</si>
  <si>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</si>
  <si>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</si>
  <si>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</si>
  <si>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</si>
  <si>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</si>
  <si>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</si>
  <si>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</si>
  <si>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</si>
  <si>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</si>
  <si>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</si>
  <si>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</si>
  <si>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</si>
  <si>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</si>
  <si>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</si>
  <si>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</si>
  <si>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</si>
  <si>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</si>
  <si>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</si>
  <si>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</si>
  <si>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</si>
  <si>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</si>
  <si>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</si>
  <si>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</si>
  <si>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</si>
  <si>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</si>
  <si>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</si>
  <si>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</si>
  <si>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</si>
  <si>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</si>
  <si>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</si>
  <si>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</si>
  <si>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</si>
  <si>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</si>
  <si>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</si>
  <si>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</si>
  <si>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</si>
  <si>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</si>
  <si>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</si>
  <si>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</si>
  <si>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</si>
  <si>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</si>
  <si>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</si>
  <si>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</si>
  <si>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</si>
  <si>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</si>
  <si>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</si>
  <si>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</si>
  <si>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</si>
  <si>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</si>
  <si>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</si>
  <si>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</si>
  <si>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</si>
  <si>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</si>
  <si>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</si>
  <si>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</si>
  <si>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</si>
  <si>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</si>
  <si>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</si>
  <si>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</si>
  <si>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</si>
  <si>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</si>
  <si>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</si>
  <si>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</si>
  <si>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</si>
  <si>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</si>
  <si>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</si>
  <si>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</si>
  <si>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</si>
  <si>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</si>
  <si>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</si>
  <si>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</si>
  <si>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</si>
  <si>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</si>
  <si>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</si>
  <si>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</si>
  <si>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</si>
  <si>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</si>
  <si>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</si>
  <si>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</si>
  <si>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</si>
  <si>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</si>
  <si>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</si>
  <si>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</si>
  <si>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</si>
  <si>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</si>
  <si>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</si>
  <si>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</si>
  <si>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</si>
  <si>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</si>
  <si>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</si>
  <si>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</si>
  <si>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</si>
  <si>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</si>
  <si>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</si>
  <si>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</si>
  <si>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</si>
  <si>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</si>
  <si>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</si>
  <si>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</si>
  <si>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</si>
  <si>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</si>
  <si>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</si>
  <si>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</si>
  <si>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</si>
  <si>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</si>
  <si>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</si>
  <si>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</si>
  <si>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</si>
  <si>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</si>
  <si>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</si>
  <si>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</si>
  <si>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</si>
  <si>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</si>
  <si>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</si>
  <si>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</si>
  <si>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</si>
  <si>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</si>
  <si>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</si>
  <si>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</si>
  <si>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</si>
  <si>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</si>
  <si>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</si>
  <si>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</si>
  <si>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</si>
  <si>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</si>
  <si>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</si>
  <si>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</si>
  <si>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</si>
  <si>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</si>
  <si>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</si>
  <si>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</si>
  <si>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</si>
  <si>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</si>
  <si>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</si>
  <si>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</si>
  <si>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</si>
  <si>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</si>
  <si>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</si>
  <si>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</si>
  <si>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</si>
  <si>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</si>
  <si>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</si>
  <si>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</si>
  <si>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</si>
  <si>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</si>
  <si>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</si>
  <si>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</si>
  <si>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</si>
  <si>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</si>
  <si>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</si>
  <si>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</si>
  <si>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</si>
  <si>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</si>
  <si>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</si>
  <si>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</si>
  <si>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</si>
  <si>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</si>
  <si>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</si>
  <si>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</si>
  <si>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</si>
  <si>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</si>
  <si>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</si>
  <si>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</si>
  <si>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</si>
  <si>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</si>
  <si>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</si>
  <si>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</si>
  <si>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</si>
  <si>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</si>
  <si>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</si>
  <si>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</si>
  <si>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</si>
  <si>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</si>
  <si>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</si>
  <si>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</si>
  <si>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</si>
  <si>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</si>
  <si>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</si>
  <si>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</si>
  <si>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</si>
  <si>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</si>
  <si>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</si>
  <si>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</si>
  <si>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</si>
  <si>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</si>
  <si>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</si>
  <si>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</si>
  <si>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</si>
  <si>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</si>
  <si>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</si>
  <si>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</si>
  <si>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</si>
  <si>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</si>
  <si>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</si>
  <si>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</si>
  <si>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</si>
  <si>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</si>
  <si>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</si>
  <si>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</si>
  <si>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</si>
  <si>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</si>
  <si>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</si>
  <si>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</si>
  <si>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</si>
  <si>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</si>
  <si>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</si>
  <si>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</si>
  <si>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</si>
  <si>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</si>
  <si>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</si>
  <si>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</si>
  <si>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</si>
  <si>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</si>
  <si>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</si>
  <si>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</si>
  <si>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</si>
  <si>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</si>
  <si>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</si>
  <si>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</si>
  <si>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</si>
  <si>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</si>
  <si>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</si>
  <si>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</si>
  <si>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</si>
  <si>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</si>
  <si>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</si>
  <si>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</si>
  <si>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</si>
  <si>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</si>
  <si>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</si>
  <si>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</si>
  <si>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</si>
  <si>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</si>
  <si>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</si>
  <si>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</si>
  <si>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</si>
  <si>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</si>
  <si>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</si>
  <si>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</si>
  <si>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</si>
  <si>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</si>
  <si>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</si>
  <si>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</si>
  <si>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</si>
  <si>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</si>
  <si>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</si>
  <si>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</si>
  <si>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</si>
  <si>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</si>
  <si>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</si>
  <si>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</si>
  <si>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</si>
  <si>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</si>
  <si>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</si>
  <si>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</si>
  <si>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</si>
  <si>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</si>
  <si>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</si>
  <si>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</si>
  <si>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</si>
  <si>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</si>
  <si>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</si>
  <si>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</si>
  <si>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</si>
  <si>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</si>
  <si>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</si>
  <si>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</si>
  <si>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</si>
  <si>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</si>
  <si>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</si>
  <si>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</si>
  <si>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</si>
  <si>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</si>
  <si>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</si>
  <si>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</si>
  <si>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</si>
  <si>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</si>
  <si>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</si>
  <si>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</si>
  <si>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</si>
  <si>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</si>
  <si>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</si>
  <si>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</si>
  <si>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</si>
  <si>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</si>
  <si>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</si>
  <si>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</si>
  <si>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</si>
  <si>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</si>
  <si>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</si>
  <si>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</si>
  <si>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</si>
  <si>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</si>
  <si>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</si>
  <si>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</si>
  <si>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</si>
  <si>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</si>
  <si>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</si>
  <si>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</si>
  <si>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</si>
  <si>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</si>
  <si>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</si>
  <si>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</si>
  <si>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</si>
  <si>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</si>
  <si>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</si>
  <si>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</si>
  <si>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</si>
  <si>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</si>
  <si>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</si>
  <si>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</si>
  <si>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</si>
  <si>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</si>
  <si>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</si>
  <si>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</si>
  <si>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</si>
  <si>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</si>
  <si>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</si>
  <si>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</si>
  <si>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</si>
  <si>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</si>
  <si>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</si>
  <si>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</si>
  <si>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</si>
  <si>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</si>
  <si>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</si>
  <si>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</si>
  <si>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</si>
  <si>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</si>
  <si>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</si>
  <si>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</si>
  <si>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</si>
  <si>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</si>
  <si>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</si>
  <si>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</si>
  <si>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</si>
  <si>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</si>
  <si>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</si>
  <si>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</si>
  <si>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</si>
  <si>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</si>
  <si>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</si>
  <si>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</si>
  <si>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</si>
  <si>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</si>
  <si>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</si>
  <si>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</si>
  <si>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</si>
  <si>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</si>
  <si>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</si>
  <si>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</si>
  <si>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</si>
  <si>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</si>
  <si>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</si>
  <si>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</si>
  <si>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</si>
  <si>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</si>
  <si>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</si>
  <si>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</si>
  <si>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</si>
  <si>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</si>
  <si>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</si>
  <si>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</si>
  <si>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</si>
  <si>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</si>
  <si>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</si>
  <si>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</si>
  <si>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</si>
  <si>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</si>
  <si>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</si>
  <si>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</si>
  <si>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</si>
  <si>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</si>
  <si>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</si>
  <si>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</si>
  <si>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</si>
  <si>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</si>
  <si>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</si>
  <si>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</si>
  <si>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</si>
  <si>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</si>
  <si>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</si>
  <si>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</si>
  <si>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</si>
  <si>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</si>
  <si>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</si>
  <si>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</si>
  <si>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</si>
  <si>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</si>
  <si>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</si>
  <si>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</si>
  <si>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</si>
  <si>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</si>
  <si>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</si>
  <si>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</si>
  <si>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</si>
  <si>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</si>
  <si>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</si>
  <si>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</si>
  <si>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</si>
  <si>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</si>
  <si>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</si>
  <si>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</si>
  <si>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</si>
  <si>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</si>
  <si>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</si>
  <si>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</si>
  <si>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</si>
  <si>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</si>
  <si>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</si>
  <si>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</si>
  <si>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</si>
  <si>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</si>
  <si>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</si>
  <si>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</si>
  <si>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</si>
  <si>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</si>
  <si>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</si>
  <si>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</si>
  <si>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</si>
  <si>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</si>
  <si>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</si>
  <si>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</si>
  <si>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</si>
  <si>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</si>
  <si>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</si>
  <si>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</si>
  <si>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</si>
  <si>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</si>
  <si>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</si>
  <si>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</si>
  <si>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</si>
  <si>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</si>
  <si>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</si>
  <si>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</si>
  <si>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</si>
  <si>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</si>
  <si>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</si>
  <si>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</si>
  <si>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</si>
  <si>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</si>
  <si>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</si>
  <si>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</si>
  <si>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</si>
  <si>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</si>
  <si>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</si>
  <si>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</si>
  <si>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</si>
  <si>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</si>
  <si>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</si>
  <si>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</si>
  <si>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</si>
  <si>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</si>
  <si>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</si>
  <si>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</si>
  <si>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</si>
  <si>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</si>
  <si>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</si>
  <si>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</si>
  <si>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</si>
  <si>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</si>
  <si>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</si>
  <si>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</si>
  <si>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</si>
  <si>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</si>
  <si>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</si>
  <si>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</si>
  <si>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</si>
  <si>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</si>
  <si>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</si>
  <si>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</si>
  <si>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</si>
  <si>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</si>
  <si>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</si>
  <si>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</si>
  <si>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</si>
  <si>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</si>
  <si>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</si>
  <si>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</si>
  <si>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</si>
  <si>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</si>
  <si>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</si>
  <si>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</si>
  <si>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</si>
  <si>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</si>
  <si>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</si>
  <si>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</si>
  <si>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</si>
  <si>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</si>
  <si>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</si>
  <si>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</si>
  <si>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</si>
  <si>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</si>
  <si>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</si>
  <si>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</si>
  <si>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</si>
  <si>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</si>
  <si>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</si>
  <si>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</si>
  <si>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</si>
  <si>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</si>
  <si>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</si>
  <si>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</si>
  <si>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</si>
  <si>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</si>
  <si>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</si>
  <si>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</si>
  <si>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</si>
  <si>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</si>
  <si>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</si>
  <si>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</si>
  <si>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</si>
  <si>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</si>
  <si>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</si>
  <si>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</si>
  <si>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</si>
  <si>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</si>
  <si>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</si>
  <si>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</si>
  <si>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</si>
  <si>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</si>
  <si>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</si>
  <si>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</si>
  <si>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</si>
  <si>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</si>
  <si>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</si>
  <si>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</si>
  <si>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</si>
  <si>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</si>
  <si>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</si>
  <si>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</si>
  <si>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</si>
  <si>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</si>
  <si>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</si>
  <si>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</si>
  <si>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</si>
  <si>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</si>
  <si>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</si>
  <si>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</si>
  <si>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</si>
  <si>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</si>
  <si>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</si>
  <si>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</si>
  <si>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</si>
  <si>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</si>
  <si>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</si>
  <si>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</si>
  <si>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</si>
  <si>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</si>
  <si>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</si>
  <si>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</si>
  <si>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</si>
  <si>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</si>
  <si>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</si>
  <si>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</si>
  <si>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</si>
  <si>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</si>
  <si>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</si>
  <si>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</si>
  <si>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</si>
  <si>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</si>
  <si>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</si>
  <si>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</si>
  <si>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</si>
  <si>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</si>
  <si>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</si>
  <si>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</si>
  <si>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</si>
  <si>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</si>
  <si>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</si>
  <si>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</si>
  <si>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</si>
  <si>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</si>
  <si>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</si>
  <si>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</si>
  <si>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</si>
  <si>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</si>
  <si>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</si>
  <si>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</si>
  <si>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</si>
  <si>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</si>
  <si>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</si>
  <si>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</si>
  <si>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</si>
  <si>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</si>
  <si>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</si>
  <si>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</si>
  <si>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</si>
  <si>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</si>
  <si>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</si>
  <si>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</si>
  <si>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</si>
  <si>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</si>
  <si>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</si>
  <si>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</si>
  <si>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</si>
  <si>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</si>
  <si>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</si>
  <si>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</si>
  <si>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</si>
  <si>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</si>
  <si>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</si>
  <si>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</si>
  <si>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</si>
  <si>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</si>
  <si>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</si>
  <si>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</si>
  <si>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</si>
  <si>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</si>
  <si>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</si>
  <si>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</si>
  <si>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</si>
  <si>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</si>
  <si>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</si>
  <si>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</si>
  <si>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</si>
  <si>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</si>
  <si>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</si>
  <si>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</si>
  <si>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</si>
  <si>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</si>
  <si>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</si>
  <si>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</si>
  <si>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</si>
  <si>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</si>
  <si>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</si>
  <si>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</si>
  <si>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</si>
  <si>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</si>
  <si>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</si>
  <si>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</si>
  <si>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</si>
  <si>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</si>
  <si>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</si>
  <si>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</si>
  <si>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</si>
  <si>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</si>
  <si>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</si>
  <si>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</si>
  <si>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</si>
  <si>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</si>
  <si>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</si>
  <si>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</si>
  <si>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</si>
  <si>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</si>
  <si>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</si>
  <si>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</si>
  <si>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</si>
  <si>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</si>
  <si>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</si>
  <si>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</si>
  <si>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</si>
  <si>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</si>
  <si>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</si>
  <si>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</si>
  <si>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</si>
  <si>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</si>
  <si>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</si>
  <si>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</si>
  <si>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</si>
  <si>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</si>
  <si>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</si>
  <si>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</si>
  <si>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</si>
  <si>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</si>
  <si>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</si>
  <si>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</si>
  <si>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</si>
  <si>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</si>
  <si>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</si>
  <si>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</si>
  <si>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</si>
  <si>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</si>
  <si>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</si>
  <si>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</si>
  <si>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</si>
  <si>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</si>
  <si>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</si>
  <si>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</si>
  <si>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</si>
  <si>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</si>
  <si>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</si>
  <si>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</si>
  <si>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</si>
  <si>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</si>
  <si>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</si>
  <si>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</si>
  <si>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</si>
  <si>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</si>
  <si>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</si>
  <si>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</si>
  <si>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</si>
  <si>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</si>
  <si>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</si>
  <si>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</si>
  <si>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</si>
  <si>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</si>
  <si>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</si>
  <si>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</si>
  <si>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</si>
  <si>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</si>
  <si>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</si>
  <si>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</si>
  <si>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</si>
  <si>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</si>
  <si>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</si>
  <si>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</si>
  <si>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</si>
  <si>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</si>
  <si>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</si>
  <si>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</si>
  <si>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</si>
  <si>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</si>
  <si>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</si>
  <si>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</si>
  <si>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</si>
  <si>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</si>
  <si>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</si>
  <si>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</si>
  <si>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</si>
  <si>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</si>
  <si>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</si>
  <si>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</si>
  <si>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</si>
  <si>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</si>
  <si>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</si>
  <si>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</si>
  <si>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</si>
  <si>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</si>
  <si>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</si>
  <si>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</si>
  <si>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</si>
  <si>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</si>
  <si>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</si>
  <si>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</si>
  <si>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</si>
  <si>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</si>
  <si>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</si>
  <si>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</si>
  <si>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</si>
  <si>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</si>
  <si>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</si>
  <si>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</si>
  <si>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</si>
  <si>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</si>
  <si>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</si>
  <si>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</si>
  <si>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</si>
  <si>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</si>
  <si>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</si>
  <si>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</si>
  <si>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</si>
  <si>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</si>
  <si>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</si>
  <si>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</si>
  <si>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</si>
  <si>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</si>
  <si>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</si>
  <si>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</si>
  <si>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</si>
  <si>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</si>
  <si>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</si>
  <si>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</si>
  <si>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</si>
  <si>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</si>
  <si>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</si>
  <si>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</si>
  <si>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</si>
  <si>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</si>
  <si>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</si>
  <si>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</si>
  <si>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</si>
  <si>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</si>
  <si>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</si>
  <si>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</si>
  <si>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</si>
  <si>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</si>
  <si>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</si>
  <si>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</si>
  <si>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</si>
  <si>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</si>
  <si>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</si>
  <si>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</si>
  <si>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</si>
  <si>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</si>
  <si>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</si>
  <si>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</si>
  <si>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</si>
  <si>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</si>
  <si>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</si>
  <si>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</si>
  <si>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</si>
  <si>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</si>
  <si>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</si>
  <si>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</si>
  <si>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</si>
  <si>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</si>
  <si>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</si>
  <si>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</si>
  <si>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</si>
  <si>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</si>
  <si>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</si>
  <si>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</si>
  <si>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</si>
  <si>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</si>
  <si>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</si>
  <si>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</si>
  <si>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</si>
  <si>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</si>
  <si>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</si>
  <si>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</si>
  <si>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</si>
  <si>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</si>
  <si>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</si>
  <si>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</si>
  <si>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</si>
  <si>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</si>
  <si>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</si>
  <si>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</si>
  <si>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</si>
  <si>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</si>
  <si>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</si>
  <si>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</si>
  <si>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</si>
  <si>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</si>
  <si>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</si>
  <si>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</si>
  <si>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</si>
  <si>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</si>
  <si>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</si>
  <si>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</si>
  <si>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</si>
  <si>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</si>
  <si>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</si>
  <si>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</si>
  <si>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</si>
  <si>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</si>
  <si>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</si>
  <si>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</si>
  <si>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</si>
  <si>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</si>
  <si>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</si>
  <si>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</si>
  <si>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</si>
  <si>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</si>
  <si>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</si>
  <si>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</si>
  <si>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</si>
  <si>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</si>
  <si>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</si>
  <si>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</si>
  <si>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</si>
  <si>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</si>
  <si>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</si>
  <si>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</si>
  <si>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</si>
  <si>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</si>
  <si>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</si>
  <si>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</si>
  <si>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</si>
  <si>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</si>
  <si>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</si>
  <si>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</si>
  <si>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</si>
  <si>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</si>
  <si>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</si>
  <si>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</si>
  <si>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</si>
  <si>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</si>
  <si>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</si>
  <si>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</si>
  <si>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</si>
  <si>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</si>
  <si>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</si>
  <si>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</si>
  <si>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</si>
  <si>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</si>
  <si>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</si>
  <si>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</si>
  <si>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</si>
  <si>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</si>
  <si>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</si>
  <si>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</si>
  <si>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</si>
  <si>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</si>
  <si>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</si>
  <si>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</si>
  <si>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</si>
  <si>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</si>
  <si>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</si>
  <si>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</si>
  <si>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</si>
  <si>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</si>
  <si>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</si>
  <si>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</si>
  <si>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</si>
  <si>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</si>
  <si>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</si>
  <si>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</si>
  <si>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</si>
  <si>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</si>
  <si>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</si>
  <si>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</si>
  <si>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</si>
  <si>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</si>
  <si>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</si>
  <si>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</si>
  <si>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</si>
  <si>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</si>
  <si>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</si>
  <si>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</si>
  <si>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</si>
  <si>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</si>
  <si>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</si>
  <si>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</si>
  <si>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</si>
  <si>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</si>
  <si>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</si>
  <si>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</si>
  <si>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</si>
  <si>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</si>
  <si>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</si>
  <si>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</si>
  <si>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</si>
  <si>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</si>
  <si>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</si>
  <si>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</si>
  <si>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</si>
  <si>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</si>
  <si>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</si>
  <si>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</si>
  <si>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</si>
  <si>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</si>
  <si>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</si>
  <si>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</si>
  <si>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</si>
  <si>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</si>
  <si>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</si>
  <si>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</si>
  <si>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</si>
  <si>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</si>
  <si>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</si>
  <si>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</si>
  <si>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</si>
  <si>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</si>
  <si>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</si>
  <si>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</si>
  <si>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</si>
  <si>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</si>
  <si>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</si>
  <si>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</si>
  <si>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</si>
  <si>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</si>
  <si>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</si>
  <si>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</si>
  <si>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</si>
  <si>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</si>
  <si>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</si>
  <si>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</si>
  <si>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</si>
  <si>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</si>
  <si>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</si>
  <si>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</si>
  <si>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</si>
  <si>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</si>
  <si>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</si>
  <si>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</si>
  <si>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</si>
  <si>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</si>
  <si>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</si>
  <si>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</si>
  <si>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</si>
  <si>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</si>
  <si>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</si>
  <si>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</si>
  <si>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</si>
  <si>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</si>
  <si>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</si>
  <si>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</si>
  <si>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</si>
  <si>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</si>
  <si>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</si>
  <si>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</si>
  <si>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</si>
  <si>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</si>
  <si>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</si>
  <si>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</si>
  <si>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</si>
  <si>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</si>
  <si>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</si>
  <si>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</si>
  <si>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</si>
  <si>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</si>
  <si>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</si>
  <si>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</si>
  <si>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</si>
  <si>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</si>
  <si>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</si>
  <si>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</si>
  <si>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</si>
  <si>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</si>
  <si>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</si>
  <si>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</si>
  <si>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</si>
  <si>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</si>
  <si>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</si>
  <si>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</si>
  <si>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</si>
  <si>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</si>
  <si>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</si>
  <si>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</si>
  <si>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</si>
  <si>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</si>
  <si>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</si>
  <si>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</si>
  <si>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</si>
  <si>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</si>
  <si>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</si>
  <si>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</si>
  <si>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</si>
  <si>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</si>
  <si>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</si>
  <si>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</si>
  <si>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</si>
  <si>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</si>
  <si>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</si>
  <si>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</si>
  <si>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</si>
  <si>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</si>
  <si>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</si>
  <si>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</si>
  <si>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</si>
  <si>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</si>
  <si>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</si>
  <si>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</si>
  <si>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</si>
  <si>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</si>
  <si>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</si>
  <si>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</si>
  <si>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</si>
  <si>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</si>
  <si>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</si>
  <si>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</si>
  <si>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</si>
  <si>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</si>
  <si>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</si>
  <si>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</si>
  <si>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</si>
  <si>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</si>
  <si>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</si>
  <si>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</si>
  <si>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</si>
  <si>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</si>
  <si>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</si>
  <si>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</si>
  <si>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</si>
  <si>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</si>
  <si>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</si>
  <si>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</si>
  <si>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</si>
  <si>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</si>
  <si>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</si>
  <si>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</si>
  <si>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</si>
  <si>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</si>
  <si>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</si>
  <si>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</si>
  <si>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</si>
  <si>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</si>
  <si>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</si>
  <si>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</si>
  <si>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</si>
  <si>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</si>
  <si>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</si>
  <si>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</si>
  <si>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</si>
  <si>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</si>
  <si>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</si>
  <si>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</si>
  <si>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</si>
  <si>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</si>
  <si>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</si>
  <si>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</si>
  <si>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</si>
  <si>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</si>
  <si>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</si>
  <si>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</si>
  <si>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</si>
  <si>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</si>
  <si>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</si>
  <si>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</si>
  <si>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</si>
  <si>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</si>
  <si>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</si>
  <si>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</si>
  <si>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</si>
  <si>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</si>
  <si>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</si>
  <si>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</si>
  <si>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</si>
  <si>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</si>
  <si>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</si>
  <si>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</si>
  <si>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</si>
  <si>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</si>
  <si>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</si>
  <si>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</si>
  <si>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</si>
  <si>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</si>
  <si>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</si>
  <si>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</si>
  <si>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</si>
  <si>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</si>
  <si>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</si>
  <si>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</si>
  <si>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</si>
  <si>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</si>
  <si>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</si>
  <si>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</si>
  <si>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</si>
  <si>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</si>
  <si>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</si>
  <si>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</si>
  <si>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</si>
  <si>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</si>
  <si>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</si>
  <si>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</si>
  <si>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</si>
  <si>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</si>
  <si>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</si>
  <si>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</si>
  <si>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</si>
  <si>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</si>
  <si>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</si>
  <si>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</si>
  <si>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</si>
  <si>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</si>
  <si>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</si>
  <si>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</si>
  <si>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</si>
  <si>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</si>
  <si>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</si>
  <si>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</si>
  <si>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</si>
  <si>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</si>
  <si>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</si>
  <si>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</si>
  <si>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</si>
  <si>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</si>
  <si>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</si>
  <si>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</si>
  <si>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</si>
  <si>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</si>
  <si>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</si>
  <si>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</si>
  <si>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</si>
  <si>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</si>
  <si>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</si>
  <si>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</si>
  <si>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</si>
  <si>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</si>
  <si>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</si>
  <si>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</si>
  <si>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</si>
  <si>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</si>
  <si>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</si>
  <si>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</si>
  <si>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</si>
  <si>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</si>
  <si>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</si>
  <si>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</si>
  <si>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</si>
  <si>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</si>
  <si>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</si>
  <si>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</si>
  <si>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</si>
  <si>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</si>
  <si>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</si>
  <si>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</si>
  <si>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</si>
  <si>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</si>
  <si>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</si>
  <si>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</si>
  <si>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</si>
  <si>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</si>
  <si>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</si>
  <si>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</si>
  <si>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</si>
  <si>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</si>
  <si>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</si>
  <si>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</si>
  <si>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</si>
  <si>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</si>
  <si>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</si>
  <si>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</si>
  <si>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</si>
  <si>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</si>
  <si>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</si>
  <si>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</si>
  <si>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</si>
  <si>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</si>
  <si>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</si>
  <si>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</si>
  <si>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</si>
  <si>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</si>
  <si>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</si>
  <si>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</si>
  <si>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</si>
  <si>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</si>
  <si>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</si>
  <si>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</si>
  <si>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</si>
  <si>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</si>
  <si>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</si>
  <si>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</si>
  <si>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</si>
  <si>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</si>
  <si>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</si>
  <si>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</si>
  <si>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</si>
  <si>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</si>
  <si>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</si>
  <si>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</si>
  <si>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</si>
  <si>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</si>
  <si>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</si>
  <si>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</si>
  <si>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</si>
  <si>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</si>
  <si>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</si>
  <si>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</si>
  <si>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</si>
  <si>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</si>
  <si>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</si>
  <si>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</si>
  <si>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</si>
  <si>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</si>
  <si>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</si>
  <si>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</si>
  <si>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</si>
  <si>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</si>
  <si>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</si>
  <si>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</si>
  <si>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</si>
  <si>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</si>
  <si>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</si>
  <si>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</si>
  <si>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</si>
  <si>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</si>
  <si>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</si>
  <si>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</si>
  <si>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</si>
  <si>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</si>
  <si>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</si>
  <si>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</si>
  <si>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</si>
  <si>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</si>
  <si>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</si>
  <si>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</si>
  <si>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</si>
  <si>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</si>
  <si>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</si>
  <si>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</si>
  <si>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</si>
  <si>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</si>
  <si>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</si>
  <si>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</si>
  <si>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</si>
  <si>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</si>
  <si>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</si>
  <si>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</si>
  <si>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</si>
  <si>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</si>
  <si>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</si>
  <si>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</si>
  <si>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</si>
  <si>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</si>
  <si>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</si>
  <si>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</si>
  <si>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</si>
  <si>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</si>
  <si>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</si>
  <si>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</si>
  <si>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</si>
  <si>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</si>
  <si>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</si>
  <si>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</si>
  <si>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</si>
  <si>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</si>
  <si>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</si>
  <si>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</si>
  <si>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</si>
  <si>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</si>
  <si>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</si>
  <si>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</si>
  <si>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</si>
  <si>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</si>
  <si>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</si>
  <si>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</si>
  <si>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</si>
  <si>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</si>
  <si>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</si>
  <si>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</si>
  <si>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</si>
  <si>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</si>
  <si>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</si>
  <si>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</si>
  <si>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</si>
  <si>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</si>
  <si>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</si>
  <si>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</si>
  <si>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</si>
  <si>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</si>
  <si>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</si>
  <si>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</si>
  <si>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</si>
  <si>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</si>
  <si>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</si>
  <si>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</si>
  <si>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</si>
  <si>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</si>
  <si>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</si>
  <si>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</si>
  <si>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</si>
  <si>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</si>
  <si>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</si>
  <si>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</si>
  <si>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</si>
  <si>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</si>
  <si>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</si>
  <si>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</si>
  <si>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</si>
  <si>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</si>
  <si>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</si>
  <si>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</si>
  <si>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</si>
  <si>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</si>
  <si>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</si>
  <si>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</si>
  <si>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</si>
  <si>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</si>
  <si>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</si>
  <si>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</si>
  <si>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</si>
  <si>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</si>
  <si>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</si>
  <si>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</si>
  <si>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</si>
  <si>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</si>
  <si>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</si>
  <si>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</si>
  <si>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</si>
  <si>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</si>
  <si>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</si>
  <si>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</si>
  <si>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</si>
  <si>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</si>
  <si>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</si>
  <si>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</si>
  <si>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</si>
  <si>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</si>
  <si>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</si>
  <si>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</si>
  <si>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</si>
  <si>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</si>
  <si>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</si>
  <si>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</si>
  <si>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</si>
  <si>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</si>
  <si>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</si>
  <si>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</si>
  <si>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</si>
  <si>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</si>
  <si>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</si>
  <si>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</si>
  <si>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</si>
  <si>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</si>
  <si>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</si>
  <si>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</si>
  <si>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</si>
  <si>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</si>
  <si>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</si>
  <si>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</si>
  <si>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</si>
  <si>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</si>
  <si>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</si>
  <si>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</si>
  <si>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</si>
  <si>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</si>
  <si>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</si>
  <si>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</si>
  <si>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</si>
  <si>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</si>
  <si>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</si>
  <si>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</si>
  <si>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</si>
  <si>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</si>
  <si>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</si>
  <si>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</si>
  <si>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</si>
  <si>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</si>
  <si>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</si>
  <si>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</si>
  <si>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</si>
  <si>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</si>
  <si>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</si>
  <si>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</si>
  <si>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</si>
  <si>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</si>
  <si>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</si>
  <si>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</si>
  <si>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</si>
  <si>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</si>
  <si>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</si>
  <si>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</si>
  <si>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</si>
  <si>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</si>
  <si>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</si>
  <si>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</si>
  <si>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</si>
  <si>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</si>
  <si>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</si>
  <si>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</si>
  <si>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</si>
  <si>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</si>
  <si>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</si>
  <si>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</si>
  <si>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</si>
  <si>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</si>
  <si>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</si>
  <si>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</si>
  <si>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</si>
  <si>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</si>
  <si>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</si>
  <si>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</si>
  <si>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</si>
  <si>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</si>
  <si>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</si>
  <si>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</si>
  <si>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</si>
  <si>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</si>
  <si>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</si>
  <si>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</si>
  <si>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</si>
  <si>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</si>
  <si>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</si>
  <si>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</si>
  <si>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</si>
  <si>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</si>
  <si>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</si>
  <si>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</si>
  <si>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</si>
  <si>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</si>
  <si>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</si>
  <si>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</si>
  <si>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</si>
  <si>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</si>
  <si>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</si>
  <si>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</si>
  <si>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</si>
  <si>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</si>
  <si>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</si>
  <si>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</si>
  <si>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</si>
  <si>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</si>
  <si>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</si>
  <si>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</si>
  <si>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</si>
  <si>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</si>
  <si>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</si>
  <si>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</si>
  <si>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</si>
  <si>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</si>
  <si>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</si>
  <si>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</si>
  <si>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</si>
  <si>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</si>
  <si>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</si>
  <si>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</si>
  <si>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</si>
  <si>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</si>
  <si>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</si>
  <si>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</si>
  <si>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</si>
  <si>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</si>
  <si>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</si>
  <si>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</si>
  <si>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</si>
  <si>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</si>
  <si>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</si>
  <si>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</si>
  <si>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</si>
  <si>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</si>
  <si>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</si>
  <si>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</si>
  <si>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</si>
  <si>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</si>
  <si>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</si>
  <si>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</si>
  <si>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</si>
  <si>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</si>
  <si>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</si>
  <si>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</si>
  <si>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</si>
  <si>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</si>
  <si>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</si>
  <si>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</si>
  <si>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</si>
  <si>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</si>
  <si>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</si>
  <si>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</si>
  <si>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</si>
  <si>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</si>
  <si>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</si>
  <si>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</si>
  <si>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</si>
  <si>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</si>
  <si>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</si>
  <si>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</si>
  <si>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</si>
  <si>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</si>
  <si>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</si>
  <si>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</si>
  <si>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</si>
  <si>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</si>
  <si>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</si>
  <si>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</si>
  <si>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</si>
  <si>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</si>
  <si>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</si>
  <si>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</si>
  <si>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</si>
  <si>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</si>
  <si>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</si>
  <si>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</si>
  <si>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</si>
  <si>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</si>
  <si>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</si>
  <si>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</si>
  <si>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</si>
  <si>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</si>
  <si>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</si>
  <si>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</si>
  <si>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</si>
  <si>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</si>
  <si>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</si>
  <si>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</si>
  <si>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</si>
  <si>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</si>
  <si>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</si>
  <si>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</si>
  <si>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</si>
  <si>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</si>
  <si>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</si>
  <si>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</si>
  <si>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</si>
  <si>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</si>
  <si>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</si>
  <si>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</si>
  <si>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</si>
  <si>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</si>
  <si>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</si>
  <si>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</si>
  <si>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</si>
  <si>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</si>
  <si>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</si>
  <si>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</si>
  <si>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</si>
  <si>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</si>
  <si>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</si>
  <si>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</si>
  <si>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</si>
  <si>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</si>
  <si>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</si>
  <si>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</si>
  <si>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</si>
  <si>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</si>
  <si>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</si>
  <si>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</si>
  <si>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</si>
  <si>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</si>
  <si>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</si>
  <si>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</si>
  <si>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</si>
  <si>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</si>
  <si>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</si>
  <si>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</si>
  <si>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</si>
  <si>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</si>
  <si>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</si>
  <si>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</si>
  <si>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</si>
  <si>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</si>
  <si>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</si>
  <si>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</si>
  <si>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</si>
  <si>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</si>
  <si>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</si>
  <si>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</si>
  <si>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</si>
  <si>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</si>
  <si>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</si>
  <si>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</si>
  <si>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</si>
  <si>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</si>
  <si>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</si>
  <si>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</si>
  <si>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</si>
  <si>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</si>
  <si>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</si>
  <si>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</si>
  <si>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</si>
  <si>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</si>
  <si>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</si>
  <si>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</si>
  <si>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</si>
  <si>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</si>
  <si>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</si>
  <si>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</si>
  <si>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</si>
  <si>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</si>
  <si>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</si>
  <si>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</si>
  <si>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</si>
  <si>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</si>
  <si>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</si>
  <si>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</si>
  <si>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</si>
  <si>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</si>
  <si>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</si>
  <si>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</si>
  <si>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</si>
  <si>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</si>
  <si>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</si>
  <si>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</si>
  <si>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</si>
  <si>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</si>
  <si>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</si>
  <si>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</si>
  <si>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</si>
  <si>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</si>
  <si>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</si>
  <si>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</si>
  <si>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</si>
  <si>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</si>
  <si>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</si>
  <si>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</si>
  <si>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</si>
  <si>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</si>
  <si>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</si>
  <si>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</si>
  <si>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</si>
  <si>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</si>
  <si>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</si>
  <si>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</si>
  <si>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</si>
  <si>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</si>
  <si>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</si>
  <si>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</si>
  <si>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</si>
  <si>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</si>
  <si>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</si>
  <si>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</si>
  <si>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</si>
  <si>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</si>
  <si>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</si>
  <si>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</si>
  <si>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</si>
  <si>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</si>
  <si>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</si>
  <si>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</si>
  <si>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</si>
  <si>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</si>
  <si>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</si>
  <si>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</si>
  <si>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</si>
  <si>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</si>
  <si>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</si>
  <si>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</si>
  <si>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</si>
  <si>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</si>
  <si>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</si>
  <si>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</si>
  <si>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</si>
  <si>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</si>
  <si>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</si>
  <si>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</si>
  <si>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</si>
  <si>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</si>
  <si>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</si>
  <si>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</si>
  <si>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</si>
  <si>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</si>
  <si>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</si>
  <si>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</si>
  <si>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</si>
  <si>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</si>
  <si>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</si>
  <si>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</si>
  <si>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</si>
  <si>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</si>
  <si>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</si>
  <si>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</si>
  <si>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</si>
  <si>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</si>
  <si>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</si>
  <si>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</si>
  <si>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</si>
  <si>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</si>
  <si>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</si>
  <si>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</si>
  <si>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</si>
  <si>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</si>
  <si>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</si>
  <si>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</si>
  <si>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</si>
  <si>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</si>
  <si>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</si>
  <si>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</si>
  <si>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</si>
  <si>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</si>
  <si>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</si>
  <si>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</si>
  <si>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</si>
  <si>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</si>
  <si>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</si>
  <si>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</si>
  <si>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</si>
  <si>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</si>
  <si>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</si>
  <si>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</si>
  <si>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</si>
  <si>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</si>
  <si>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</si>
  <si>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</si>
  <si>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</si>
  <si>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</si>
  <si>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</si>
  <si>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</si>
  <si>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</si>
  <si>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</si>
  <si>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</si>
  <si>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</si>
  <si>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</si>
  <si>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</si>
  <si>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</si>
  <si>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</si>
  <si>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</si>
  <si>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</si>
  <si>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</si>
  <si>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</si>
  <si>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</si>
  <si>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</si>
  <si>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</si>
  <si>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</si>
  <si>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</si>
  <si>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</si>
  <si>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</si>
  <si>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</si>
  <si>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</si>
  <si>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</si>
  <si>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</si>
  <si>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</si>
  <si>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</si>
  <si>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</si>
  <si>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</si>
  <si>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</si>
  <si>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</si>
  <si>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</si>
  <si>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</si>
  <si>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</si>
  <si>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</si>
  <si>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</si>
  <si>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</si>
  <si>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</si>
  <si>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</si>
  <si>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</si>
  <si>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</si>
  <si>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</si>
  <si>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</si>
  <si>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</si>
  <si>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</si>
  <si>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</si>
  <si>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</si>
  <si>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</si>
  <si>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</si>
  <si>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</si>
  <si>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</si>
  <si>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</si>
  <si>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</si>
  <si>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</si>
  <si>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</si>
  <si>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</si>
  <si>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</si>
  <si>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</si>
  <si>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</si>
  <si>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</si>
  <si>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</si>
  <si>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</si>
  <si>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</si>
  <si>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</si>
  <si>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</si>
  <si>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</si>
  <si>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</si>
  <si>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</si>
  <si>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</si>
  <si>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</si>
  <si>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</si>
  <si>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</si>
  <si>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</si>
  <si>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</si>
  <si>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</si>
  <si>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</si>
  <si>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</si>
  <si>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</si>
  <si>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</si>
  <si>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</si>
  <si>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</si>
  <si>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</si>
  <si>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</si>
  <si>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</si>
  <si>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</si>
  <si>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</si>
  <si>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</si>
  <si>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</si>
  <si>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</si>
  <si>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</si>
  <si>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</si>
  <si>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</si>
  <si>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</si>
  <si>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</si>
  <si>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</si>
  <si>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</si>
  <si>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</si>
  <si>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Ⅸ-永乐开发区</t>
  </si>
  <si>
    <t>是</t>
  </si>
  <si>
    <t>地上</t>
  </si>
  <si>
    <t>标准厂房</t>
  </si>
  <si>
    <t>工业</t>
    <phoneticPr fontId="7" type="noConversion"/>
  </si>
  <si>
    <t>成新度</t>
  </si>
  <si>
    <t>工业用地</t>
  </si>
  <si>
    <t>与级别开发程度一致</t>
  </si>
  <si>
    <t>通路</t>
  </si>
  <si>
    <t>通电</t>
  </si>
  <si>
    <t>通讯</t>
  </si>
  <si>
    <t>通上水</t>
  </si>
  <si>
    <t>通下水</t>
  </si>
  <si>
    <t>按公示增长率计算</t>
  </si>
  <si>
    <t>容积率修正</t>
  </si>
  <si>
    <t>未包含在土地购买价格中</t>
  </si>
  <si>
    <t>全部缴纳</t>
  </si>
  <si>
    <t>已包含在土地取得成本中</t>
  </si>
  <si>
    <t>租赁情况核对表</t>
    <phoneticPr fontId="256" type="noConversion"/>
  </si>
  <si>
    <t>编制单位：北京林海滩商贸有限公司</t>
    <phoneticPr fontId="256" type="noConversion"/>
  </si>
  <si>
    <t>位 置</t>
    <phoneticPr fontId="256" type="noConversion"/>
  </si>
  <si>
    <t>可出租面积（㎡）</t>
    <phoneticPr fontId="256" type="noConversion"/>
  </si>
  <si>
    <t>已出租面积（㎡）</t>
    <phoneticPr fontId="256" type="noConversion"/>
  </si>
  <si>
    <t>单体出租率</t>
    <phoneticPr fontId="256" type="noConversion"/>
  </si>
  <si>
    <t>综合出租率</t>
    <phoneticPr fontId="256" type="noConversion"/>
  </si>
  <si>
    <t>承租客户</t>
    <phoneticPr fontId="256" type="noConversion"/>
  </si>
  <si>
    <t>租赁合同期间</t>
    <phoneticPr fontId="256" type="noConversion"/>
  </si>
  <si>
    <t>备  注</t>
    <phoneticPr fontId="256" type="noConversion"/>
  </si>
  <si>
    <t>不含直线法 租金单价 （元/㎡/日）</t>
  </si>
  <si>
    <t>综合服务费 单价      （元/㎡/日）</t>
  </si>
  <si>
    <t>综合单价  （元/㎡/日）</t>
  </si>
  <si>
    <t>仓库</t>
    <phoneticPr fontId="256" type="noConversion"/>
  </si>
  <si>
    <t>办公室</t>
    <phoneticPr fontId="256" type="noConversion"/>
  </si>
  <si>
    <t>雨 棚</t>
    <phoneticPr fontId="256" type="noConversion"/>
  </si>
  <si>
    <t>高架平台</t>
    <phoneticPr fontId="256" type="noConversion"/>
  </si>
  <si>
    <t>其 他</t>
    <phoneticPr fontId="256" type="noConversion"/>
  </si>
  <si>
    <t>合 计</t>
    <phoneticPr fontId="256" type="noConversion"/>
  </si>
  <si>
    <t>W1-1-A</t>
  </si>
  <si>
    <t>天津大田运输服务有限公司北京分公司</t>
    <phoneticPr fontId="256" type="noConversion"/>
  </si>
  <si>
    <t>2019.05.01-2022.04.30</t>
    <phoneticPr fontId="256" type="noConversion"/>
  </si>
  <si>
    <t>W1-1-B</t>
  </si>
  <si>
    <t/>
  </si>
  <si>
    <t>W1-1-C</t>
  </si>
  <si>
    <t>北京唯品运输有限公司</t>
    <phoneticPr fontId="256" type="noConversion"/>
  </si>
  <si>
    <t>2019.05.01-2021.04.30</t>
    <phoneticPr fontId="256" type="noConversion"/>
  </si>
  <si>
    <t>W1-2-A</t>
  </si>
  <si>
    <t>北京讯捷物流服务有限责任公司</t>
  </si>
  <si>
    <t>2014.08.01-2024.04.30</t>
  </si>
  <si>
    <t>W1-2-B</t>
  </si>
  <si>
    <t>W1-2-C</t>
  </si>
  <si>
    <t>W2-1-A</t>
  </si>
  <si>
    <t>上海增虹仓储服务有限公司</t>
  </si>
  <si>
    <t>2019.04.01-2022.03.31</t>
    <phoneticPr fontId="256" type="noConversion"/>
  </si>
  <si>
    <t>W2-1-B</t>
  </si>
  <si>
    <t>W2-1-C</t>
  </si>
  <si>
    <t>W2-2-A</t>
  </si>
  <si>
    <t>2014.08.15-2024.04.30</t>
  </si>
  <si>
    <t>W2-2-B</t>
  </si>
  <si>
    <t>乔达国际货运（中国）有限公司北京分公司</t>
    <phoneticPr fontId="256" type="noConversion"/>
  </si>
  <si>
    <t>2017.09.01-2022.08.31</t>
    <phoneticPr fontId="256" type="noConversion"/>
  </si>
  <si>
    <t>W2-2-C</t>
  </si>
  <si>
    <t>W3-1-A</t>
  </si>
  <si>
    <t>北京顺丰速运有限公司</t>
    <phoneticPr fontId="256" type="noConversion"/>
  </si>
  <si>
    <t>2018.11.16-2021.12.31</t>
    <phoneticPr fontId="256" type="noConversion"/>
  </si>
  <si>
    <t>W3-1-B</t>
  </si>
  <si>
    <t>W3-1-C</t>
  </si>
  <si>
    <t>W3-2-A</t>
  </si>
  <si>
    <t>W3-2-B</t>
  </si>
  <si>
    <t>W3-2-C</t>
  </si>
  <si>
    <t>W4-1-A</t>
  </si>
  <si>
    <t>宇培供应链管理集团有限公司</t>
    <phoneticPr fontId="256" type="noConversion"/>
  </si>
  <si>
    <t>2017.06.16-2019.12.31</t>
    <phoneticPr fontId="256" type="noConversion"/>
  </si>
  <si>
    <t>W4-1-B</t>
  </si>
  <si>
    <t>W4-1-C</t>
  </si>
  <si>
    <t>其中物业办公占用327.34㎡</t>
    <phoneticPr fontId="256" type="noConversion"/>
  </si>
  <si>
    <t>W4-2-A</t>
  </si>
  <si>
    <t>北京优之行科技有限公司</t>
  </si>
  <si>
    <t>2014.12.01-2019.11.30</t>
  </si>
  <si>
    <t>W4-2-B</t>
  </si>
  <si>
    <t>W4-2-C</t>
  </si>
  <si>
    <t>屋顶</t>
    <phoneticPr fontId="256" type="noConversion"/>
  </si>
  <si>
    <t>北京盛申新能源技术有限公司</t>
  </si>
  <si>
    <t>2017.12.01-2036.11.30</t>
    <phoneticPr fontId="256" type="noConversion"/>
  </si>
  <si>
    <t>最长租赁期</t>
    <phoneticPr fontId="143" type="noConversion"/>
  </si>
  <si>
    <t>剩余租赁金</t>
    <phoneticPr fontId="143" type="noConversion"/>
  </si>
  <si>
    <t>收益法</t>
  </si>
  <si>
    <t>时点租金</t>
    <phoneticPr fontId="143" type="noConversion"/>
  </si>
  <si>
    <t>增长率</t>
    <phoneticPr fontId="143" type="noConversion"/>
  </si>
  <si>
    <t>租赁截止期市场租金</t>
    <phoneticPr fontId="143" type="noConversion"/>
  </si>
  <si>
    <t>自定义</t>
  </si>
  <si>
    <t>按租金收入计税</t>
  </si>
  <si>
    <t>钢</t>
  </si>
  <si>
    <t>生产用房</t>
  </si>
  <si>
    <t>成本法</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</si>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</sst>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00_ ;_ * \-#,##0.00_ ;_ * &quot;-&quot;???_ ;_ @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0" xfId="0" applyFont="1" applyFill="1" applyBorder="1" applyAlignment="1" applyProtection="1">
      <alignment horizontal="center" vertical="center"/>
      <protection locked="0"/>
    </xf>
    <xf numFmtId="0" fontId="257" fillId="0" borderId="0" xfId="0" applyFont="1" applyFill="1" applyProtection="1">
      <alignment vertical="center"/>
      <protection locked="0"/>
    </xf>
    <xf numFmtId="197" fontId="257" fillId="0" borderId="0" xfId="0" applyNumberFormat="1" applyFont="1" applyFill="1" applyProtection="1">
      <alignment vertical="center"/>
      <protection locked="0"/>
    </xf>
    <xf numFmtId="0" fontId="258" fillId="0" borderId="0" xfId="0" applyFont="1" applyFill="1" applyBorder="1" applyProtection="1">
      <alignment vertical="center"/>
      <protection locked="0"/>
    </xf>
    <xf numFmtId="0" fontId="258" fillId="0" borderId="0" xfId="0" applyFont="1" applyFill="1" applyBorder="1" applyAlignment="1" applyProtection="1">
      <alignment horizontal="center" vertical="center"/>
      <protection locked="0"/>
    </xf>
    <xf numFmtId="190" fontId="258" fillId="0" borderId="87" xfId="0" applyNumberFormat="1" applyFont="1" applyFill="1" applyBorder="1" applyAlignment="1" applyProtection="1">
      <alignment horizontal="right" vertical="center"/>
      <protection locked="0"/>
    </xf>
    <xf numFmtId="190" fontId="258" fillId="0" borderId="87" xfId="0" applyNumberFormat="1" applyFont="1" applyFill="1" applyBorder="1" applyAlignment="1" applyProtection="1">
      <alignment horizontal="center" vertical="center"/>
      <protection locked="0"/>
    </xf>
    <xf numFmtId="190" fontId="258" fillId="0" borderId="87" xfId="0" applyNumberFormat="1" applyFont="1" applyFill="1" applyBorder="1" applyAlignment="1" applyProtection="1">
      <alignment vertical="center"/>
      <protection locked="0"/>
    </xf>
    <xf numFmtId="0" fontId="258" fillId="0" borderId="0" xfId="0" applyFont="1" applyFill="1" applyBorder="1" applyAlignment="1" applyProtection="1">
      <alignment vertical="center" wrapText="1"/>
      <protection locked="0"/>
    </xf>
    <xf numFmtId="0" fontId="258" fillId="0" borderId="0" xfId="0" applyFont="1" applyFill="1" applyProtection="1">
      <alignment vertical="center"/>
      <protection locked="0"/>
    </xf>
    <xf numFmtId="197" fontId="258" fillId="0" borderId="0" xfId="0" applyNumberFormat="1" applyFont="1" applyFill="1" applyProtection="1">
      <alignment vertical="center"/>
      <protection locked="0"/>
    </xf>
    <xf numFmtId="0" fontId="259" fillId="17" borderId="156" xfId="0" applyFont="1" applyFill="1" applyBorder="1" applyAlignment="1" applyProtection="1">
      <alignment horizontal="center" vertical="center"/>
      <protection locked="0"/>
    </xf>
    <xf numFmtId="197" fontId="259" fillId="17" borderId="44" xfId="0" applyNumberFormat="1" applyFont="1" applyFill="1" applyBorder="1" applyAlignment="1" applyProtection="1">
      <alignment horizontal="center" vertical="center" wrapText="1"/>
      <protection locked="0"/>
    </xf>
    <xf numFmtId="197" fontId="259" fillId="17" borderId="44" xfId="0" applyNumberFormat="1" applyFont="1" applyFill="1" applyBorder="1" applyAlignment="1" applyProtection="1">
      <alignment horizontal="center" vertical="center"/>
      <protection locked="0"/>
    </xf>
    <xf numFmtId="10" fontId="259" fillId="17" borderId="44" xfId="0" applyNumberFormat="1" applyFont="1" applyFill="1" applyBorder="1" applyAlignment="1" applyProtection="1">
      <alignment horizontal="center" vertical="center"/>
      <protection locked="0"/>
    </xf>
    <xf numFmtId="0" fontId="259" fillId="17" borderId="44" xfId="0" applyFont="1" applyFill="1" applyBorder="1" applyAlignment="1" applyProtection="1">
      <alignment horizontal="center" vertical="center" wrapText="1"/>
      <protection locked="0"/>
    </xf>
    <xf numFmtId="0" fontId="259" fillId="17" borderId="44" xfId="0" applyFont="1" applyFill="1" applyBorder="1" applyAlignment="1" applyProtection="1">
      <alignment horizontal="center" vertical="center"/>
      <protection locked="0"/>
    </xf>
    <xf numFmtId="0" fontId="259" fillId="17" borderId="157" xfId="0" applyFont="1" applyFill="1" applyBorder="1" applyAlignment="1" applyProtection="1">
      <alignment horizontal="center" vertical="center"/>
      <protection locked="0"/>
    </xf>
    <xf numFmtId="0" fontId="259" fillId="17" borderId="158" xfId="0" applyFont="1" applyFill="1" applyBorder="1" applyAlignment="1" applyProtection="1">
      <alignment horizontal="center" vertical="center"/>
      <protection locked="0"/>
    </xf>
    <xf numFmtId="197" fontId="259" fillId="17" borderId="1" xfId="0" applyNumberFormat="1" applyFont="1" applyFill="1" applyBorder="1" applyAlignment="1" applyProtection="1">
      <alignment horizontal="center" vertical="center" wrapText="1"/>
      <protection locked="0"/>
    </xf>
    <xf numFmtId="197" fontId="259" fillId="17" borderId="1" xfId="0" applyNumberFormat="1" applyFont="1" applyFill="1" applyBorder="1" applyAlignment="1" applyProtection="1">
      <alignment horizontal="center" vertical="center"/>
      <protection locked="0"/>
    </xf>
    <xf numFmtId="10" fontId="259" fillId="17" borderId="1" xfId="0" applyNumberFormat="1" applyFont="1" applyFill="1" applyBorder="1" applyAlignment="1" applyProtection="1">
      <alignment horizontal="center" vertical="center"/>
      <protection locked="0"/>
    </xf>
    <xf numFmtId="0" fontId="259" fillId="17" borderId="1" xfId="0" applyFont="1" applyFill="1" applyBorder="1" applyAlignment="1" applyProtection="1">
      <alignment horizontal="center" vertical="center" wrapText="1"/>
      <protection locked="0"/>
    </xf>
    <xf numFmtId="0" fontId="259" fillId="17" borderId="1" xfId="0" applyFont="1" applyFill="1" applyBorder="1" applyAlignment="1" applyProtection="1">
      <alignment horizontal="center" vertical="center"/>
      <protection locked="0"/>
    </xf>
    <xf numFmtId="0" fontId="259" fillId="17" borderId="159" xfId="0" applyFont="1" applyFill="1" applyBorder="1" applyAlignment="1" applyProtection="1">
      <alignment horizontal="center" vertical="center"/>
      <protection locked="0"/>
    </xf>
    <xf numFmtId="0" fontId="258" fillId="0" borderId="160" xfId="0" applyFont="1" applyFill="1" applyBorder="1" applyAlignment="1" applyProtection="1">
      <alignment horizontal="center" vertical="center"/>
    </xf>
    <xf numFmtId="197" fontId="258" fillId="0" borderId="13" xfId="0" applyNumberFormat="1" applyFont="1" applyFill="1" applyBorder="1" applyAlignment="1" applyProtection="1">
      <alignment horizontal="center" vertical="center"/>
    </xf>
    <xf numFmtId="198" fontId="258" fillId="0" borderId="1" xfId="0" applyNumberFormat="1" applyFont="1" applyFill="1" applyBorder="1" applyAlignment="1">
      <alignment vertical="center"/>
    </xf>
    <xf numFmtId="181" fontId="258" fillId="0" borderId="13" xfId="0" applyNumberFormat="1" applyFont="1" applyFill="1" applyBorder="1" applyAlignment="1" applyProtection="1">
      <alignment horizontal="center" vertical="center"/>
    </xf>
    <xf numFmtId="181" fontId="258" fillId="0" borderId="1" xfId="0" applyNumberFormat="1" applyFont="1" applyFill="1" applyBorder="1" applyAlignment="1" applyProtection="1">
      <alignment horizontal="center" vertical="center"/>
    </xf>
    <xf numFmtId="0" fontId="258" fillId="0" borderId="1" xfId="0" applyFont="1" applyFill="1" applyBorder="1" applyAlignment="1" applyProtection="1">
      <alignment vertical="center" wrapText="1"/>
      <protection locked="0"/>
    </xf>
    <xf numFmtId="0" fontId="258" fillId="0" borderId="1" xfId="0" applyFont="1" applyFill="1" applyBorder="1" applyAlignment="1" applyProtection="1">
      <alignment horizontal="center" vertical="center"/>
      <protection locked="0"/>
    </xf>
    <xf numFmtId="0" fontId="258" fillId="0" borderId="159" xfId="0" applyFont="1" applyFill="1" applyBorder="1" applyAlignment="1" applyProtection="1">
      <alignment horizontal="center" vertical="center"/>
      <protection locked="0"/>
    </xf>
    <xf numFmtId="197" fontId="260" fillId="0" borderId="1" xfId="0" applyNumberFormat="1" applyFont="1" applyFill="1" applyBorder="1" applyProtection="1">
      <alignment vertical="center"/>
      <protection locked="0"/>
    </xf>
    <xf numFmtId="0" fontId="258" fillId="0" borderId="159" xfId="0" applyFont="1" applyFill="1" applyBorder="1" applyProtection="1">
      <alignment vertical="center"/>
      <protection locked="0"/>
    </xf>
    <xf numFmtId="0" fontId="258" fillId="0" borderId="158" xfId="0" applyFont="1" applyFill="1" applyBorder="1" applyAlignment="1" applyProtection="1">
      <alignment horizontal="center" vertical="center"/>
    </xf>
    <xf numFmtId="197" fontId="258" fillId="0" borderId="1" xfId="0" applyNumberFormat="1" applyFont="1" applyFill="1" applyBorder="1" applyAlignment="1" applyProtection="1">
      <alignment vertical="center"/>
    </xf>
    <xf numFmtId="197" fontId="258" fillId="0" borderId="1" xfId="0" applyNumberFormat="1" applyFont="1" applyFill="1" applyBorder="1" applyAlignment="1" applyProtection="1">
      <alignment horizontal="center" vertical="center"/>
    </xf>
    <xf numFmtId="181" fontId="258" fillId="0" borderId="1" xfId="0" applyNumberFormat="1" applyFont="1" applyFill="1" applyBorder="1" applyAlignment="1" applyProtection="1">
      <alignment horizontal="center" vertical="center"/>
    </xf>
    <xf numFmtId="0" fontId="258" fillId="0" borderId="159" xfId="0" applyFont="1" applyFill="1" applyBorder="1" applyAlignment="1" applyProtection="1">
      <alignment vertical="center"/>
      <protection locked="0"/>
    </xf>
    <xf numFmtId="0" fontId="260" fillId="0" borderId="160" xfId="0" applyFont="1" applyFill="1" applyBorder="1" applyAlignment="1" applyProtection="1">
      <alignment horizontal="center" vertical="center"/>
    </xf>
    <xf numFmtId="197" fontId="260" fillId="0" borderId="13" xfId="0" applyNumberFormat="1" applyFont="1" applyFill="1" applyBorder="1" applyAlignment="1" applyProtection="1">
      <alignment horizontal="center" vertical="center"/>
    </xf>
    <xf numFmtId="181" fontId="260" fillId="0" borderId="13" xfId="0" applyNumberFormat="1" applyFont="1" applyFill="1" applyBorder="1" applyAlignment="1" applyProtection="1">
      <alignment horizontal="center" vertical="center"/>
    </xf>
    <xf numFmtId="0" fontId="260" fillId="0" borderId="1" xfId="0" applyFont="1" applyFill="1" applyBorder="1" applyAlignment="1" applyProtection="1">
      <alignment vertical="center" wrapText="1"/>
      <protection locked="0"/>
    </xf>
    <xf numFmtId="0" fontId="260" fillId="0" borderId="1" xfId="0" applyFont="1" applyFill="1" applyBorder="1" applyAlignment="1" applyProtection="1">
      <alignment horizontal="center" vertical="center"/>
      <protection locked="0"/>
    </xf>
    <xf numFmtId="0" fontId="260" fillId="0" borderId="159" xfId="0" applyFont="1" applyFill="1" applyBorder="1" applyAlignment="1" applyProtection="1">
      <alignment vertical="center"/>
      <protection locked="0"/>
    </xf>
    <xf numFmtId="0" fontId="260" fillId="0" borderId="0" xfId="0" applyFont="1" applyFill="1" applyProtection="1">
      <alignment vertical="center"/>
      <protection locked="0"/>
    </xf>
    <xf numFmtId="0" fontId="260" fillId="0" borderId="159" xfId="0" applyFont="1" applyFill="1" applyBorder="1" applyProtection="1">
      <alignment vertical="center"/>
      <protection locked="0"/>
    </xf>
    <xf numFmtId="197" fontId="260" fillId="0" borderId="0" xfId="0" applyNumberFormat="1" applyFont="1" applyFill="1" applyProtection="1">
      <alignment vertical="center"/>
      <protection locked="0"/>
    </xf>
    <xf numFmtId="0" fontId="260" fillId="0" borderId="13" xfId="0" applyFont="1" applyFill="1" applyBorder="1" applyAlignment="1" applyProtection="1">
      <alignment horizontal="center" vertical="center"/>
    </xf>
    <xf numFmtId="0" fontId="260" fillId="0" borderId="158" xfId="0" applyFont="1" applyFill="1" applyBorder="1" applyAlignment="1" applyProtection="1">
      <alignment horizontal="center" vertical="center"/>
    </xf>
    <xf numFmtId="197" fontId="260" fillId="0" borderId="1" xfId="0" applyNumberFormat="1" applyFont="1" applyFill="1" applyBorder="1" applyAlignment="1" applyProtection="1">
      <alignment horizontal="center" vertical="center"/>
    </xf>
    <xf numFmtId="181" fontId="260" fillId="0" borderId="1" xfId="0" applyNumberFormat="1" applyFont="1" applyFill="1" applyBorder="1" applyAlignment="1" applyProtection="1">
      <alignment horizontal="center" vertical="center"/>
    </xf>
    <xf numFmtId="0" fontId="260" fillId="0" borderId="13" xfId="0" applyFont="1" applyFill="1" applyBorder="1" applyAlignment="1" applyProtection="1">
      <alignment vertical="center" wrapText="1"/>
      <protection locked="0"/>
    </xf>
    <xf numFmtId="0" fontId="258" fillId="0" borderId="13" xfId="0" applyFont="1" applyFill="1" applyBorder="1" applyAlignment="1" applyProtection="1">
      <alignment horizontal="center" vertical="center"/>
      <protection locked="0"/>
    </xf>
    <xf numFmtId="0" fontId="258" fillId="0" borderId="161" xfId="0" applyFont="1" applyFill="1" applyBorder="1" applyAlignment="1" applyProtection="1">
      <alignment horizontal="center" vertical="center"/>
      <protection locked="0"/>
    </xf>
    <xf numFmtId="197" fontId="261" fillId="0" borderId="13" xfId="0" applyNumberFormat="1" applyFont="1" applyFill="1" applyBorder="1" applyProtection="1">
      <alignment vertical="center"/>
      <protection locked="0"/>
    </xf>
    <xf numFmtId="0" fontId="258" fillId="0" borderId="161" xfId="0" applyFont="1" applyFill="1" applyBorder="1" applyProtection="1">
      <alignment vertical="center"/>
      <protection locked="0"/>
    </xf>
    <xf numFmtId="0" fontId="258" fillId="0" borderId="162" xfId="0" applyFont="1" applyFill="1" applyBorder="1" applyAlignment="1" applyProtection="1">
      <alignment horizontal="centerContinuous" vertical="center"/>
    </xf>
    <xf numFmtId="197" fontId="258" fillId="0" borderId="78" xfId="0" applyNumberFormat="1" applyFont="1" applyFill="1" applyBorder="1" applyProtection="1">
      <alignment vertical="center"/>
    </xf>
    <xf numFmtId="197" fontId="258" fillId="0" borderId="78" xfId="0" applyNumberFormat="1" applyFont="1" applyFill="1" applyBorder="1" applyAlignment="1" applyProtection="1">
      <alignment horizontal="center" vertical="center"/>
    </xf>
    <xf numFmtId="10" fontId="258" fillId="0" borderId="78" xfId="0" applyNumberFormat="1" applyFont="1" applyFill="1" applyBorder="1" applyProtection="1">
      <alignment vertical="center"/>
    </xf>
    <xf numFmtId="0" fontId="258" fillId="0" borderId="78" xfId="0" applyFont="1" applyFill="1" applyBorder="1" applyAlignment="1" applyProtection="1">
      <alignment vertical="center" wrapText="1"/>
      <protection locked="0"/>
    </xf>
    <xf numFmtId="0" fontId="258" fillId="0" borderId="78" xfId="0" applyFont="1" applyFill="1" applyBorder="1" applyProtection="1">
      <alignment vertical="center"/>
      <protection locked="0"/>
    </xf>
    <xf numFmtId="0" fontId="258" fillId="0" borderId="163" xfId="0" applyFont="1" applyFill="1" applyBorder="1" applyProtection="1">
      <alignment vertical="center"/>
      <protection locked="0"/>
    </xf>
    <xf numFmtId="197" fontId="258" fillId="0" borderId="78" xfId="0" applyNumberFormat="1" applyFont="1" applyFill="1" applyBorder="1" applyProtection="1">
      <alignment vertical="center"/>
      <protection locked="0"/>
    </xf>
    <xf numFmtId="10" fontId="258" fillId="0" borderId="0" xfId="0" applyNumberFormat="1" applyFont="1" applyFill="1" applyAlignment="1" applyProtection="1">
      <alignment horizontal="center" vertical="center"/>
      <protection locked="0"/>
    </xf>
    <xf numFmtId="10" fontId="258" fillId="0" borderId="0" xfId="0" applyNumberFormat="1" applyFont="1" applyFill="1" applyProtection="1">
      <alignment vertical="center"/>
      <protection locked="0"/>
    </xf>
    <xf numFmtId="0" fontId="258" fillId="0" borderId="0" xfId="0" applyFont="1" applyFill="1" applyAlignment="1" applyProtection="1">
      <alignment vertical="center" wrapText="1"/>
      <protection locked="0"/>
    </xf>
    <xf numFmtId="0" fontId="258" fillId="0" borderId="0" xfId="0" applyFont="1" applyFill="1" applyAlignment="1" applyProtection="1">
      <alignment horizontal="left" vertical="center"/>
      <protection locked="0"/>
    </xf>
    <xf numFmtId="197" fontId="258" fillId="0" borderId="0" xfId="0" applyNumberFormat="1" applyFont="1" applyFill="1" applyAlignment="1" applyProtection="1">
      <alignment horizontal="left" vertical="center"/>
      <protection locked="0"/>
    </xf>
    <xf numFmtId="197" fontId="258" fillId="0" borderId="0" xfId="0" applyNumberFormat="1" applyFont="1" applyFill="1" applyAlignment="1" applyProtection="1">
      <alignment vertical="center"/>
      <protection locked="0"/>
    </xf>
    <xf numFmtId="197" fontId="258" fillId="0" borderId="0" xfId="0" applyNumberFormat="1" applyFont="1" applyFill="1" applyAlignment="1" applyProtection="1">
      <alignment horizontal="center" vertical="center"/>
      <protection locked="0"/>
    </xf>
    <xf numFmtId="43" fontId="258" fillId="0" borderId="0" xfId="17" applyFont="1" applyFill="1" applyAlignment="1" applyProtection="1">
      <alignment horizontal="center" vertical="center"/>
      <protection locked="0"/>
    </xf>
    <xf numFmtId="43" fontId="258" fillId="0" borderId="0" xfId="17" applyFont="1" applyFill="1" applyProtection="1">
      <alignment vertical="center"/>
      <protection locked="0"/>
    </xf>
    <xf numFmtId="0" fontId="258" fillId="5" borderId="0" xfId="0" applyFont="1" applyFill="1" applyProtection="1">
      <alignment vertical="center"/>
      <protection locked="0"/>
    </xf>
    <xf numFmtId="0" fontId="258" fillId="5" borderId="158" xfId="0" applyFont="1" applyFill="1" applyBorder="1" applyAlignment="1" applyProtection="1">
      <alignment horizontal="center" vertical="center"/>
    </xf>
    <xf numFmtId="197" fontId="258" fillId="5" borderId="1" xfId="0" applyNumberFormat="1" applyFont="1" applyFill="1" applyBorder="1" applyAlignment="1" applyProtection="1">
      <alignment horizontal="center" vertical="center"/>
    </xf>
    <xf numFmtId="181" fontId="258" fillId="5" borderId="1" xfId="0" applyNumberFormat="1" applyFont="1" applyFill="1" applyBorder="1" applyAlignment="1" applyProtection="1">
      <alignment horizontal="center" vertical="center"/>
    </xf>
    <xf numFmtId="0" fontId="260" fillId="5" borderId="1" xfId="0" applyFont="1" applyFill="1" applyBorder="1" applyAlignment="1" applyProtection="1">
      <alignment vertical="center" wrapText="1"/>
      <protection locked="0"/>
    </xf>
    <xf numFmtId="0" fontId="258" fillId="5" borderId="1" xfId="0" applyFont="1" applyFill="1" applyBorder="1" applyAlignment="1" applyProtection="1">
      <alignment horizontal="center" vertical="center"/>
      <protection locked="0"/>
    </xf>
    <xf numFmtId="0" fontId="258" fillId="5" borderId="159" xfId="0" applyFont="1" applyFill="1" applyBorder="1" applyAlignment="1" applyProtection="1">
      <alignment horizontal="center" vertical="center"/>
      <protection locked="0"/>
    </xf>
    <xf numFmtId="197" fontId="260" fillId="5" borderId="1" xfId="0" applyNumberFormat="1" applyFont="1" applyFill="1" applyBorder="1" applyProtection="1">
      <alignment vertical="center"/>
      <protection locked="0"/>
    </xf>
    <xf numFmtId="0" fontId="258" fillId="5" borderId="159" xfId="0" applyFont="1" applyFill="1" applyBorder="1" applyProtection="1">
      <alignment vertical="center"/>
      <protection locked="0"/>
    </xf>
    <xf numFmtId="197" fontId="258" fillId="5" borderId="0" xfId="0" applyNumberFormat="1" applyFont="1" applyFill="1" applyProtection="1">
      <alignment vertical="center"/>
      <protection locked="0"/>
    </xf>
    <xf numFmtId="0" fontId="258" fillId="5" borderId="159" xfId="0" applyFont="1" applyFill="1" applyBorder="1" applyAlignment="1" applyProtection="1">
      <alignment vertical="center"/>
      <protection locked="0"/>
    </xf>
    <xf numFmtId="0" fontId="258" fillId="5" borderId="159" xfId="0" applyFont="1" applyFill="1" applyBorder="1" applyAlignment="1" applyProtection="1">
      <alignment horizontal="center" vertical="center" wrapText="1"/>
      <protection locked="0"/>
    </xf>
    <xf numFmtId="14" fontId="258" fillId="0" borderId="0" xfId="0" applyNumberFormat="1" applyFont="1" applyFill="1" applyProtection="1">
      <alignment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估价对象为出让国有建设用地使用权及在建建筑物房地产，为所有。根据《国有土地使用证》[]，估价对象（分摊）出让国有建设用地使用权面积为77043.08平方米，建筑面积为83329.15平方米。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该项目尚在开发建设中。根据《国有土地使用证》[]，估价对象（分摊）出让国有建设用地使用权面积为77043.08平方米，规划建筑面积为83329.15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2019年7月15日</v>
      </c>
    </row>
    <row r="13" spans="1:2" s="1593" customFormat="1">
      <c r="A13" s="1591" t="s">
        <v>1223</v>
      </c>
      <c r="B13" s="1592" t="str">
        <f>'预评函-1'!A18</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30140</v>
      </c>
    </row>
    <row r="21" spans="1:2" s="1593" customFormat="1">
      <c r="A21" s="1591" t="s">
        <v>1231</v>
      </c>
      <c r="B21" s="1592">
        <f ca="1">'预评函-2'!D7</f>
        <v>3617</v>
      </c>
    </row>
    <row r="22" spans="1:2" s="1593" customFormat="1">
      <c r="A22" s="1591" t="s">
        <v>1232</v>
      </c>
      <c r="B22" s="1592" t="str">
        <f ca="1">'预评函-2'!D6</f>
        <v>叁亿零壹佰肆拾万元整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30140</v>
      </c>
    </row>
    <row r="31" spans="1:2" s="1593" customFormat="1">
      <c r="A31" s="1591" t="s">
        <v>1270</v>
      </c>
      <c r="B31" s="1592">
        <f ca="1">'预评函-2'!D15</f>
        <v>3617</v>
      </c>
    </row>
    <row r="32" spans="1:2" s="1593" customFormat="1">
      <c r="A32" s="1591" t="s">
        <v>1237</v>
      </c>
      <c r="B32" s="1592" t="str">
        <f ca="1">'预评函-2'!D14</f>
        <v>叁亿零壹佰肆拾万元整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83329.149999999994</v>
      </c>
    </row>
    <row r="44" spans="1:2" s="1593" customFormat="1">
      <c r="A44" s="1591" t="s">
        <v>1269</v>
      </c>
      <c r="B44" s="1592" t="str">
        <f>'预评函-3'!C2</f>
        <v>(分摊)土地面积</v>
      </c>
    </row>
    <row r="45" spans="1:2" s="1593" customFormat="1">
      <c r="A45" s="1591" t="s">
        <v>1241</v>
      </c>
      <c r="B45" s="1592">
        <f>'预评函-3'!C4</f>
        <v>77043.08</v>
      </c>
    </row>
    <row r="46" spans="1:2" s="1593" customFormat="1">
      <c r="A46" s="1591" t="s">
        <v>1267</v>
      </c>
      <c r="B46" s="1592" t="str">
        <f>'预评函-3'!D2</f>
        <v>出让国有建设用地使用权价值</v>
      </c>
    </row>
    <row r="47" spans="1:2" s="1593" customFormat="1">
      <c r="A47" s="1591" t="s">
        <v>1242</v>
      </c>
      <c r="B47" s="1592">
        <f ca="1">'预评函-3'!D4</f>
        <v>10127</v>
      </c>
    </row>
    <row r="48" spans="1:2" s="1593" customFormat="1">
      <c r="A48" s="1591" t="s">
        <v>1243</v>
      </c>
      <c r="B48" s="1592">
        <f ca="1">'预评函-3'!E4</f>
        <v>1215</v>
      </c>
    </row>
    <row r="49" spans="1:2" s="1593" customFormat="1">
      <c r="A49" s="1591" t="s">
        <v>1244</v>
      </c>
      <c r="B49" s="1592" t="str">
        <f ca="1">'预评函-3'!D5</f>
        <v>壹亿零壹佰贰拾柒万元整</v>
      </c>
    </row>
    <row r="50" spans="1:2" s="1593" customFormat="1">
      <c r="A50" s="1591" t="s">
        <v>1268</v>
      </c>
      <c r="B50" s="1592" t="str">
        <f>'预评函-3'!F2</f>
        <v>建筑物价值</v>
      </c>
    </row>
    <row r="51" spans="1:2" s="1593" customFormat="1">
      <c r="A51" s="1591" t="s">
        <v>1245</v>
      </c>
      <c r="B51" s="1592">
        <f ca="1">'预评函-3'!F4</f>
        <v>20013</v>
      </c>
    </row>
    <row r="52" spans="1:2" s="1593" customFormat="1">
      <c r="A52" s="1591" t="s">
        <v>1246</v>
      </c>
      <c r="B52" s="1592">
        <f ca="1">'预评函-3'!G4</f>
        <v>2402</v>
      </c>
    </row>
    <row r="53" spans="1:2" s="1593" customFormat="1">
      <c r="A53" s="1591" t="s">
        <v>1274</v>
      </c>
      <c r="B53" s="1592" t="str">
        <f ca="1">'预评函-3'!F5</f>
        <v>贰亿零壹拾叁万元整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2" t="s">
        <v>861</v>
      </c>
      <c r="C54" s="2019" t="s">
        <v>1277</v>
      </c>
    </row>
    <row r="55" spans="1:4">
      <c r="A55" s="2997"/>
      <c r="B55" s="2022" t="s">
        <v>862</v>
      </c>
      <c r="C55" s="2019" t="s">
        <v>1278</v>
      </c>
    </row>
    <row r="56" spans="1:4">
      <c r="A56" s="2997"/>
      <c r="B56" s="2022" t="s">
        <v>863</v>
      </c>
      <c r="C56" s="2019" t="s">
        <v>1282</v>
      </c>
    </row>
    <row r="57" spans="1:4">
      <c r="A57" s="299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2998" t="str">
        <f>IF(B10="北京市","北京市",C10)&amp;F10&amp;IF(结果表!G1="在建","出让国有建设用地使用权及在建建筑物",IF(结果表!G1="土地","出让国有建设用地使用权",))&amp;B9&amp;"预评估"</f>
        <v>出让国有建设用地使用权及在建建筑物预评估</v>
      </c>
      <c r="C1" s="2999"/>
      <c r="D1" s="2999"/>
      <c r="E1" s="2999"/>
      <c r="F1" s="2999"/>
      <c r="G1" s="2999"/>
      <c r="H1" s="2999"/>
      <c r="I1" s="300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1773</v>
      </c>
      <c r="B3" s="2036"/>
      <c r="C3" s="2037" t="s">
        <v>1774</v>
      </c>
      <c r="D3" s="2036">
        <v>43661</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c r="C8" s="2056"/>
      <c r="D8" s="3001" t="s">
        <v>1780</v>
      </c>
      <c r="E8" s="2057"/>
      <c r="F8" s="2058"/>
      <c r="G8" s="2026"/>
      <c r="H8" s="2026"/>
      <c r="I8" s="2026"/>
      <c r="J8" s="2042"/>
      <c r="K8" s="2043"/>
      <c r="L8" s="2028"/>
      <c r="M8" s="2028"/>
      <c r="N8" s="2029"/>
      <c r="O8" s="2030"/>
      <c r="P8" s="2029"/>
      <c r="Q8" s="2029"/>
      <c r="R8" s="2029"/>
    </row>
    <row r="9" spans="1:19" ht="18" customHeight="1" thickBot="1">
      <c r="A9" s="2040" t="s">
        <v>1781</v>
      </c>
      <c r="B9" s="2059"/>
      <c r="C9" s="2060"/>
      <c r="D9" s="3002"/>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3056</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c r="G13" s="2080"/>
      <c r="H13" s="2080"/>
      <c r="I13" s="1047">
        <v>54045</v>
      </c>
      <c r="J13" s="2042"/>
      <c r="K13" s="2054"/>
      <c r="L13" s="2028"/>
      <c r="M13" s="2028"/>
      <c r="N13" s="2029"/>
      <c r="O13" s="2030"/>
      <c r="P13" s="2029"/>
      <c r="Q13" s="2029"/>
      <c r="R13" s="2029"/>
    </row>
    <row r="14" spans="1:19" ht="18" customHeight="1">
      <c r="A14" s="2077"/>
      <c r="B14" s="2078"/>
      <c r="C14" s="2079" t="s">
        <v>1794</v>
      </c>
      <c r="D14" s="1050"/>
      <c r="E14" s="1050"/>
      <c r="F14" s="1050"/>
      <c r="G14" s="1050"/>
      <c r="H14" s="1050"/>
      <c r="I14" s="1050">
        <v>50</v>
      </c>
      <c r="J14" s="2042"/>
      <c r="K14" s="2081"/>
      <c r="L14" s="2028"/>
      <c r="M14" s="2028"/>
      <c r="N14" s="2029"/>
      <c r="O14" s="2030"/>
      <c r="P14" s="2029"/>
      <c r="Q14" s="2029"/>
      <c r="R14" s="2029"/>
    </row>
    <row r="15" spans="1:19" ht="18" customHeight="1">
      <c r="A15" s="2063"/>
      <c r="B15" s="2082"/>
      <c r="C15" s="2079"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28.44</v>
      </c>
      <c r="J15" s="2042"/>
      <c r="K15" s="2083"/>
      <c r="L15" s="2084"/>
      <c r="M15" s="2084"/>
      <c r="N15" s="2085"/>
      <c r="O15" s="2084"/>
      <c r="P15" s="2085"/>
      <c r="Q15" s="2029"/>
      <c r="R15" s="2029"/>
    </row>
    <row r="16" spans="1:19" ht="30.75" customHeight="1">
      <c r="A16" s="2066" t="s">
        <v>1796</v>
      </c>
      <c r="B16" s="3008"/>
      <c r="C16" s="3009"/>
      <c r="D16" s="3010"/>
      <c r="E16" s="2086" t="s">
        <v>1797</v>
      </c>
      <c r="F16" s="3011"/>
      <c r="G16" s="3012"/>
      <c r="H16" s="3012"/>
      <c r="I16" s="3013"/>
      <c r="J16" s="2029"/>
      <c r="K16" s="2083"/>
      <c r="L16" s="2084"/>
      <c r="M16" s="2084"/>
      <c r="N16" s="2085"/>
      <c r="O16" s="2084"/>
      <c r="P16" s="2085"/>
      <c r="Q16" s="2029"/>
      <c r="R16" s="2029"/>
    </row>
    <row r="17" spans="1:22" ht="18" customHeight="1">
      <c r="A17" s="2087" t="s">
        <v>1798</v>
      </c>
      <c r="B17" s="2035" t="s">
        <v>1799</v>
      </c>
      <c r="C17" s="1054">
        <f>'数据-汇总表'!E3</f>
        <v>83329.149999999994</v>
      </c>
      <c r="D17" s="2088" t="s">
        <v>1800</v>
      </c>
      <c r="E17" s="3014" t="s">
        <v>1801</v>
      </c>
      <c r="F17" s="3015"/>
      <c r="G17" s="3015"/>
      <c r="H17" s="3015"/>
      <c r="I17" s="3016"/>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77043.08</v>
      </c>
      <c r="D18" s="2091" t="s">
        <v>1800</v>
      </c>
      <c r="E18" s="3017" t="s">
        <v>1804</v>
      </c>
      <c r="F18" s="3018"/>
      <c r="G18" s="3018"/>
      <c r="H18" s="3018"/>
      <c r="I18" s="3019"/>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04" t="s">
        <v>1809</v>
      </c>
      <c r="C20" s="3005"/>
      <c r="D20" s="3006" t="s">
        <v>1810</v>
      </c>
      <c r="E20" s="3007"/>
      <c r="F20" s="2098" t="s">
        <v>1811</v>
      </c>
      <c r="G20" s="2042"/>
      <c r="H20" s="2042"/>
      <c r="I20" s="2042"/>
      <c r="J20" s="2042"/>
      <c r="K20" s="300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1"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1"/>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1"/>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2"/>
      <c r="B30" s="2035" t="s">
        <v>1828</v>
      </c>
      <c r="C30" s="3023"/>
      <c r="D30" s="302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5"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20" t="s">
        <v>1838</v>
      </c>
      <c r="T34" s="2135" t="str">
        <f>NUMBERSTRING(7-K34,1)&amp;"通"</f>
        <v>七通</v>
      </c>
      <c r="U34" s="2029"/>
      <c r="V34" s="2029"/>
    </row>
    <row r="35" spans="1:22" ht="18" customHeight="1">
      <c r="A35" s="2136"/>
      <c r="B35" s="3027" t="s">
        <v>1839</v>
      </c>
      <c r="C35" s="3027"/>
      <c r="D35" s="3027"/>
      <c r="E35" s="302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t="s">
        <v>530</v>
      </c>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t="s">
        <v>3057</v>
      </c>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77043.08</v>
      </c>
      <c r="B3" s="14">
        <f>IF(C3="否",G5-AT5,G5)</f>
        <v>83329.149999999994</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83329.149999999994</v>
      </c>
      <c r="H5" s="16">
        <f t="shared" ref="H5:AT5" si="0">SUM(H13:H656)</f>
        <v>83329.149999999994</v>
      </c>
      <c r="I5" s="16">
        <f t="shared" si="0"/>
        <v>83329.149999999994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83329.149999999994</v>
      </c>
      <c r="BA5" s="18">
        <f t="shared" si="1"/>
        <v>83329.149999999994</v>
      </c>
      <c r="BB5" s="18">
        <f t="shared" si="1"/>
        <v>83329.149999999994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77043.08</v>
      </c>
      <c r="F6" s="16" t="s">
        <v>1</v>
      </c>
      <c r="G6" s="16" t="s">
        <v>2</v>
      </c>
      <c r="H6" s="20">
        <f>SUMIF(I$12:AB$12,"总值",I6:AB6)</f>
        <v>77043.08</v>
      </c>
      <c r="I6" s="16">
        <f t="shared" ref="I6:AB6" si="2">ROUND($A$3*I5/$B$3,2)</f>
        <v>77043.08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77043.08</v>
      </c>
      <c r="AZ6" s="16" t="s">
        <v>3</v>
      </c>
      <c r="BA6" s="16">
        <f>ROUND($AY$6*BA5/$AZ$5,2)</f>
        <v>77043.08</v>
      </c>
      <c r="BB6" s="16">
        <f>ROUND($AY$6*BB5/$AZ$5,2)</f>
        <v>77043.08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3059</v>
      </c>
      <c r="J9" s="981"/>
      <c r="K9" s="2192"/>
      <c r="L9" s="981"/>
      <c r="M9" s="2192"/>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6</v>
      </c>
      <c r="J10" s="981"/>
      <c r="K10" s="2198"/>
      <c r="L10" s="981"/>
      <c r="M10" s="2198"/>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3060</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3058</v>
      </c>
      <c r="E13" s="16">
        <f>IF($C$3="是",ROUND($A$3*G13/$B$3,2),ROUND($A$3*(G13-AT13)/$B$3,2))</f>
        <v>77043.08</v>
      </c>
      <c r="F13" s="32"/>
      <c r="G13" s="33">
        <f>H13+AC13+AT13</f>
        <v>83329.149999999994</v>
      </c>
      <c r="H13" s="20">
        <f>SUMIF(I$12:AB$12,"总值",I13:AB13)</f>
        <v>83329.149999999994</v>
      </c>
      <c r="I13" s="2215">
        <v>83329.149999999994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77043.08</v>
      </c>
      <c r="AZ13" s="16">
        <f>BA13+BL13</f>
        <v>83329.149999999994</v>
      </c>
      <c r="BA13" s="16">
        <f>SUM(BB13:BK13)</f>
        <v>83329.149999999994</v>
      </c>
      <c r="BB13" s="16">
        <f>IF($D13="是",I13-J13,0)</f>
        <v>83329.149999999994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39" t="s">
        <v>1935</v>
      </c>
      <c r="B2" s="3039"/>
      <c r="C2" s="3039"/>
      <c r="D2" s="967" t="s">
        <v>1911</v>
      </c>
      <c r="E2" s="2228" t="s">
        <v>1912</v>
      </c>
      <c r="F2" s="1392"/>
      <c r="G2" s="2229"/>
      <c r="H2" s="2230"/>
      <c r="I2" s="2231" t="s">
        <v>1936</v>
      </c>
      <c r="J2" s="1392"/>
      <c r="K2" s="1392"/>
      <c r="L2" s="1392"/>
      <c r="M2" s="1392"/>
      <c r="N2" s="1427"/>
      <c r="O2" s="1392"/>
      <c r="P2" s="1392"/>
    </row>
    <row r="3" spans="1:16" ht="15.75" thickBot="1">
      <c r="A3" s="3040" t="s">
        <v>1909</v>
      </c>
      <c r="B3" s="3040"/>
      <c r="C3" s="3040"/>
      <c r="D3" s="46">
        <f>'数据-基础表'!AY6</f>
        <v>77043.08</v>
      </c>
      <c r="E3" s="46">
        <f>'数据-基础表'!AZ5</f>
        <v>83329.149999999994</v>
      </c>
      <c r="F3" s="1392"/>
      <c r="G3" s="1399"/>
      <c r="H3" s="1247" t="s">
        <v>1910</v>
      </c>
      <c r="I3" s="55">
        <f>ROUND('数据-基础表'!B3/'数据-基础表'!A3,2)</f>
        <v>1.08</v>
      </c>
      <c r="J3" s="1392"/>
      <c r="K3" s="1392"/>
      <c r="L3" s="1392"/>
      <c r="M3" s="1392"/>
      <c r="N3" s="1427"/>
      <c r="O3" s="1392"/>
      <c r="P3" s="1392"/>
    </row>
    <row r="4" spans="1:16" ht="15">
      <c r="A4" s="3041"/>
      <c r="B4" s="3042"/>
      <c r="C4" s="3043"/>
      <c r="D4" s="2232" t="s">
        <v>1911</v>
      </c>
      <c r="E4" s="2233" t="s">
        <v>1912</v>
      </c>
      <c r="F4" s="1392"/>
      <c r="G4" s="2234" t="s">
        <v>1937</v>
      </c>
      <c r="H4" s="1247" t="s">
        <v>1917</v>
      </c>
      <c r="I4" s="55">
        <f>ROUND(SUMIF('数据-基础表'!I9:AS9,"地上",'数据-基础表'!I5:AS5)/'数据-基础表'!A3,2)</f>
        <v>1.08</v>
      </c>
      <c r="J4" s="1392"/>
      <c r="K4" s="1392"/>
      <c r="L4" s="1392"/>
      <c r="M4" s="1392"/>
      <c r="N4" s="1427"/>
      <c r="O4" s="1392"/>
      <c r="P4" s="1392"/>
    </row>
    <row r="5" spans="1:16">
      <c r="A5" s="47" t="s">
        <v>1913</v>
      </c>
      <c r="B5" s="3044" t="s">
        <v>1914</v>
      </c>
      <c r="C5" s="3044"/>
      <c r="D5" s="48">
        <f>ROUND($D$3*E5/$E$3,2)</f>
        <v>0</v>
      </c>
      <c r="E5" s="49">
        <f>SUMIF('数据-基础表'!$11:$11,"住宅",'数据-基础表'!$5:$5)</f>
        <v>0</v>
      </c>
      <c r="F5" s="1392"/>
      <c r="G5" s="1399"/>
      <c r="H5" s="1247" t="s">
        <v>1910</v>
      </c>
      <c r="I5" s="55">
        <f>ROUND(E31/D31,2)</f>
        <v>1.08</v>
      </c>
      <c r="J5" s="1392"/>
      <c r="K5" s="1392"/>
      <c r="L5" s="1392"/>
      <c r="M5" s="1392"/>
      <c r="N5" s="1392"/>
      <c r="O5" s="1392"/>
      <c r="P5" s="1392"/>
    </row>
    <row r="6" spans="1:16" ht="15" thickBot="1">
      <c r="A6" s="2235"/>
      <c r="B6" s="3044" t="s">
        <v>1915</v>
      </c>
      <c r="C6" s="3044"/>
      <c r="D6" s="48">
        <f>ROUND($D$3*E6/$E$3,2)</f>
        <v>77043.08</v>
      </c>
      <c r="E6" s="49">
        <f>E3-E5</f>
        <v>83329.149999999994</v>
      </c>
      <c r="F6" s="1392"/>
      <c r="G6" s="2236" t="s">
        <v>1916</v>
      </c>
      <c r="H6" s="1399" t="s">
        <v>1917</v>
      </c>
      <c r="I6" s="939">
        <f>ROUND(F31/D31,2)</f>
        <v>1.08</v>
      </c>
      <c r="J6" s="1392"/>
      <c r="K6" s="1392"/>
      <c r="L6" s="1392"/>
      <c r="M6" s="1392"/>
      <c r="N6" s="1392"/>
      <c r="O6" s="1392"/>
      <c r="P6" s="1392"/>
    </row>
    <row r="7" spans="1:16" ht="15">
      <c r="A7" s="3036"/>
      <c r="B7" s="3037"/>
      <c r="C7" s="3038"/>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77043.08</v>
      </c>
      <c r="E8" s="51">
        <f>SUMIF('数据-基础表'!BB10:BK10,"地上",'数据-基础表'!BB5:BK5)</f>
        <v>83329.149999999994</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77043.08</v>
      </c>
      <c r="E16" s="53">
        <f>SUM(E8:E15)</f>
        <v>83329.149999999994</v>
      </c>
      <c r="F16" s="1392"/>
      <c r="G16" s="2238"/>
      <c r="H16" s="2241" t="s">
        <v>1939</v>
      </c>
      <c r="I16" s="2242"/>
      <c r="J16" s="1392"/>
      <c r="K16" s="3033" t="s">
        <v>1939</v>
      </c>
      <c r="L16" s="3034"/>
      <c r="M16" s="3034"/>
      <c r="N16" s="3034"/>
      <c r="O16" s="3034"/>
      <c r="P16" s="3035"/>
    </row>
    <row r="17" spans="1:19" ht="15">
      <c r="A17" s="2243" t="s">
        <v>1940</v>
      </c>
      <c r="B17" s="2244" t="s">
        <v>1941</v>
      </c>
      <c r="C17" s="2245" t="s">
        <v>1942</v>
      </c>
      <c r="D17" s="2246" t="s">
        <v>1930</v>
      </c>
      <c r="E17" s="2247" t="s">
        <v>1931</v>
      </c>
      <c r="F17" s="2248"/>
      <c r="G17" s="2249"/>
      <c r="H17" s="2250" t="s">
        <v>1943</v>
      </c>
      <c r="I17" s="2251" t="s">
        <v>1928</v>
      </c>
      <c r="J17" s="1392"/>
      <c r="K17" s="3030" t="s">
        <v>1944</v>
      </c>
      <c r="L17" s="3031"/>
      <c r="M17" s="3032"/>
      <c r="N17" s="3030" t="s">
        <v>1945</v>
      </c>
      <c r="O17" s="3031"/>
      <c r="P17" s="3032"/>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3283" t="s">
        <v>3061</v>
      </c>
      <c r="D19" s="48">
        <f>ROUND($D$3*E19/$E$3,2)</f>
        <v>77043.08</v>
      </c>
      <c r="E19" s="56">
        <f t="shared" ref="E19:E26" si="1">SUM(F19:G19)</f>
        <v>83329.149999999994</v>
      </c>
      <c r="F19" s="57">
        <f>'数据-基础表'!I13</f>
        <v>83329.149999999994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77043.08</v>
      </c>
      <c r="S19" s="1248">
        <f t="shared" si="5"/>
        <v>83329.149999999994</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1958</v>
      </c>
      <c r="D27" s="1393">
        <f>SUM(D19:D26)</f>
        <v>77043.08</v>
      </c>
      <c r="E27" s="1394">
        <f>IF(SUM(E19:E26)='数据-基础表'!BA5,SUM(E19:E26),IF(F27="地上面积有误","面积有误","地下面积有误"))</f>
        <v>83329.149999999994</v>
      </c>
      <c r="F27" s="1393">
        <f>IF(SUM(F19:F26)=E8,SUM(F19:F26),"地上面积有误")</f>
        <v>83329.149999999994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77043.08</v>
      </c>
      <c r="S27" s="1247">
        <f>IF(SUM(S19:S26)=$E$3,SUM(S19:S26),SUM(S19:S26)&amp;"误差"&amp;ROUND(SUM(S19:S26)-E3,2))</f>
        <v>83329.149999999994</v>
      </c>
    </row>
    <row r="28" spans="1:19">
      <c r="A28" s="2264"/>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1962</v>
      </c>
      <c r="D31" s="729">
        <f>D27+D30</f>
        <v>77043.08</v>
      </c>
      <c r="E31" s="729">
        <f>E27+E30</f>
        <v>83329.149999999994</v>
      </c>
      <c r="F31" s="730">
        <f>F27+F30</f>
        <v>83329.149999999994</v>
      </c>
      <c r="G31" s="731">
        <f>G27+G30</f>
        <v>0</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43661</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3062</v>
      </c>
      <c r="O5" s="2297" t="s">
        <v>1985</v>
      </c>
      <c r="P5" s="2300" t="s">
        <v>1986</v>
      </c>
      <c r="Q5" s="69" t="s">
        <v>1987</v>
      </c>
      <c r="R5" s="2301" t="s">
        <v>1988</v>
      </c>
      <c r="S5" s="2302" t="s">
        <v>1989</v>
      </c>
      <c r="T5" s="2303" t="s">
        <v>1990</v>
      </c>
      <c r="U5" s="1267" t="s">
        <v>1991</v>
      </c>
      <c r="V5" s="1268" t="s">
        <v>1992</v>
      </c>
      <c r="W5" s="1268" t="s">
        <v>1993</v>
      </c>
      <c r="X5" s="71"/>
      <c r="Y5" s="70" t="s">
        <v>1994</v>
      </c>
      <c r="Z5" s="2304" t="s">
        <v>1991</v>
      </c>
      <c r="AA5" s="1268" t="s">
        <v>1992</v>
      </c>
      <c r="AB5" s="1268" t="s">
        <v>1993</v>
      </c>
      <c r="AC5" s="71"/>
      <c r="AD5" s="71" t="s">
        <v>1994</v>
      </c>
      <c r="AE5" s="1267" t="s">
        <v>1995</v>
      </c>
      <c r="AF5" s="1268" t="s">
        <v>1996</v>
      </c>
      <c r="AG5" s="70" t="s">
        <v>1997</v>
      </c>
      <c r="AH5" s="1267" t="s">
        <v>1998</v>
      </c>
      <c r="AI5" s="2304" t="s">
        <v>1999</v>
      </c>
      <c r="AJ5" s="2304" t="s">
        <v>2000</v>
      </c>
      <c r="AK5" s="1268" t="s">
        <v>2001</v>
      </c>
      <c r="AL5" s="1268" t="s">
        <v>2002</v>
      </c>
      <c r="AM5" s="70" t="s">
        <v>2003</v>
      </c>
      <c r="AN5" s="2305" t="s">
        <v>2004</v>
      </c>
      <c r="AO5" s="2075" t="s">
        <v>2005</v>
      </c>
      <c r="AP5" s="1249"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工业</v>
      </c>
      <c r="B6" s="2308" t="str">
        <f>IF(A6=0,"","经营性")</f>
        <v>经营性</v>
      </c>
      <c r="C6" s="2309" t="s">
        <v>6</v>
      </c>
      <c r="D6" s="1051">
        <f>SUMIF(项目基本情况!D$12:I$12,C6,项目基本情况!D$14:I$14)</f>
        <v>50</v>
      </c>
      <c r="E6" s="1048">
        <f>IF(B6="","",SUMIF(项目基本情况!D$12:I$12,C6,项目基本情况!D$13:I$13))</f>
        <v>54045</v>
      </c>
      <c r="F6" s="72">
        <f>SUMIF(项目基本情况!D$12:I$12,C6,项目基本情况!D$15:I$15)</f>
        <v>28.44</v>
      </c>
      <c r="G6" s="73">
        <f>IF(ISERROR(ROUND(POWER(1+H6,D6-F6)*(POWER(1+H6,F6)-1)/(POWER(1+H6,D6)-1),3)),0,ROUND(POWER(1+H6,D6-F6)*(POWER(1+H6,F6)-1)/(POWER(1+H6,D6)-1),3))</f>
        <v>0.78200000000000003</v>
      </c>
      <c r="H6" s="802">
        <v>0.04</v>
      </c>
      <c r="I6" s="802">
        <v>4.4999999999999998E-2</v>
      </c>
      <c r="J6" s="74">
        <v>8.5000000000000006E-2</v>
      </c>
      <c r="K6" s="1251">
        <f>SUMIF('数据-汇总表'!C$19:C$33,A6,'数据-汇总表'!E$19:E$33)</f>
        <v>83329.149999999994</v>
      </c>
      <c r="L6" s="803">
        <v>2200</v>
      </c>
      <c r="M6" s="75">
        <f t="shared" ref="M6:M14" si="0">ROUND(K6*L6/10000,0)</f>
        <v>18332</v>
      </c>
      <c r="N6" s="801">
        <v>0.8</v>
      </c>
      <c r="O6" s="75" t="str">
        <f>IF($N$5="成新度","——",ROUND(M6*N6,0))</f>
        <v>——</v>
      </c>
      <c r="P6" s="76" t="str">
        <f>IF($N$5="成新度","——",M6-O6)</f>
        <v>——</v>
      </c>
      <c r="Q6" s="804">
        <v>0.1</v>
      </c>
      <c r="R6" s="77">
        <f ca="1">SUMIF('数据-汇总表'!C$19:C$33,A6,'数据-汇总表'!R$19:R$27)</f>
        <v>77043.08</v>
      </c>
      <c r="S6" s="54">
        <f>IF('数据-汇总表'!$I$17="按面积比例",SUMIF('数据-汇总表'!C$19:C$33,A6,'数据-汇总表'!K$19:K$33),SUMIF('数据-汇总表'!C$19:C$33,A6,'数据-汇总表'!N$19:N$33))</f>
        <v>0</v>
      </c>
      <c r="T6" s="1443">
        <f>ROUND($L$14*S6/10000,0)</f>
        <v>0</v>
      </c>
      <c r="U6" s="78">
        <v>0.9</v>
      </c>
      <c r="V6" s="79">
        <v>1.4999999999999999E-2</v>
      </c>
      <c r="W6" s="79">
        <v>0.1</v>
      </c>
      <c r="X6" s="1261"/>
      <c r="Y6" s="80">
        <f>N6</f>
        <v>0.8</v>
      </c>
      <c r="Z6" s="81"/>
      <c r="AA6" s="74"/>
      <c r="AB6" s="74"/>
      <c r="AC6" s="1261"/>
      <c r="AD6" s="82"/>
      <c r="AE6" s="1262">
        <f ca="1">IF(AN6="",0,SUMIF(INDIRECT("'"&amp;AN6&amp;"'"&amp;"!E:E"),$AE$5,INDIRECT("'"&amp;AN6&amp;"'"&amp;"!F:F")))</f>
        <v>28.44</v>
      </c>
      <c r="AF6" s="1804"/>
      <c r="AG6" s="147">
        <f>IF(AF6="",0,AE6-AF6)</f>
        <v>0</v>
      </c>
      <c r="AH6" s="83"/>
      <c r="AI6" s="85">
        <v>365</v>
      </c>
      <c r="AJ6" s="86"/>
      <c r="AK6" s="87">
        <v>1.4999999999999999E-2</v>
      </c>
      <c r="AL6" s="88">
        <v>1.5E-3</v>
      </c>
      <c r="AM6" s="89">
        <v>0.01</v>
      </c>
      <c r="AN6" s="2310" t="s">
        <v>3142</v>
      </c>
      <c r="AO6" s="55">
        <f ca="1">SUMIF(INDIRECT("'"&amp;AN6&amp;"'"&amp;"!A:A"),"总价",INDIRECT("'"&amp;AN6&amp;"'"&amp;"!B:B"))</f>
        <v>29946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5"/>
      <c r="D16" s="2315"/>
      <c r="E16" s="97"/>
      <c r="F16" s="97"/>
      <c r="G16" s="98">
        <f>ROUND(SUMPRODUCT(G6:G13,K6:K13)/SUMPRODUCT((G6:G13&gt;0)*(K6:K13)),3)</f>
        <v>0.78200000000000003</v>
      </c>
      <c r="H16" s="99">
        <f>ROUND(SUMPRODUCT(H6:H13,K6:K13)/SUMPRODUCT((H6:H13&gt;0)*(K6:K13)),3)</f>
        <v>0.04</v>
      </c>
      <c r="I16" s="100"/>
      <c r="J16" s="100"/>
      <c r="K16" s="101">
        <f>SUM(K6:K15)</f>
        <v>83329.149999999994</v>
      </c>
      <c r="L16" s="102">
        <f>ROUND(M16*10000/SUM(K6:K14),0)</f>
        <v>2200</v>
      </c>
      <c r="M16" s="102">
        <f>SUM(M6:M14)</f>
        <v>18332</v>
      </c>
      <c r="N16" s="103">
        <f>ROUND(SUMPRODUCT(M6:M14,N6:N14)/M16,3)</f>
        <v>0.8</v>
      </c>
      <c r="O16" s="102">
        <f>SUM(O6:O14)</f>
        <v>0</v>
      </c>
      <c r="P16" s="102">
        <f>SUM(P6:P14)</f>
        <v>0</v>
      </c>
      <c r="Q16" s="104">
        <f>ROUND(SUMPRODUCT(Q6:Q13,K6:K13)/SUMPRODUCT((Q6:Q13&gt;0)*(K6:K13)),2)</f>
        <v>0.1</v>
      </c>
      <c r="R16" s="1255">
        <f ca="1">SUM(R6:R13)</f>
        <v>77043.08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2015</v>
      </c>
      <c r="B19" s="112">
        <v>0</v>
      </c>
      <c r="C19" s="2278" t="s">
        <v>2016</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2017</v>
      </c>
      <c r="B20" s="113">
        <v>1</v>
      </c>
      <c r="C20" s="2278" t="s">
        <v>2018</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2019</v>
      </c>
      <c r="B21" s="113">
        <v>1</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2020</v>
      </c>
      <c r="B22" s="114">
        <f>B19+B20</f>
        <v>1</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2021</v>
      </c>
      <c r="B23" s="114">
        <f>B19+B21</f>
        <v>1</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2022</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2023</v>
      </c>
      <c r="B26" s="2321" t="s">
        <v>2024</v>
      </c>
      <c r="C26" s="2322" t="s">
        <v>2025</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2026</v>
      </c>
      <c r="B27" s="116"/>
      <c r="C27" s="1764" t="s">
        <v>2027</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2028</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2029</v>
      </c>
      <c r="B29" s="121"/>
      <c r="C29" s="1764" t="s">
        <v>2030</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2031</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2032</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2033</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2034</v>
      </c>
      <c r="B33" s="726">
        <v>0.03</v>
      </c>
      <c r="C33" s="1763" t="s">
        <v>2035</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2036</v>
      </c>
      <c r="B34" s="122">
        <v>0</v>
      </c>
      <c r="C34" s="1763" t="s">
        <v>2037</v>
      </c>
      <c r="D34" s="2279" t="s">
        <v>2038</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2039</v>
      </c>
      <c r="B35" s="119">
        <v>200</v>
      </c>
      <c r="C35" s="1763" t="s">
        <v>2040</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2041</v>
      </c>
      <c r="B36" s="123">
        <v>1.4999999999999999E-2</v>
      </c>
      <c r="C36" s="1763" t="s">
        <v>2042</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2043</v>
      </c>
      <c r="B37" s="124">
        <v>0.01</v>
      </c>
      <c r="C37" s="1763" t="s">
        <v>2044</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2045</v>
      </c>
      <c r="B38" s="122">
        <v>0.01</v>
      </c>
      <c r="C38" s="1763" t="s">
        <v>2044</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2046</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2047</v>
      </c>
      <c r="B40" s="1300">
        <f ca="1">存贷款利率!G1</f>
        <v>4.3499999999999997E-2</v>
      </c>
      <c r="C40" s="1763" t="s">
        <v>2048</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2049</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2050</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2051</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2052</v>
      </c>
      <c r="B44" s="128">
        <v>0.05</v>
      </c>
      <c r="C44" s="1763" t="s">
        <v>2053</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2054</v>
      </c>
      <c r="B45" s="126">
        <v>0.03</v>
      </c>
      <c r="C45" s="1764" t="s">
        <v>2055</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2056</v>
      </c>
      <c r="B46" s="126">
        <v>0.02</v>
      </c>
      <c r="C46" s="1764" t="s">
        <v>2057</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2058</v>
      </c>
      <c r="B47" s="129">
        <v>0</v>
      </c>
      <c r="C47" s="1764" t="s">
        <v>2059</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2060</v>
      </c>
      <c r="B48" s="130">
        <v>0.03</v>
      </c>
      <c r="C48" s="1771" t="s">
        <v>2061</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2062</v>
      </c>
      <c r="B49" s="126">
        <v>5.0000000000000001E-4</v>
      </c>
      <c r="C49" s="1771" t="s">
        <v>2063</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2064</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2065</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2066</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2067</v>
      </c>
      <c r="B53" s="2337" t="s">
        <v>56</v>
      </c>
      <c r="C53" s="1427" t="s">
        <v>2068</v>
      </c>
      <c r="D53" s="2338" t="s">
        <v>2069</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2070</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2071</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2072</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2073</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2074</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2075</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2076</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2077</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2078</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2079</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5" t="s">
        <v>2080</v>
      </c>
      <c r="B1" s="3046"/>
      <c r="C1" s="3046"/>
      <c r="D1" s="3046"/>
      <c r="E1" s="3046"/>
      <c r="F1" s="3046"/>
      <c r="G1" s="30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68"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5"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5" t="s">
        <v>2092</v>
      </c>
      <c r="C5" s="2375" t="s">
        <v>2093</v>
      </c>
      <c r="D5" s="2372"/>
      <c r="E5" s="2376"/>
      <c r="F5" s="1795" t="s">
        <v>2094</v>
      </c>
      <c r="G5" s="2377" t="s">
        <v>2095</v>
      </c>
      <c r="H5" s="2369"/>
      <c r="I5" s="2369"/>
      <c r="J5" s="2369"/>
      <c r="K5" s="2369"/>
      <c r="L5" s="2369"/>
      <c r="M5" s="2369"/>
      <c r="N5" s="2369"/>
      <c r="O5" s="2369"/>
      <c r="P5" s="2369"/>
      <c r="Q5" s="2369"/>
      <c r="R5" s="2369"/>
    </row>
    <row r="6" spans="1:29" ht="54">
      <c r="A6" s="431"/>
      <c r="B6" s="1795" t="s">
        <v>2096</v>
      </c>
      <c r="C6" s="2377" t="s">
        <v>2091</v>
      </c>
      <c r="D6" s="2372"/>
      <c r="E6" s="2376"/>
      <c r="F6" s="1795" t="s">
        <v>2097</v>
      </c>
      <c r="G6" s="2377" t="s">
        <v>2098</v>
      </c>
      <c r="H6" s="2369"/>
      <c r="I6" s="2369"/>
      <c r="J6" s="2369"/>
      <c r="K6" s="2369"/>
      <c r="L6" s="2369"/>
      <c r="M6" s="2369"/>
      <c r="N6" s="2369"/>
      <c r="O6" s="2369"/>
      <c r="P6" s="2369"/>
      <c r="Q6" s="2369"/>
      <c r="R6" s="2369"/>
    </row>
    <row r="7" spans="1:29" ht="41.25" thickBot="1">
      <c r="A7" s="431"/>
      <c r="B7" s="1795"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5" t="s">
        <v>2097</v>
      </c>
      <c r="C8" s="2377" t="s">
        <v>2098</v>
      </c>
      <c r="D8" s="2378"/>
      <c r="E8" s="2378"/>
      <c r="F8" s="1133"/>
      <c r="G8" s="1133"/>
      <c r="H8" s="2369"/>
      <c r="I8" s="2369"/>
      <c r="J8" s="2369"/>
      <c r="K8" s="2369"/>
      <c r="L8" s="2369"/>
      <c r="M8" s="2369"/>
      <c r="N8" s="2369"/>
      <c r="O8" s="2369"/>
      <c r="P8" s="2369"/>
      <c r="Q8" s="2369"/>
      <c r="R8" s="2369"/>
    </row>
    <row r="9" spans="1:29" ht="27">
      <c r="A9" s="431"/>
      <c r="B9" s="1795" t="s">
        <v>2101</v>
      </c>
      <c r="C9" s="2375" t="s">
        <v>2102</v>
      </c>
      <c r="D9" s="2372"/>
      <c r="E9" s="2378"/>
      <c r="F9" s="1133"/>
      <c r="G9" s="1133"/>
      <c r="H9" s="2369"/>
      <c r="I9" s="2369"/>
      <c r="J9" s="2369"/>
      <c r="K9" s="2369"/>
      <c r="L9" s="2369"/>
      <c r="M9" s="2369"/>
      <c r="N9" s="2369"/>
      <c r="O9" s="2369"/>
      <c r="P9" s="2369"/>
      <c r="Q9" s="2369"/>
      <c r="R9" s="2369"/>
    </row>
    <row r="10" spans="1:29" s="117" customFormat="1" ht="15.75" thickBot="1">
      <c r="A10" s="2382"/>
      <c r="B10" s="2383" t="s">
        <v>2103</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7" t="s">
        <v>2084</v>
      </c>
      <c r="C15" s="2404" t="str">
        <f>C3</f>
        <v>估价对象周边居住用地比例、居住小区规模和社区发展完善程度，综合评价居住社区成熟度一般</v>
      </c>
      <c r="D15" s="2372"/>
      <c r="E15" s="2405" t="s">
        <v>2108</v>
      </c>
      <c r="F15" s="1267"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69"/>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69"/>
      <c r="D19" s="2372"/>
      <c r="E19" s="2408"/>
      <c r="F19" s="1795"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5" t="s">
        <v>2113</v>
      </c>
      <c r="G20" s="136" t="str">
        <f>G6</f>
        <v>估价对象所在区域基础设施水平</v>
      </c>
    </row>
    <row r="21" spans="1:18" ht="28.5">
      <c r="A21" s="645"/>
      <c r="B21" s="1795" t="s">
        <v>2094</v>
      </c>
      <c r="C21" s="136" t="str">
        <f>C7</f>
        <v>估价对象所在区域公共配套设施齐备情况</v>
      </c>
      <c r="D21" s="2372"/>
      <c r="E21" s="2408"/>
      <c r="F21" s="2409" t="s">
        <v>2114</v>
      </c>
      <c r="G21" s="2410"/>
    </row>
    <row r="22" spans="1:18" ht="13.5" customHeight="1">
      <c r="A22" s="645"/>
      <c r="B22" s="1795" t="s">
        <v>2097</v>
      </c>
      <c r="C22" s="136" t="str">
        <f>C8</f>
        <v>估价对象所在区域基础设施水平</v>
      </c>
      <c r="D22" s="2372"/>
      <c r="E22" s="2408"/>
      <c r="F22" s="2409" t="s">
        <v>2103</v>
      </c>
      <c r="G22" s="1569"/>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83329.149999999994</v>
      </c>
      <c r="C1" s="1742"/>
      <c r="D1" s="1742"/>
      <c r="E1" s="1742"/>
      <c r="F1" s="1742"/>
      <c r="G1" s="1740"/>
    </row>
    <row r="2" spans="1:10" ht="16.5">
      <c r="A2" s="1743" t="s">
        <v>1349</v>
      </c>
      <c r="B2" s="1743">
        <f>SUM(C14:C23)</f>
        <v>77043.08</v>
      </c>
      <c r="C2" s="1742"/>
      <c r="D2" s="1742"/>
      <c r="E2" s="1742"/>
      <c r="F2" s="1742"/>
      <c r="G2" s="1740"/>
    </row>
    <row r="3" spans="1:10" ht="16.5">
      <c r="A3" s="1743" t="s">
        <v>1358</v>
      </c>
      <c r="B3" s="1744">
        <f>项目基本情况!D3</f>
        <v>43661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30140</v>
      </c>
      <c r="C5" s="1743">
        <f ca="1">ROUND(B5*10000/$B$1,0)</f>
        <v>3617</v>
      </c>
      <c r="D5" s="1743">
        <f ca="1">ROUND(B5*10000/$B$2,0)</f>
        <v>3912</v>
      </c>
      <c r="E5" s="1742"/>
      <c r="F5" s="1740"/>
      <c r="G5" s="1740"/>
    </row>
    <row r="6" spans="1:10" ht="16.5">
      <c r="A6" s="1743" t="s">
        <v>1352</v>
      </c>
      <c r="B6" s="1743">
        <f ca="1">SUM(G14:G23)</f>
        <v>30140</v>
      </c>
      <c r="C6" s="1743">
        <f ca="1">ROUND(B6*10000/$B$1,0)</f>
        <v>3617</v>
      </c>
      <c r="D6" s="1743">
        <f ca="1">ROUND(B6*10000/$B$2,0)</f>
        <v>3912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83329.149999999994</v>
      </c>
      <c r="C14" s="1741">
        <f>结果表!C118</f>
        <v>77043.08</v>
      </c>
      <c r="D14" s="1741">
        <f ca="1">结果表!H118</f>
        <v>30140</v>
      </c>
      <c r="E14" s="1741">
        <f ca="1">ROUND(D14*10000/B14,0)</f>
        <v>3617</v>
      </c>
      <c r="F14" s="1741">
        <f ca="1">ROUND(D14*10000/C14,0)</f>
        <v>3912</v>
      </c>
      <c r="G14" s="1741">
        <f ca="1">结果表!D122</f>
        <v>30140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6" sqref="D126:I1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c r="D1" s="2420"/>
      <c r="E1" s="2420"/>
      <c r="F1" s="2422" t="s">
        <v>2118</v>
      </c>
      <c r="G1" s="2071" t="s">
        <v>2119</v>
      </c>
      <c r="H1" s="2423" t="str">
        <f>IF(G1="现房","——","估价对象范围")</f>
        <v>估价对象范围</v>
      </c>
      <c r="I1" s="2424"/>
    </row>
    <row r="2" spans="1:12" ht="21.75" customHeight="1" thickBot="1">
      <c r="A2" s="3119" t="str">
        <f>项目基本情况!S2</f>
        <v>出让国有建设用地使用权及在建建筑物房地产</v>
      </c>
      <c r="B2" s="3120"/>
      <c r="C2" s="3120"/>
      <c r="D2" s="3120"/>
      <c r="E2" s="3120"/>
      <c r="F2" s="3120"/>
      <c r="G2" s="3120"/>
      <c r="H2" s="3120"/>
      <c r="I2" s="3121"/>
    </row>
    <row r="3" spans="1:12" ht="12.75">
      <c r="A3" s="3122" t="s">
        <v>2120</v>
      </c>
      <c r="B3" s="3123"/>
      <c r="C3" s="3123"/>
      <c r="D3" s="3123"/>
      <c r="E3" s="3123"/>
      <c r="F3" s="3123"/>
      <c r="G3" s="3123"/>
      <c r="H3" s="3123"/>
      <c r="I3" s="3123"/>
    </row>
    <row r="4" spans="1:12" ht="14.25">
      <c r="A4" s="2427" t="s">
        <v>2121</v>
      </c>
      <c r="B4" s="2428" t="s">
        <v>2122</v>
      </c>
      <c r="C4" s="2429" t="s">
        <v>3150</v>
      </c>
      <c r="D4" s="2429" t="s">
        <v>3142</v>
      </c>
      <c r="E4" s="3103" t="s">
        <v>2123</v>
      </c>
      <c r="F4" s="3116"/>
      <c r="G4" s="3116"/>
      <c r="H4" s="3116"/>
      <c r="I4" s="310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2124</v>
      </c>
      <c r="B5" s="3020">
        <v>25</v>
      </c>
      <c r="C5" s="3124"/>
      <c r="D5" s="3112"/>
      <c r="E5" s="140" t="s">
        <v>2125</v>
      </c>
      <c r="F5" s="2431"/>
      <c r="G5" s="2431"/>
      <c r="H5" s="2431"/>
      <c r="I5" s="1831"/>
    </row>
    <row r="6" spans="1:12" ht="12.75">
      <c r="A6" s="3094"/>
      <c r="B6" s="3020"/>
      <c r="C6" s="3126"/>
      <c r="D6" s="3112"/>
      <c r="E6" s="140" t="s">
        <v>2126</v>
      </c>
      <c r="F6" s="2431"/>
      <c r="G6" s="2431"/>
      <c r="H6" s="2431"/>
      <c r="I6" s="1831"/>
    </row>
    <row r="7" spans="1:12" ht="12.75">
      <c r="A7" s="3094"/>
      <c r="B7" s="3020"/>
      <c r="C7" s="3125"/>
      <c r="D7" s="3112"/>
      <c r="E7" s="140" t="s">
        <v>2127</v>
      </c>
      <c r="F7" s="2431"/>
      <c r="G7" s="2431"/>
      <c r="H7" s="2431"/>
      <c r="I7" s="1831"/>
    </row>
    <row r="8" spans="1:12" ht="12.75">
      <c r="A8" s="3094" t="s">
        <v>2128</v>
      </c>
      <c r="B8" s="3020">
        <v>15</v>
      </c>
      <c r="C8" s="3124"/>
      <c r="D8" s="3112"/>
      <c r="E8" s="140" t="s">
        <v>2129</v>
      </c>
      <c r="F8" s="2431"/>
      <c r="G8" s="2431"/>
      <c r="H8" s="2431"/>
      <c r="I8" s="1831"/>
    </row>
    <row r="9" spans="1:12" ht="12.75">
      <c r="A9" s="3094"/>
      <c r="B9" s="3020"/>
      <c r="C9" s="3125"/>
      <c r="D9" s="3112"/>
      <c r="E9" s="140" t="s">
        <v>2130</v>
      </c>
      <c r="F9" s="2431"/>
      <c r="G9" s="2431"/>
      <c r="H9" s="2431"/>
      <c r="I9" s="1831"/>
    </row>
    <row r="10" spans="1:12" ht="12.75">
      <c r="A10" s="3094" t="s">
        <v>2131</v>
      </c>
      <c r="B10" s="3020">
        <v>15</v>
      </c>
      <c r="C10" s="3124"/>
      <c r="D10" s="3112"/>
      <c r="E10" s="140" t="s">
        <v>2132</v>
      </c>
      <c r="F10" s="2431"/>
      <c r="G10" s="2431"/>
      <c r="H10" s="2431"/>
      <c r="I10" s="1831"/>
    </row>
    <row r="11" spans="1:12" ht="12.75">
      <c r="A11" s="3094"/>
      <c r="B11" s="3020"/>
      <c r="C11" s="3125"/>
      <c r="D11" s="3112"/>
      <c r="E11" s="140" t="s">
        <v>2133</v>
      </c>
      <c r="F11" s="2431"/>
      <c r="G11" s="2431"/>
      <c r="H11" s="2431"/>
      <c r="I11" s="1831"/>
    </row>
    <row r="12" spans="1:12" ht="12.75">
      <c r="A12" s="3094" t="s">
        <v>2134</v>
      </c>
      <c r="B12" s="3020">
        <v>15</v>
      </c>
      <c r="C12" s="3124"/>
      <c r="D12" s="3112"/>
      <c r="E12" s="140" t="s">
        <v>2135</v>
      </c>
      <c r="F12" s="2431"/>
      <c r="G12" s="2431"/>
      <c r="H12" s="2431"/>
      <c r="I12" s="1831"/>
    </row>
    <row r="13" spans="1:12" ht="12.75">
      <c r="A13" s="3094"/>
      <c r="B13" s="3020"/>
      <c r="C13" s="3125"/>
      <c r="D13" s="3112"/>
      <c r="E13" s="140" t="s">
        <v>2136</v>
      </c>
      <c r="F13" s="2431"/>
      <c r="G13" s="2431"/>
      <c r="H13" s="2431"/>
      <c r="I13" s="1831"/>
    </row>
    <row r="14" spans="1:12" ht="12.75">
      <c r="A14" s="3094" t="s">
        <v>2137</v>
      </c>
      <c r="B14" s="3020">
        <v>30</v>
      </c>
      <c r="C14" s="3124">
        <v>5</v>
      </c>
      <c r="D14" s="3112">
        <v>5</v>
      </c>
      <c r="E14" s="140" t="s">
        <v>2138</v>
      </c>
      <c r="F14" s="2431"/>
      <c r="G14" s="2431"/>
      <c r="H14" s="2431"/>
      <c r="I14" s="1831"/>
    </row>
    <row r="15" spans="1:12" ht="12.75">
      <c r="A15" s="3094"/>
      <c r="B15" s="3020"/>
      <c r="C15" s="3126"/>
      <c r="D15" s="3112"/>
      <c r="E15" s="140" t="s">
        <v>2139</v>
      </c>
      <c r="F15" s="2431"/>
      <c r="G15" s="2431"/>
      <c r="H15" s="2431"/>
      <c r="I15" s="1831"/>
    </row>
    <row r="16" spans="1:12" ht="12.75">
      <c r="A16" s="3094"/>
      <c r="B16" s="3020"/>
      <c r="C16" s="3125"/>
      <c r="D16" s="3112"/>
      <c r="E16" s="140" t="s">
        <v>2140</v>
      </c>
      <c r="F16" s="2431"/>
      <c r="G16" s="2431"/>
      <c r="H16" s="2431"/>
      <c r="I16" s="1831"/>
    </row>
    <row r="17" spans="1:35" ht="15">
      <c r="A17" s="2432" t="s">
        <v>2141</v>
      </c>
      <c r="B17" s="64"/>
      <c r="C17" s="141">
        <f>SUM(C5:C16)</f>
        <v>5</v>
      </c>
      <c r="D17" s="141">
        <f>SUM(D5:D16)</f>
        <v>5</v>
      </c>
      <c r="E17" s="138"/>
      <c r="F17" s="138"/>
      <c r="G17" s="138"/>
      <c r="H17" s="138"/>
      <c r="I17" s="138"/>
      <c r="K17" s="2430"/>
      <c r="L17" s="2433" t="s">
        <v>2142</v>
      </c>
      <c r="M17" s="2433" t="s">
        <v>2143</v>
      </c>
    </row>
    <row r="18" spans="1:35" ht="15.75" thickBot="1">
      <c r="A18" s="2434" t="s">
        <v>2144</v>
      </c>
      <c r="B18" s="2435"/>
      <c r="C18" s="142">
        <f>ROUND(C17/SUM(C17:D17),2)</f>
        <v>0.5</v>
      </c>
      <c r="D18" s="142">
        <f>1-C18</f>
        <v>0.5</v>
      </c>
      <c r="E18" s="138"/>
      <c r="F18" s="138"/>
      <c r="G18" s="138"/>
      <c r="H18" s="138"/>
      <c r="I18" s="138"/>
      <c r="K18" s="2430" t="s">
        <v>2145</v>
      </c>
      <c r="L18" s="2430">
        <f>IF(C1="",'数据-汇总表'!E3,SUMIF(项目类型,C1,'数据-汇总表'!E17:E26)+SUMIF(项目类型,C1,'数据-汇总表'!I17:I26))</f>
        <v>83329.149999999994</v>
      </c>
      <c r="M18" s="2430">
        <f>IF(C1="",'数据-汇总表'!E3,SUMIF(项目类型,C1,'数据-汇总表'!E17:E26))</f>
        <v>83329.149999999994</v>
      </c>
    </row>
    <row r="19" spans="1:35" ht="15">
      <c r="A19" s="2436" t="s">
        <v>2146</v>
      </c>
      <c r="B19" s="2437" t="s">
        <v>2147</v>
      </c>
      <c r="C19" s="143">
        <f ca="1">SUMIF(INDIRECT("'"&amp;C4&amp;"'"&amp;"!A:A"),结果表!B19,INDIRECT("'"&amp;C4&amp;"'"&amp;"!B:B"))</f>
        <v>30334</v>
      </c>
      <c r="D19" s="144">
        <f ca="1">SUMIF(INDIRECT("'"&amp;D4&amp;"'"&amp;"!A:A"),结果表!B19,INDIRECT("'"&amp;D4&amp;"'"&amp;"!B:B"))</f>
        <v>29946</v>
      </c>
      <c r="E19" s="2436" t="s">
        <v>2148</v>
      </c>
      <c r="F19" s="2437" t="s">
        <v>2147</v>
      </c>
      <c r="G19" s="145">
        <f ca="1">ROUND(C19*$C$18+D19*$D$18,0)</f>
        <v>30140</v>
      </c>
      <c r="H19" s="2438" t="s">
        <v>2149</v>
      </c>
      <c r="I19" s="138"/>
      <c r="K19" s="2430" t="s">
        <v>2150</v>
      </c>
      <c r="L19" s="2430">
        <f>IF(C1="",'数据-汇总表'!D3,SUMIF(项目类型,C1,'数据-汇总表'!D17:D26)+SUMIF(项目类型,C1,'数据-汇总表'!H17:H27))</f>
        <v>77043.08</v>
      </c>
      <c r="M19" s="2430">
        <f>IF(C1="",'数据-汇总表'!D3,SUMIF(项目类型,C1,'数据-汇总表'!D17:D26))</f>
        <v>77043.08</v>
      </c>
    </row>
    <row r="20" spans="1:35" ht="15">
      <c r="A20" s="2439"/>
      <c r="B20" s="1247" t="s">
        <v>2151</v>
      </c>
      <c r="C20" s="146">
        <f ca="1">SUMIF(INDIRECT("'"&amp;C4&amp;"'"&amp;"!A:A"),结果表!B20,INDIRECT("'"&amp;C4&amp;"'"&amp;"!B:B"))</f>
        <v>3640</v>
      </c>
      <c r="D20" s="147">
        <f ca="1">SUMIF(INDIRECT("'"&amp;D4&amp;"'"&amp;"!A:A"),结果表!B20,INDIRECT("'"&amp;D4&amp;"'"&amp;"!B:B"))</f>
        <v>3594</v>
      </c>
      <c r="E20" s="2439"/>
      <c r="F20" s="1247" t="s">
        <v>2151</v>
      </c>
      <c r="G20" s="148">
        <f ca="1">ROUND(C20*$C$18+D20*$D$18,0)</f>
        <v>3617</v>
      </c>
      <c r="H20" s="980" t="s">
        <v>2152</v>
      </c>
      <c r="I20" s="138"/>
    </row>
    <row r="21" spans="1:35" ht="15" customHeight="1" thickBot="1">
      <c r="A21" s="1000"/>
      <c r="B21" s="2440" t="s">
        <v>2153</v>
      </c>
      <c r="C21" s="789">
        <f ca="1">ROUND(C19*10000/L19,0)</f>
        <v>3937</v>
      </c>
      <c r="D21" s="790">
        <f ca="1">ROUND(D19*10000/L19,0)</f>
        <v>3887</v>
      </c>
      <c r="E21" s="1000"/>
      <c r="F21" s="2440" t="s">
        <v>2153</v>
      </c>
      <c r="G21" s="149">
        <f ca="1">ROUND(G19*10000/L19,0)</f>
        <v>3912</v>
      </c>
      <c r="H21" s="2441" t="s">
        <v>2152</v>
      </c>
      <c r="I21" s="138"/>
    </row>
    <row r="22" spans="1:35" ht="15" thickBot="1">
      <c r="A22" s="2282" t="s">
        <v>2154</v>
      </c>
      <c r="B22" s="2442"/>
      <c r="C22" s="2443"/>
      <c r="D22" s="791">
        <f ca="1">IF(C19&lt;D19,D19/C19-1,C19/D19-1)</f>
        <v>1.2956655312896581E-2</v>
      </c>
      <c r="E22" s="138"/>
      <c r="F22" s="138"/>
      <c r="G22" s="138"/>
      <c r="H22" s="138"/>
      <c r="I22" s="138"/>
    </row>
    <row r="23" spans="1:35" ht="13.5" thickBot="1">
      <c r="A23" s="2420"/>
      <c r="B23" s="2420"/>
      <c r="C23" s="2420"/>
      <c r="D23" s="2420"/>
      <c r="E23" s="138"/>
      <c r="F23" s="138"/>
      <c r="G23" s="138"/>
      <c r="H23" s="138"/>
      <c r="I23" s="138"/>
    </row>
    <row r="24" spans="1:35" ht="14.25">
      <c r="A24" s="3133" t="s">
        <v>2155</v>
      </c>
      <c r="B24" s="2437" t="s">
        <v>2147</v>
      </c>
      <c r="C24" s="145">
        <f>IF(B30=0,0,D30)</f>
        <v>0</v>
      </c>
      <c r="D24" s="2444"/>
      <c r="E24" s="138"/>
      <c r="F24" s="138"/>
      <c r="G24" s="138"/>
      <c r="H24" s="138"/>
      <c r="I24" s="138"/>
    </row>
    <row r="25" spans="1:35" ht="14.25">
      <c r="A25" s="3134"/>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30140</v>
      </c>
      <c r="D32" s="2451" t="s">
        <v>2162</v>
      </c>
      <c r="E32" s="138"/>
      <c r="F32" s="138"/>
      <c r="G32" s="138"/>
      <c r="H32" s="138"/>
      <c r="I32" s="138"/>
    </row>
    <row r="33" spans="1:15" ht="15">
      <c r="A33" s="957" t="s">
        <v>2163</v>
      </c>
      <c r="B33" s="2452"/>
      <c r="C33" s="2453" t="s">
        <v>3151</v>
      </c>
      <c r="D33" s="2454" t="s">
        <v>3150</v>
      </c>
      <c r="E33" s="2455" t="s">
        <v>2164</v>
      </c>
      <c r="F33" s="2456" t="str">
        <f>IF(D32="楼面单价","取值（单价）","取值（总价）")</f>
        <v>取值（总价）</v>
      </c>
      <c r="G33" s="138"/>
      <c r="H33" s="138"/>
      <c r="I33" s="138"/>
    </row>
    <row r="34" spans="1:15" ht="15">
      <c r="A34" s="2457"/>
      <c r="B34" s="2458" t="s">
        <v>2165</v>
      </c>
      <c r="C34" s="157">
        <f ca="1">IF(C33="自定义",F34,C32-C35)</f>
        <v>10127</v>
      </c>
      <c r="D34" s="1055">
        <f ca="1">IF(C33="自定义",ROUND(C34/C32,3),IF(C33="收益比率",SUMIF(INDIRECT("'"&amp;D33&amp;"'"&amp;"!b:b"),"土地收益比率",INDIRECT("'"&amp;D33&amp;"'"&amp;"!c:c")),SUMIF(INDIRECT("'"&amp;D33&amp;"'"&amp;"!b:b"),"土地成本比率",INDIRECT("'"&amp;D33&amp;"'"&amp;"!c:c"))))</f>
        <v>0.33599999999999997</v>
      </c>
      <c r="E34" s="2459" t="s">
        <v>2166</v>
      </c>
      <c r="F34" s="1736"/>
      <c r="G34" s="138"/>
      <c r="H34" s="138"/>
      <c r="I34" s="138"/>
    </row>
    <row r="35" spans="1:15" ht="15.75" thickBot="1">
      <c r="A35" s="2460"/>
      <c r="B35" s="2461" t="s">
        <v>2167</v>
      </c>
      <c r="C35" s="1441">
        <f ca="1">IF(C33="自定义",F35,ROUND(C32*D35,0))</f>
        <v>20013</v>
      </c>
      <c r="D35" s="1442">
        <f ca="1">IF(C33="自定义",ROUND(C35/C32,3),IF(C33="收益比率",SUMIF(INDIRECT("'"&amp;D33&amp;"'"&amp;"!b:b"),"建筑物收益比率",INDIRECT("'"&amp;D33&amp;"'"&amp;"!c:c")),SUMIF(INDIRECT("'"&amp;D33&amp;"'"&amp;"!b:b"),"建筑物成本比率",INDIRECT("'"&amp;D33&amp;"'"&amp;"!c:c"))))</f>
        <v>0.66400000000000003</v>
      </c>
      <c r="E35" s="2462" t="s">
        <v>2168</v>
      </c>
      <c r="F35" s="163"/>
      <c r="G35" s="138"/>
      <c r="H35" s="138"/>
      <c r="I35" s="138"/>
    </row>
    <row r="36" spans="1:15" ht="15.75" thickBot="1">
      <c r="A36" s="3113" t="s">
        <v>2169</v>
      </c>
      <c r="B36" s="2463" t="s">
        <v>2170</v>
      </c>
      <c r="C36" s="154"/>
      <c r="D36" s="2464"/>
      <c r="E36" s="2465"/>
      <c r="F36" s="2466"/>
      <c r="G36" s="138"/>
      <c r="H36" s="138"/>
      <c r="I36" s="138"/>
    </row>
    <row r="37" spans="1:15" ht="15.75" thickBot="1">
      <c r="A37" s="3114"/>
      <c r="B37" s="2268" t="s">
        <v>2171</v>
      </c>
      <c r="C37" s="156"/>
      <c r="D37" s="1392"/>
      <c r="E37" s="1392"/>
      <c r="F37" s="2466"/>
      <c r="G37" s="138"/>
      <c r="H37" s="138"/>
      <c r="I37" s="138"/>
    </row>
    <row r="38" spans="1:15" ht="15.75" thickBot="1">
      <c r="A38" s="3115"/>
      <c r="B38" s="2467" t="s">
        <v>2172</v>
      </c>
      <c r="C38" s="727"/>
      <c r="D38" s="2468" t="s">
        <v>2173</v>
      </c>
      <c r="E38" s="1392"/>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30" t="s">
        <v>2183</v>
      </c>
      <c r="B45" s="3131"/>
      <c r="C45" s="3132"/>
      <c r="D45" s="164">
        <f ca="1">ROUND(H101*F45,0)</f>
        <v>30140</v>
      </c>
      <c r="E45" s="165" t="s">
        <v>2184</v>
      </c>
      <c r="F45" s="166">
        <v>1</v>
      </c>
      <c r="G45" s="167" t="s">
        <v>2185</v>
      </c>
      <c r="H45" s="138"/>
      <c r="I45" s="138"/>
      <c r="J45" s="3049" t="s">
        <v>2186</v>
      </c>
      <c r="K45" s="3049"/>
      <c r="L45" s="3049"/>
      <c r="M45" s="3049"/>
      <c r="N45" s="3049"/>
      <c r="O45" s="3049"/>
    </row>
    <row r="46" spans="1:15" ht="14.25" customHeight="1">
      <c r="A46" s="3127" t="s">
        <v>2187</v>
      </c>
      <c r="B46" s="3128"/>
      <c r="C46" s="3128"/>
      <c r="D46" s="3128"/>
      <c r="E46" s="3128"/>
      <c r="F46" s="3128"/>
      <c r="G46" s="3129"/>
      <c r="H46" s="2482"/>
      <c r="I46" s="168"/>
      <c r="J46" s="1809">
        <v>1</v>
      </c>
      <c r="K46" s="3049" t="s">
        <v>2188</v>
      </c>
      <c r="L46" s="3049"/>
      <c r="M46" s="3050"/>
      <c r="N46" s="3050"/>
      <c r="O46" s="3050"/>
    </row>
    <row r="47" spans="1:15" ht="12" customHeight="1">
      <c r="A47" s="169" t="s">
        <v>2189</v>
      </c>
      <c r="B47" s="170"/>
      <c r="C47" s="171"/>
      <c r="D47" s="172" t="s">
        <v>2190</v>
      </c>
      <c r="E47" s="24" t="s">
        <v>2191</v>
      </c>
      <c r="F47" s="173" t="s">
        <v>2192</v>
      </c>
      <c r="G47" s="174" t="s">
        <v>2193</v>
      </c>
      <c r="H47" s="2482"/>
      <c r="I47" s="168"/>
      <c r="J47" s="1809">
        <v>2</v>
      </c>
      <c r="K47" s="3049" t="s">
        <v>2194</v>
      </c>
      <c r="L47" s="3049"/>
      <c r="M47" s="3051">
        <f>'数据-取费表'!B2</f>
        <v>43661</v>
      </c>
      <c r="N47" s="3051"/>
      <c r="O47" s="3051"/>
    </row>
    <row r="48" spans="1:15" ht="25.5">
      <c r="A48" s="3117" t="s">
        <v>2195</v>
      </c>
      <c r="B48" s="3118"/>
      <c r="C48" s="3118"/>
      <c r="D48" s="140">
        <f>IF(H48="情况1",0,IF(H48="情况2",D52,IF(H48="情况3",D53,IF(H48="情况4",D54))))</f>
        <v>0</v>
      </c>
      <c r="E48" s="1798" t="str">
        <f>IF(H48="情况4","(销售额-原购置价)×税（费）率","销售额×税（费）率")</f>
        <v>销售额×税（费）率</v>
      </c>
      <c r="F48" s="175" t="str">
        <f>IF(H48="情况1","免征",'数据-取费表'!B41)</f>
        <v>免征</v>
      </c>
      <c r="G48" s="2483" t="s">
        <v>2196</v>
      </c>
      <c r="H48" s="2484" t="s">
        <v>2197</v>
      </c>
      <c r="I48" s="2482"/>
      <c r="J48" s="1809">
        <v>3</v>
      </c>
      <c r="K48" s="3049" t="s">
        <v>2198</v>
      </c>
      <c r="L48" s="3049"/>
      <c r="M48" s="3052">
        <f ca="1">H101</f>
        <v>30140</v>
      </c>
      <c r="N48" s="3052"/>
      <c r="O48" s="3052"/>
    </row>
    <row r="49" spans="1:35" ht="25.5" customHeight="1">
      <c r="A49" s="176" t="s">
        <v>2199</v>
      </c>
      <c r="B49" s="3097" t="s">
        <v>2200</v>
      </c>
      <c r="C49" s="3097"/>
      <c r="D49" s="177">
        <v>0</v>
      </c>
      <c r="E49" s="23" t="s">
        <v>2201</v>
      </c>
      <c r="F49" s="28" t="s">
        <v>34</v>
      </c>
      <c r="G49" s="3078"/>
      <c r="H49" s="138"/>
      <c r="I49" s="2485"/>
      <c r="J49" s="1809">
        <v>4</v>
      </c>
      <c r="K49" s="3049" t="str">
        <f>IF(项目基本情况!E8="房地产抵押价值","房地产抵押价值","抵押担保权已注销时的房地产抵押价值")</f>
        <v>抵押担保权已注销时的房地产抵押价值</v>
      </c>
      <c r="L49" s="3049"/>
      <c r="M49" s="3052" t="str">
        <f>IF(项目基本情况!E8="房地产抵押价值",H107,H109)</f>
        <v>——</v>
      </c>
      <c r="N49" s="3052"/>
      <c r="O49" s="3052"/>
    </row>
    <row r="50" spans="1:35" ht="25.5" customHeight="1">
      <c r="A50" s="178"/>
      <c r="B50" s="3097" t="s">
        <v>2202</v>
      </c>
      <c r="C50" s="3097"/>
      <c r="D50" s="179"/>
      <c r="E50" s="31"/>
      <c r="F50" s="180"/>
      <c r="G50" s="3079"/>
      <c r="H50" s="138"/>
      <c r="I50" s="2485"/>
      <c r="J50" s="3049" t="s">
        <v>2203</v>
      </c>
      <c r="K50" s="3049"/>
      <c r="L50" s="3049"/>
      <c r="M50" s="3049"/>
      <c r="N50" s="3049"/>
      <c r="O50" s="3049"/>
    </row>
    <row r="51" spans="1:35" ht="12" customHeight="1">
      <c r="A51" s="181"/>
      <c r="B51" s="3097" t="s">
        <v>2204</v>
      </c>
      <c r="C51" s="3097"/>
      <c r="D51" s="182"/>
      <c r="E51" s="30"/>
      <c r="F51" s="180"/>
      <c r="G51" s="3080"/>
      <c r="H51" s="138"/>
      <c r="I51" s="2485"/>
      <c r="J51" s="2486" t="s">
        <v>2205</v>
      </c>
      <c r="K51" s="3049" t="s">
        <v>2206</v>
      </c>
      <c r="L51" s="3049"/>
      <c r="M51" s="2486" t="s">
        <v>2207</v>
      </c>
      <c r="N51" s="2486" t="s">
        <v>2208</v>
      </c>
      <c r="O51" s="2486" t="s">
        <v>2209</v>
      </c>
    </row>
    <row r="52" spans="1:35" ht="24" customHeight="1">
      <c r="A52" s="183" t="s">
        <v>2210</v>
      </c>
      <c r="B52" s="3097" t="s">
        <v>2211</v>
      </c>
      <c r="C52" s="3097"/>
      <c r="D52" s="182">
        <f ca="1">ROUND(D45*'数据-取费表'!B41/(1+'数据-取费表'!C42),0)</f>
        <v>1579</v>
      </c>
      <c r="E52" s="11" t="s">
        <v>2212</v>
      </c>
      <c r="F52" s="184">
        <f>'数据-取费表'!B41</f>
        <v>5.5000000000000007E-2</v>
      </c>
      <c r="G52" s="2487"/>
      <c r="H52" s="138"/>
      <c r="I52" s="2485"/>
      <c r="J52" s="1809">
        <v>1</v>
      </c>
      <c r="K52" s="3072" t="s">
        <v>2213</v>
      </c>
      <c r="L52" s="3072"/>
      <c r="M52" s="1751">
        <f>D48</f>
        <v>0</v>
      </c>
      <c r="N52" s="1809" t="str">
        <f>E48</f>
        <v>销售额×税（费）率</v>
      </c>
      <c r="O52" s="1752" t="str">
        <f>F48</f>
        <v>免征</v>
      </c>
    </row>
    <row r="53" spans="1:35" ht="12" customHeight="1">
      <c r="A53" s="183" t="s">
        <v>2214</v>
      </c>
      <c r="B53" s="3098" t="s">
        <v>2215</v>
      </c>
      <c r="C53" s="3099"/>
      <c r="D53" s="182">
        <f ca="1">ROUND(D45*'数据-取费表'!B41/(1+'数据-取费表'!C42),0)</f>
        <v>1579</v>
      </c>
      <c r="E53" s="11" t="s">
        <v>2212</v>
      </c>
      <c r="F53" s="184">
        <f>'数据-取费表'!B41</f>
        <v>5.5000000000000007E-2</v>
      </c>
      <c r="G53" s="2487"/>
      <c r="H53" s="138"/>
      <c r="I53" s="2485"/>
      <c r="J53" s="1809">
        <v>2</v>
      </c>
      <c r="K53" s="3072" t="s">
        <v>2216</v>
      </c>
      <c r="L53" s="3072"/>
      <c r="M53" s="1751">
        <f t="shared" ref="M53:O54" ca="1" si="0">D55</f>
        <v>15</v>
      </c>
      <c r="N53" s="1809" t="str">
        <f t="shared" si="0"/>
        <v>销售额×税（费）率</v>
      </c>
      <c r="O53" s="1752">
        <f t="shared" si="0"/>
        <v>5.0000000000000001E-4</v>
      </c>
    </row>
    <row r="54" spans="1:35" ht="12" customHeight="1">
      <c r="A54" s="183" t="s">
        <v>2217</v>
      </c>
      <c r="B54" s="3098" t="s">
        <v>2218</v>
      </c>
      <c r="C54" s="3099"/>
      <c r="D54" s="182">
        <f ca="1">C68</f>
        <v>1579</v>
      </c>
      <c r="E54" s="30" t="s">
        <v>2219</v>
      </c>
      <c r="F54" s="184">
        <f>'数据-取费表'!B41</f>
        <v>5.5000000000000007E-2</v>
      </c>
      <c r="G54" s="2487"/>
      <c r="H54" s="2488"/>
      <c r="I54" s="2485"/>
      <c r="J54" s="1809">
        <v>3</v>
      </c>
      <c r="K54" s="3072" t="s">
        <v>2220</v>
      </c>
      <c r="L54" s="3072"/>
      <c r="M54" s="1751">
        <f t="shared" ca="1" si="0"/>
        <v>17086</v>
      </c>
      <c r="N54" s="1809" t="str">
        <f t="shared" si="0"/>
        <v>增值额×税（费）率</v>
      </c>
      <c r="O54" s="1753" t="str">
        <f t="shared" si="0"/>
        <v>——</v>
      </c>
    </row>
    <row r="55" spans="1:35" ht="24" customHeight="1">
      <c r="A55" s="3136" t="s">
        <v>2221</v>
      </c>
      <c r="B55" s="3118"/>
      <c r="C55" s="3118"/>
      <c r="D55" s="185">
        <f ca="1">IF(H55="个人住宅",0,ROUND(D45*I55,0))</f>
        <v>15</v>
      </c>
      <c r="E55" s="11" t="s">
        <v>2222</v>
      </c>
      <c r="F55" s="184">
        <f>IF(H55="正常",I55,"免征")</f>
        <v>5.0000000000000001E-4</v>
      </c>
      <c r="G55" s="2487"/>
      <c r="H55" s="2484" t="s">
        <v>2223</v>
      </c>
      <c r="I55" s="186">
        <f>'数据-取费表'!B49</f>
        <v>5.0000000000000001E-4</v>
      </c>
      <c r="J55" s="1809" t="str">
        <f>IF(H59="非个人房产","",4)</f>
        <v/>
      </c>
      <c r="K55" s="3072" t="str">
        <f>IF(H59="非个人房产","——","个人所得税")</f>
        <v>——</v>
      </c>
      <c r="L55" s="3072"/>
      <c r="M55" s="1754" t="str">
        <f>D59</f>
        <v>——</v>
      </c>
      <c r="N55" s="1807" t="str">
        <f>E59</f>
        <v>——</v>
      </c>
      <c r="O55" s="1755" t="str">
        <f>F59</f>
        <v>——</v>
      </c>
    </row>
    <row r="56" spans="1:35" ht="24.75">
      <c r="A56" s="3136" t="s">
        <v>2224</v>
      </c>
      <c r="B56" s="3118"/>
      <c r="C56" s="3118"/>
      <c r="D56" s="185">
        <f ca="1">IF(H56="个人住宅",D57,D58)</f>
        <v>17086</v>
      </c>
      <c r="E56" s="11" t="s">
        <v>2225</v>
      </c>
      <c r="F56" s="184" t="str">
        <f>IF(H56="正常",F58,"免征")</f>
        <v>——</v>
      </c>
      <c r="G56" s="2489" t="s">
        <v>2226</v>
      </c>
      <c r="H56" s="2490" t="s">
        <v>2223</v>
      </c>
      <c r="I56" s="2491"/>
      <c r="J56" s="1809" t="str">
        <f>IF(项目基本情况!K6="上海银行",IF(J55="",4,J55+1),"")</f>
        <v/>
      </c>
      <c r="K56" s="3055" t="str">
        <f>IF(项目基本情况!K6="上海银行","其他处置费用","")</f>
        <v/>
      </c>
      <c r="L56" s="3056"/>
      <c r="M56" s="1751" t="str">
        <f>IF(项目基本情况!K6="上海银行",M69,"")</f>
        <v/>
      </c>
      <c r="N56" s="3058" t="str">
        <f>IF(项目基本情况!K6="上海银行","包含处置中涉及的律师、诉讼、拍卖、评估等费用","")</f>
        <v/>
      </c>
      <c r="O56" s="3059"/>
    </row>
    <row r="57" spans="1:35" ht="12.75">
      <c r="A57" s="183" t="s">
        <v>2199</v>
      </c>
      <c r="B57" s="3103" t="s">
        <v>2227</v>
      </c>
      <c r="C57" s="3104"/>
      <c r="D57" s="187">
        <v>0</v>
      </c>
      <c r="E57" s="23" t="s">
        <v>2201</v>
      </c>
      <c r="F57" s="155"/>
      <c r="G57" s="2487"/>
      <c r="H57" s="2491"/>
      <c r="I57" s="2491"/>
      <c r="J57" s="3072">
        <f>IF(AND(J55="",J56=""),4,IF(项目基本情况!K6="上海银行",结果表!J56+1,结果表!J55+1))</f>
        <v>4</v>
      </c>
      <c r="K57" s="3072" t="s">
        <v>2228</v>
      </c>
      <c r="L57" s="2492" t="s">
        <v>2229</v>
      </c>
      <c r="M57" s="1756"/>
      <c r="N57" s="1757">
        <f ca="1">SUMIF(M52:M56,"&lt;9e307")</f>
        <v>17101</v>
      </c>
      <c r="O57" s="2493"/>
      <c r="P57" s="1750" t="e">
        <f ca="1">N57/M49</f>
        <v>#VALUE!</v>
      </c>
    </row>
    <row r="58" spans="1:35" ht="24.75">
      <c r="A58" s="183" t="s">
        <v>2210</v>
      </c>
      <c r="B58" s="3103" t="s">
        <v>2230</v>
      </c>
      <c r="C58" s="3116"/>
      <c r="D58" s="185">
        <f ca="1">IF(H58="转让取得",C81,C97)</f>
        <v>17086</v>
      </c>
      <c r="E58" s="11" t="s">
        <v>2225</v>
      </c>
      <c r="F58" s="24" t="s">
        <v>34</v>
      </c>
      <c r="G58" s="2487"/>
      <c r="H58" s="2490" t="s">
        <v>2231</v>
      </c>
      <c r="I58" s="2491"/>
      <c r="J58" s="3072"/>
      <c r="K58" s="3072"/>
      <c r="L58" s="2492" t="s">
        <v>2232</v>
      </c>
      <c r="M58" s="1758"/>
      <c r="N58" s="2494" t="str">
        <f ca="1">NUMBERSTRING(INT(N57*10000),2)&amp;"元整"</f>
        <v>壹亿柒仟壹佰零壹万元整</v>
      </c>
      <c r="O58" s="2495"/>
    </row>
    <row r="59" spans="1:35" ht="24.75" thickBot="1">
      <c r="A59" s="3076" t="s">
        <v>2233</v>
      </c>
      <c r="B59" s="3077"/>
      <c r="C59" s="3077"/>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74">
        <f>J57+1</f>
        <v>5</v>
      </c>
      <c r="K59" s="3072" t="s">
        <v>2235</v>
      </c>
      <c r="L59" s="1809" t="s">
        <v>2229</v>
      </c>
      <c r="M59" s="1759"/>
      <c r="N59" s="1760" t="e">
        <f ca="1">M49-N57</f>
        <v>#VALUE!</v>
      </c>
      <c r="O59" s="2497"/>
    </row>
    <row r="60" spans="1:35" ht="12" customHeight="1">
      <c r="A60" s="2498"/>
      <c r="B60" s="2420"/>
      <c r="C60" s="2420"/>
      <c r="D60" s="2420"/>
      <c r="E60" s="2167"/>
      <c r="F60" s="2491"/>
      <c r="G60" s="2491"/>
      <c r="H60" s="2499"/>
      <c r="I60" s="138"/>
      <c r="J60" s="3075"/>
      <c r="K60" s="3072"/>
      <c r="L60" s="2492" t="s">
        <v>2232</v>
      </c>
      <c r="M60" s="1758"/>
      <c r="N60" s="2494" t="e">
        <f ca="1">NUMBERSTRING(INT(N59*10000),2)&amp;"元整"</f>
        <v>#VALUE!</v>
      </c>
      <c r="O60" s="2495"/>
    </row>
    <row r="61" spans="1:35" ht="13.5" thickBot="1">
      <c r="A61" s="3135" t="s">
        <v>2236</v>
      </c>
      <c r="B61" s="3135"/>
      <c r="C61" s="3135"/>
      <c r="D61" s="3135"/>
      <c r="E61" s="3135"/>
      <c r="F61" s="2491"/>
      <c r="G61" s="2491"/>
      <c r="H61" s="2499"/>
      <c r="I61" s="138"/>
      <c r="J61" s="1809">
        <f>J59+1</f>
        <v>6</v>
      </c>
      <c r="K61" s="3072" t="s">
        <v>2237</v>
      </c>
      <c r="L61" s="3072"/>
      <c r="M61" s="1761"/>
      <c r="N61" s="1762" t="e">
        <f ca="1">ROUND(N59*10000/'数据-汇总表'!E3,0)</f>
        <v>#VALUE!</v>
      </c>
      <c r="O61" s="2500"/>
    </row>
    <row r="62" spans="1:35" ht="12.75">
      <c r="A62" s="3092" t="s">
        <v>2238</v>
      </c>
      <c r="B62" s="3093"/>
      <c r="C62" s="1801"/>
      <c r="D62" s="1801" t="s">
        <v>2239</v>
      </c>
      <c r="E62" s="192" t="s">
        <v>2240</v>
      </c>
      <c r="F62" s="2491"/>
      <c r="G62" s="2491"/>
      <c r="H62" s="2499"/>
      <c r="I62" s="138"/>
    </row>
    <row r="63" spans="1:35" ht="12.75">
      <c r="A63" s="203" t="s">
        <v>775</v>
      </c>
      <c r="B63" s="193" t="s">
        <v>2241</v>
      </c>
      <c r="C63" s="194">
        <f ca="1">ROUND((C64+C65)/(1+'数据-取费表'!C42),0)</f>
        <v>28705</v>
      </c>
      <c r="D63" s="195"/>
      <c r="E63" s="196"/>
      <c r="F63" s="2491"/>
      <c r="G63" s="2491"/>
      <c r="H63" s="2499"/>
      <c r="I63" s="138"/>
      <c r="J63" s="3057" t="s">
        <v>2242</v>
      </c>
      <c r="K63" s="2501" t="s">
        <v>2243</v>
      </c>
      <c r="L63" s="1749" t="e">
        <f>IF(M49&gt;10000,M49*0.5%,IF(AND(M49&gt;1000,M49&lt;=10000),M49*1%,IF(AND(M49&gt;100,M49&lt;=1000),M49*3%,IF(AND(M49&gt;10,M49&lt;=100),M49*5%,M49*8%))))</f>
        <v>#VALUE!</v>
      </c>
      <c r="M63" s="24" t="e">
        <f>ROUND(L63,1)</f>
        <v>#VALUE!</v>
      </c>
      <c r="Z63" s="2425"/>
      <c r="AI63" s="2426"/>
    </row>
    <row r="64" spans="1:35" ht="14.25" customHeight="1">
      <c r="A64" s="197" t="s">
        <v>770</v>
      </c>
      <c r="B64" s="198" t="s">
        <v>2244</v>
      </c>
      <c r="C64" s="199">
        <f ca="1">D45</f>
        <v>30140</v>
      </c>
      <c r="D64" s="200" t="s">
        <v>32</v>
      </c>
      <c r="E64" s="201"/>
      <c r="F64" s="2491"/>
      <c r="G64" s="2491"/>
      <c r="H64" s="2499"/>
      <c r="I64" s="138"/>
      <c r="J64" s="3057"/>
      <c r="K64" s="2501"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5"/>
      <c r="AI64" s="2426"/>
    </row>
    <row r="65" spans="1:35" ht="14.25" customHeight="1">
      <c r="A65" s="197" t="s">
        <v>771</v>
      </c>
      <c r="B65" s="198" t="s">
        <v>2247</v>
      </c>
      <c r="C65" s="202"/>
      <c r="D65" s="200"/>
      <c r="E65" s="201"/>
      <c r="F65" s="2491"/>
      <c r="G65" s="2491"/>
      <c r="H65" s="2499"/>
      <c r="I65" s="138"/>
      <c r="J65" s="3057"/>
      <c r="K65" s="2501" t="s">
        <v>2248</v>
      </c>
      <c r="L65" s="1749" t="e">
        <f>IF(M49&gt;1000,M49*0.1%,IF(AND(M49&gt;500,M49&lt;=1000),M49*0.5%,IF(AND(M49&gt;50,M49&lt;=500),M49*1%,IF(AND(M49&gt;1,M49&lt;=50),M49*1.5%))))</f>
        <v>#VALUE!</v>
      </c>
      <c r="M65" s="24" t="e">
        <f t="shared" si="1"/>
        <v>#VALUE!</v>
      </c>
      <c r="N65" s="138" t="s">
        <v>2246</v>
      </c>
      <c r="Z65" s="2425"/>
      <c r="AI65" s="2426"/>
    </row>
    <row r="66" spans="1:35" ht="14.25" customHeight="1">
      <c r="A66" s="203" t="s">
        <v>772</v>
      </c>
      <c r="B66" s="204" t="s">
        <v>2249</v>
      </c>
      <c r="C66" s="205"/>
      <c r="D66" s="206" t="s">
        <v>32</v>
      </c>
      <c r="E66" s="1773" t="s">
        <v>1367</v>
      </c>
      <c r="F66" s="2491"/>
      <c r="G66" s="2491"/>
      <c r="H66" s="2499"/>
      <c r="I66" s="138"/>
      <c r="J66" s="3057"/>
      <c r="K66" s="2501" t="s">
        <v>2250</v>
      </c>
      <c r="L66" s="1749" t="e">
        <f>M49*0.5%</f>
        <v>#VALUE!</v>
      </c>
      <c r="M66" s="24" t="e">
        <f>IF(L66&gt;0.5,0.5,ROUND(L66,0))</f>
        <v>#VALUE!</v>
      </c>
      <c r="N66" s="138" t="s">
        <v>2251</v>
      </c>
      <c r="Z66" s="2425"/>
      <c r="AI66" s="2426"/>
    </row>
    <row r="67" spans="1:35" ht="14.25" customHeight="1">
      <c r="A67" s="203" t="s">
        <v>773</v>
      </c>
      <c r="B67" s="204" t="s">
        <v>2252</v>
      </c>
      <c r="C67" s="207">
        <f ca="1">C63-C66</f>
        <v>28705</v>
      </c>
      <c r="D67" s="200" t="s">
        <v>32</v>
      </c>
      <c r="E67" s="201"/>
      <c r="F67" s="2491"/>
      <c r="G67" s="2491"/>
      <c r="H67" s="2499"/>
      <c r="I67" s="138"/>
      <c r="J67" s="3057"/>
      <c r="K67" s="2501"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2254</v>
      </c>
      <c r="C68" s="210">
        <f ca="1">IF(C67&lt;=0,0,ROUND(C67*D68,0))</f>
        <v>1579</v>
      </c>
      <c r="D68" s="211">
        <f>'数据-取费表'!B41</f>
        <v>5.5000000000000007E-2</v>
      </c>
      <c r="E68" s="212"/>
      <c r="F68" s="2491"/>
      <c r="G68" s="2491"/>
      <c r="H68" s="2499"/>
      <c r="I68" s="138"/>
      <c r="J68" s="3057"/>
      <c r="K68" s="2501" t="s">
        <v>2255</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57"/>
      <c r="K69" s="2501" t="s">
        <v>2256</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1" t="s">
        <v>2257</v>
      </c>
      <c r="B70" s="3102"/>
      <c r="C70" s="3102"/>
      <c r="D70" s="3102"/>
      <c r="E70" s="3102"/>
      <c r="F70" s="3102"/>
      <c r="G70" s="3102"/>
      <c r="H70" s="310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2" t="s">
        <v>2238</v>
      </c>
      <c r="B71" s="3093"/>
      <c r="C71" s="1801"/>
      <c r="D71" s="1801"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28705</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144</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098" t="s">
        <v>2266</v>
      </c>
      <c r="F76" s="3097"/>
      <c r="G76" s="3097"/>
      <c r="H76" s="310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144</v>
      </c>
      <c r="D78" s="226">
        <f>'数据-取费表'!B43</f>
        <v>5.000000000000001E-3</v>
      </c>
      <c r="E78" s="3089" t="s">
        <v>2271</v>
      </c>
      <c r="F78" s="3090"/>
      <c r="G78" s="3090"/>
      <c r="H78" s="309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28561</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198.34027777777777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17086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1" t="s">
        <v>2275</v>
      </c>
      <c r="B83" s="3102"/>
      <c r="C83" s="3102"/>
      <c r="D83" s="3102"/>
      <c r="E83" s="3102"/>
      <c r="F83" s="3102"/>
      <c r="G83" s="3102"/>
      <c r="H83" s="310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2" t="s">
        <v>2238</v>
      </c>
      <c r="B84" s="3093"/>
      <c r="C84" s="1801"/>
      <c r="D84" s="1801"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28705</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144</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1797"/>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089" t="s">
        <v>2284</v>
      </c>
      <c r="F91" s="3090"/>
      <c r="G91" s="3090"/>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089" t="s">
        <v>2288</v>
      </c>
      <c r="F92" s="3090"/>
      <c r="G92" s="3090"/>
      <c r="H92" s="309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144</v>
      </c>
      <c r="D93" s="226">
        <f>'数据-取费表'!B43</f>
        <v>5.000000000000001E-3</v>
      </c>
      <c r="E93" s="3089" t="s">
        <v>2271</v>
      </c>
      <c r="F93" s="3090"/>
      <c r="G93" s="3090"/>
      <c r="H93" s="309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37" t="s">
        <v>2292</v>
      </c>
      <c r="F94" s="3138"/>
      <c r="G94" s="3138"/>
      <c r="H94" s="313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28561</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198.34027777777777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17086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41" t="s">
        <v>2294</v>
      </c>
      <c r="B100" s="3042"/>
      <c r="C100" s="3042"/>
      <c r="D100" s="3073"/>
      <c r="E100" s="3042" t="s">
        <v>2295</v>
      </c>
      <c r="F100" s="3042"/>
      <c r="G100" s="3042"/>
      <c r="H100" s="3073"/>
      <c r="I100" s="138"/>
    </row>
    <row r="101" spans="1:35" ht="18.75" customHeight="1">
      <c r="A101" s="3081" t="s">
        <v>2296</v>
      </c>
      <c r="B101" s="3082"/>
      <c r="C101" s="736" t="str">
        <f>C4</f>
        <v>成本法</v>
      </c>
      <c r="D101" s="737" t="str">
        <f>D4</f>
        <v>收益法</v>
      </c>
      <c r="E101" s="3053" t="s">
        <v>2297</v>
      </c>
      <c r="F101" s="3054"/>
      <c r="G101" s="2522" t="s">
        <v>2298</v>
      </c>
      <c r="H101" s="1045">
        <f ca="1">H118</f>
        <v>30140</v>
      </c>
      <c r="I101" s="138"/>
    </row>
    <row r="102" spans="1:35" ht="18.75" customHeight="1">
      <c r="A102" s="3083" t="s">
        <v>2299</v>
      </c>
      <c r="B102" s="2522" t="s">
        <v>2298</v>
      </c>
      <c r="C102" s="736">
        <f ca="1">C19</f>
        <v>30334</v>
      </c>
      <c r="D102" s="737">
        <f ca="1">D19</f>
        <v>29946</v>
      </c>
      <c r="E102" s="3053"/>
      <c r="F102" s="3054"/>
      <c r="G102" s="2522" t="s">
        <v>2300</v>
      </c>
      <c r="H102" s="371">
        <f ca="1">I118</f>
        <v>3617</v>
      </c>
      <c r="I102" s="138"/>
    </row>
    <row r="103" spans="1:35" ht="42.75" customHeight="1">
      <c r="A103" s="3083"/>
      <c r="B103" s="2522" t="s">
        <v>2300</v>
      </c>
      <c r="C103" s="738">
        <f ca="1">C20</f>
        <v>3640</v>
      </c>
      <c r="D103" s="739">
        <f ca="1">D20</f>
        <v>3594</v>
      </c>
      <c r="E103" s="3047" t="s">
        <v>2301</v>
      </c>
      <c r="F103" s="3048"/>
      <c r="G103" s="2523" t="s">
        <v>2302</v>
      </c>
      <c r="H103" s="1045">
        <f>IF(D36="正常操作",H104+H105+H106,H105+H106)</f>
        <v>0</v>
      </c>
      <c r="I103" s="138"/>
    </row>
    <row r="104" spans="1:35" ht="18.75" customHeight="1">
      <c r="A104" s="3083" t="s">
        <v>2303</v>
      </c>
      <c r="B104" s="2524" t="s">
        <v>2298</v>
      </c>
      <c r="C104" s="740">
        <f ca="1">H118</f>
        <v>30140</v>
      </c>
      <c r="D104" s="741"/>
      <c r="E104" s="2268" t="s">
        <v>2304</v>
      </c>
      <c r="F104" s="2259"/>
      <c r="G104" s="2523" t="s">
        <v>2302</v>
      </c>
      <c r="H104" s="1046">
        <f>IF(D36="同一抵押权人同一抵押物续贷",C36&amp;"（未扣减，详见特别提示）",C36)</f>
        <v>0</v>
      </c>
      <c r="I104" s="138"/>
    </row>
    <row r="105" spans="1:35" ht="18.75" customHeight="1" thickBot="1">
      <c r="A105" s="3095"/>
      <c r="B105" s="2525" t="s">
        <v>2300</v>
      </c>
      <c r="C105" s="742">
        <f ca="1">I118</f>
        <v>3617</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084" t="str">
        <f>IF(项目基本情况!E8="已注销","——","3.房地产抵押价值")</f>
        <v>3.房地产抵押价值</v>
      </c>
      <c r="F107" s="3054"/>
      <c r="G107" s="2522" t="s">
        <v>2298</v>
      </c>
      <c r="H107" s="1045">
        <f ca="1">IF(E107="——","——",H101-H103)</f>
        <v>30140</v>
      </c>
      <c r="I107" s="138"/>
    </row>
    <row r="108" spans="1:35" ht="18.75" customHeight="1">
      <c r="A108" s="138"/>
      <c r="B108" s="138"/>
      <c r="C108" s="138"/>
      <c r="D108" s="138"/>
      <c r="E108" s="3084"/>
      <c r="F108" s="3054"/>
      <c r="G108" s="2522" t="s">
        <v>2300</v>
      </c>
      <c r="H108" s="371">
        <f ca="1">ROUND(H107*10000/'数据-汇总表'!E3,0)</f>
        <v>3617</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2" t="s">
        <v>2298</v>
      </c>
      <c r="H109" s="348" t="str">
        <f>IF(E109="——","——",H101-H105-H106)</f>
        <v>——</v>
      </c>
      <c r="I109" s="138"/>
    </row>
    <row r="110" spans="1:35" ht="18.75" customHeight="1">
      <c r="A110" s="138"/>
      <c r="B110" s="138"/>
      <c r="C110" s="138"/>
      <c r="D110" s="138"/>
      <c r="E110" s="3084"/>
      <c r="F110" s="3054"/>
      <c r="G110" s="2522" t="s">
        <v>2300</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2" t="s">
        <v>2298</v>
      </c>
      <c r="H111" s="1045" t="str">
        <f>IF(E111="——","——",N59)</f>
        <v>——</v>
      </c>
      <c r="I111" s="138"/>
    </row>
    <row r="112" spans="1:35" ht="18.75" customHeight="1" thickBot="1">
      <c r="A112" s="138"/>
      <c r="B112" s="138"/>
      <c r="C112" s="138"/>
      <c r="D112" s="138"/>
      <c r="E112" s="3087"/>
      <c r="F112" s="3088"/>
      <c r="G112" s="2527" t="s">
        <v>2300</v>
      </c>
      <c r="H112" s="790" t="str">
        <f>IF(E111="——","——",N61)</f>
        <v>——</v>
      </c>
      <c r="I112" s="138"/>
    </row>
    <row r="113" spans="1:11" ht="18.75" customHeight="1">
      <c r="A113" s="138"/>
      <c r="B113" s="138"/>
      <c r="C113" s="138"/>
      <c r="D113" s="138"/>
      <c r="E113" s="3096" t="s">
        <v>2306</v>
      </c>
      <c r="F113" s="3096"/>
      <c r="G113" s="3096"/>
      <c r="H113" s="3096"/>
      <c r="I113" s="138"/>
    </row>
    <row r="114" spans="1:11" ht="3.75" customHeight="1">
      <c r="A114" s="2420"/>
      <c r="B114" s="2420"/>
      <c r="C114" s="2420"/>
      <c r="D114" s="2420"/>
      <c r="E114" s="2498"/>
      <c r="F114" s="2498"/>
      <c r="G114" s="2498"/>
      <c r="H114" s="2498"/>
      <c r="I114" s="2420"/>
    </row>
    <row r="115" spans="1:11" ht="18.75" customHeight="1">
      <c r="A115" s="3109" t="s">
        <v>2308</v>
      </c>
      <c r="B115" s="3110"/>
      <c r="C115" s="3110"/>
      <c r="D115" s="3110"/>
      <c r="E115" s="3110"/>
      <c r="F115" s="3110"/>
      <c r="G115" s="3110"/>
      <c r="H115" s="3110"/>
      <c r="I115" s="3111"/>
    </row>
    <row r="116" spans="1:11" ht="27" customHeight="1">
      <c r="A116" s="3020" t="s">
        <v>2309</v>
      </c>
      <c r="B116" s="3063" t="s">
        <v>2310</v>
      </c>
      <c r="C116" s="3063" t="s">
        <v>2311</v>
      </c>
      <c r="D116" s="3069" t="s">
        <v>2312</v>
      </c>
      <c r="E116" s="3070"/>
      <c r="F116" s="3105" t="s">
        <v>3152</v>
      </c>
      <c r="G116" s="3105"/>
      <c r="H116" s="3020" t="s">
        <v>2313</v>
      </c>
      <c r="I116" s="3020"/>
    </row>
    <row r="117" spans="1:11" ht="18.75" customHeight="1">
      <c r="A117" s="3020"/>
      <c r="B117" s="3064"/>
      <c r="C117" s="3064"/>
      <c r="D117" s="1795" t="s">
        <v>2314</v>
      </c>
      <c r="E117" s="1795" t="s">
        <v>2315</v>
      </c>
      <c r="F117" s="1795" t="s">
        <v>2314</v>
      </c>
      <c r="G117" s="1795" t="s">
        <v>2316</v>
      </c>
      <c r="H117" s="1795" t="s">
        <v>2314</v>
      </c>
      <c r="I117" s="1795" t="s">
        <v>2316</v>
      </c>
    </row>
    <row r="118" spans="1:11" ht="24.75" customHeight="1">
      <c r="A118" s="2528" t="str">
        <f>项目基本情况!S2</f>
        <v>出让国有建设用地使用权及在建建筑物房地产</v>
      </c>
      <c r="B118" s="1795">
        <f>M18</f>
        <v>83329.149999999994</v>
      </c>
      <c r="C118" s="1795">
        <f>M19</f>
        <v>77043.08</v>
      </c>
      <c r="D118" s="1795">
        <f ca="1">ROUND(IF(D32="总价",C34,E118*B118/10000),0)</f>
        <v>10127</v>
      </c>
      <c r="E118" s="1795">
        <f ca="1">ROUND(IF(C33="自定义",IF(D32="楼面单价",C34,D118*10000/B118),I118-G118),0)</f>
        <v>1215</v>
      </c>
      <c r="F118" s="1795">
        <f ca="1">ROUND(IF(D32="总价",C35,G118*B118/10000),0)</f>
        <v>20013</v>
      </c>
      <c r="G118" s="1795">
        <f ca="1">ROUND(IF(D32="楼面单价",C35,F118*10000/B118),0)</f>
        <v>2402</v>
      </c>
      <c r="H118" s="1795">
        <f ca="1">ROUND(IF(D32="总价",C32,I118*B118/10000),0)</f>
        <v>30140</v>
      </c>
      <c r="I118" s="1795">
        <f ca="1">ROUND(IF(D32="楼面单价",C32,H118*10000/B118),0)</f>
        <v>3617</v>
      </c>
    </row>
    <row r="119" spans="1:11" ht="18.75" customHeight="1">
      <c r="A119" s="3020" t="s">
        <v>2317</v>
      </c>
      <c r="B119" s="3020"/>
      <c r="C119" s="3020"/>
      <c r="D119" s="3065" t="str">
        <f ca="1">NUMBERSTRING(INT(D118*10000),2)&amp;"元整"</f>
        <v>壹亿零壹佰贰拾柒万元整</v>
      </c>
      <c r="E119" s="3066"/>
      <c r="F119" s="3065" t="str">
        <f ca="1">NUMBERSTRING(INT(F118*10000),2)&amp;"元整"</f>
        <v>贰亿零壹拾叁万元整</v>
      </c>
      <c r="G119" s="3066"/>
      <c r="H119" s="3065" t="str">
        <f ca="1">NUMBERSTRING(INT(H118*10000),2)&amp;"元整"</f>
        <v>叁亿零壹佰肆拾万元整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5" t="str">
        <f>IF(D120=0,"故，本次评估不存在"&amp;A120,"故，本次评估"&amp;A120&amp;"为人民币"&amp;D120&amp;"万元整。")</f>
        <v>故，本次评估不存在估价师知悉的法定优先受偿款</v>
      </c>
    </row>
    <row r="121" spans="1:11" ht="18.75" customHeight="1">
      <c r="A121" s="3106" t="s">
        <v>2317</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30140</v>
      </c>
      <c r="E122" s="3061"/>
      <c r="F122" s="3061"/>
      <c r="G122" s="3061"/>
      <c r="H122" s="3061"/>
      <c r="I122" s="3062"/>
    </row>
    <row r="123" spans="1:11" ht="18.75" customHeight="1">
      <c r="A123" s="3020" t="s">
        <v>2317</v>
      </c>
      <c r="B123" s="3020"/>
      <c r="C123" s="3020"/>
      <c r="D123" s="3065" t="str">
        <f ca="1">NUMBERSTRING(INT(D122*10000),2)&amp;"元整"</f>
        <v>叁亿零壹佰肆拾万元整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2317</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2317</v>
      </c>
      <c r="B127" s="3020"/>
      <c r="C127" s="3020"/>
      <c r="D127" s="3065" t="e">
        <f>NUMBERSTRING(INT(D126*10000),2)&amp;"元整"</f>
        <v>#VALUE!</v>
      </c>
      <c r="E127" s="3067"/>
      <c r="F127" s="3067"/>
      <c r="G127" s="3067"/>
      <c r="H127" s="3067"/>
      <c r="I127" s="3066"/>
    </row>
    <row r="128" spans="1:11" ht="21.75" customHeight="1">
      <c r="A128" s="3068" t="s">
        <v>2318</v>
      </c>
      <c r="B128" s="3068"/>
      <c r="C128" s="3068"/>
      <c r="D128" s="3068"/>
      <c r="E128" s="3068"/>
      <c r="F128" s="3068"/>
      <c r="G128" s="3068"/>
      <c r="H128" s="3068"/>
      <c r="I128" s="3068"/>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7" t="s">
        <v>6</v>
      </c>
      <c r="C1" s="242"/>
      <c r="D1" s="242"/>
      <c r="E1" s="242"/>
      <c r="F1" s="242"/>
      <c r="G1" s="1379">
        <f>MATCH(B1,'数据-取费表'!A6:A16,0)+5</f>
        <v>6</v>
      </c>
    </row>
    <row r="2" spans="1:9" s="244" customFormat="1" ht="18" customHeight="1">
      <c r="A2" s="245" t="s">
        <v>2327</v>
      </c>
      <c r="B2" s="246">
        <f ca="1">IF(D2="——",C52,C52-E2)</f>
        <v>30334</v>
      </c>
      <c r="C2" s="243" t="s">
        <v>2328</v>
      </c>
      <c r="D2" s="2551" t="s">
        <v>70</v>
      </c>
      <c r="E2" s="1440"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3640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8253</v>
      </c>
      <c r="D5" s="255" t="s">
        <v>2334</v>
      </c>
      <c r="E5" s="256" t="s">
        <v>2335</v>
      </c>
      <c r="F5" s="256" t="s">
        <v>2336</v>
      </c>
      <c r="G5" s="257"/>
    </row>
    <row r="6" spans="1:9" s="258" customFormat="1" ht="13.5" customHeight="1">
      <c r="A6" s="949" t="s">
        <v>2337</v>
      </c>
      <c r="B6" s="259" t="s">
        <v>2338</v>
      </c>
      <c r="C6" s="260">
        <f ca="1">基准地价修正!B2</f>
        <v>6391</v>
      </c>
      <c r="D6" s="261"/>
      <c r="E6" s="262"/>
      <c r="F6" s="262"/>
      <c r="G6" s="263"/>
    </row>
    <row r="7" spans="1:9" s="258" customFormat="1" ht="13.5" customHeight="1">
      <c r="A7" s="949" t="s">
        <v>2339</v>
      </c>
      <c r="B7" s="259" t="s">
        <v>2340</v>
      </c>
      <c r="C7" s="264">
        <f ca="1">ROUND(C6*F7,0)</f>
        <v>195</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1667</v>
      </c>
      <c r="D8" s="266"/>
      <c r="E8" s="264"/>
      <c r="F8" s="265"/>
      <c r="G8" s="2554" t="s">
        <v>3072</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5" t="s">
        <v>3073</v>
      </c>
      <c r="H9" s="1390"/>
      <c r="I9" s="2556" t="s">
        <v>2344</v>
      </c>
    </row>
    <row r="10" spans="1:9" s="258" customFormat="1" ht="13.5" customHeight="1">
      <c r="A10" s="950" t="s">
        <v>801</v>
      </c>
      <c r="B10" s="268" t="s">
        <v>2345</v>
      </c>
      <c r="C10" s="269">
        <f ca="1">ROUND(D10*E10/10000,0)</f>
        <v>1667</v>
      </c>
      <c r="D10" s="1032">
        <f ca="1">IF(B1="",'数据-汇总表'!E6,IF(INDIRECT("'数据-取费表'!c"&amp;$G$1)="住宅",INDIRECT("'数据-取费表'!s"&amp;$G$1),INDIRECT("'数据-取费表'!k"&amp;$G$1)+INDIRECT("'数据-取费表'!s"&amp;$G$1)))</f>
        <v>83329.149999999994</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83329.149999999994</v>
      </c>
      <c r="E19" s="255">
        <f>'数据-取费表'!B31</f>
        <v>200</v>
      </c>
      <c r="F19" s="275"/>
      <c r="G19" s="2554" t="s">
        <v>3074</v>
      </c>
    </row>
    <row r="20" spans="1:7" s="258" customFormat="1" ht="13.5" customHeight="1">
      <c r="A20" s="299" t="s">
        <v>2358</v>
      </c>
      <c r="B20" s="254" t="s">
        <v>2359</v>
      </c>
      <c r="C20" s="276">
        <f ca="1">ROUND((C5+C19)*F20,0)</f>
        <v>83</v>
      </c>
      <c r="D20" s="276"/>
      <c r="E20" s="276"/>
      <c r="F20" s="277">
        <f>'数据-取费表'!B37</f>
        <v>0.01</v>
      </c>
      <c r="G20" s="278" t="s">
        <v>2360</v>
      </c>
    </row>
    <row r="21" spans="1:7" s="258" customFormat="1" ht="13.5" customHeight="1">
      <c r="A21" s="299" t="s">
        <v>2361</v>
      </c>
      <c r="B21" s="254" t="s">
        <v>2362</v>
      </c>
      <c r="C21" s="279">
        <f>F21</f>
        <v>0.01</v>
      </c>
      <c r="D21" s="280" t="s">
        <v>2363</v>
      </c>
      <c r="E21" s="276"/>
      <c r="F21" s="277">
        <f>'数据-取费表'!B38</f>
        <v>0.01</v>
      </c>
      <c r="G21" s="278" t="s">
        <v>2364</v>
      </c>
    </row>
    <row r="22" spans="1:7" s="258" customFormat="1" ht="13.5" customHeight="1">
      <c r="A22" s="299" t="s">
        <v>2365</v>
      </c>
      <c r="B22" s="254" t="s">
        <v>2366</v>
      </c>
      <c r="C22" s="1354">
        <f ca="1">ROUND(SUM(C23:C25),0)</f>
        <v>361</v>
      </c>
      <c r="D22" s="279">
        <f ca="1">C26</f>
        <v>2.0000000000000001E-4</v>
      </c>
      <c r="E22" s="280" t="s">
        <v>2363</v>
      </c>
      <c r="F22" s="281">
        <f ca="1">'数据-取费表'!B40</f>
        <v>4.3499999999999997E-2</v>
      </c>
      <c r="G22" s="278" t="str">
        <f>IF('数据-取费表'!B22&lt;=1,"单利计息","复利计息")</f>
        <v>单利计息</v>
      </c>
    </row>
    <row r="23" spans="1:7" s="258" customFormat="1" ht="13.5" customHeight="1">
      <c r="A23" s="951" t="s">
        <v>2367</v>
      </c>
      <c r="B23" s="259" t="s">
        <v>2368</v>
      </c>
      <c r="C23" s="1355">
        <f ca="1">ROUND(IF('数据-取费表'!B22&lt;=1,C5*F22*'数据-取费表'!B23,C5*(POWER((1+F22),'数据-取费表'!B23)-1)),0)</f>
        <v>359</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2</v>
      </c>
      <c r="D25" s="282"/>
      <c r="E25" s="285"/>
      <c r="F25" s="283"/>
      <c r="G25" s="286" t="s">
        <v>2375</v>
      </c>
    </row>
    <row r="26" spans="1:7" s="258" customFormat="1">
      <c r="A26" s="951" t="s">
        <v>795</v>
      </c>
      <c r="B26" s="259" t="s">
        <v>2376</v>
      </c>
      <c r="C26" s="282">
        <f ca="1">ROUND(IF('数据-取费表'!B22&lt;=1,F21*F22*'数据-取费表'!B23/2,F21*(POWER((1+F22),'数据-取费表'!B23/2)-1)),4)</f>
        <v>2.0000000000000001E-4</v>
      </c>
      <c r="D26" s="282"/>
      <c r="E26" s="285"/>
      <c r="F26" s="283"/>
      <c r="G26" s="287"/>
    </row>
    <row r="27" spans="1:7" s="258" customFormat="1" ht="24.75">
      <c r="A27" s="299" t="s">
        <v>2377</v>
      </c>
      <c r="B27" s="288" t="s">
        <v>2378</v>
      </c>
      <c r="C27" s="289">
        <f ca="1">C28</f>
        <v>834</v>
      </c>
      <c r="D27" s="279">
        <f ca="1">C29</f>
        <v>1E-3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834</v>
      </c>
      <c r="D28" s="279"/>
      <c r="E28" s="280"/>
      <c r="F28" s="290"/>
      <c r="G28" s="291"/>
    </row>
    <row r="29" spans="1:7" s="258" customFormat="1" ht="13.5" customHeight="1">
      <c r="A29" s="951"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10178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20824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18332</v>
      </c>
      <c r="D34" s="261"/>
      <c r="E34" s="264"/>
      <c r="F34" s="301">
        <f ca="1">IF('数据-取费表'!B24=0,1,IF(B1="",'数据-取费表'!N16,INDIRECT("'数据-取费表'!n"&amp;$G$1)))</f>
        <v>1</v>
      </c>
      <c r="G34" s="263" t="s">
        <v>2391</v>
      </c>
    </row>
    <row r="35" spans="1:7" ht="13.5" customHeight="1">
      <c r="A35" s="951" t="s">
        <v>796</v>
      </c>
      <c r="B35" s="259" t="s">
        <v>2392</v>
      </c>
      <c r="C35" s="264">
        <f ca="1">ROUND(C34*F35,0)</f>
        <v>550</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1667</v>
      </c>
      <c r="D37" s="261">
        <f ca="1">D19</f>
        <v>83329.149999999994</v>
      </c>
      <c r="E37" s="293">
        <f>'数据-取费表'!B35</f>
        <v>200</v>
      </c>
      <c r="F37" s="303"/>
      <c r="G37" s="305" t="s">
        <v>2397</v>
      </c>
    </row>
    <row r="38" spans="1:7" ht="13.5" customHeight="1">
      <c r="A38" s="951" t="s">
        <v>799</v>
      </c>
      <c r="B38" s="259" t="s">
        <v>2398</v>
      </c>
      <c r="C38" s="264">
        <f ca="1">ROUND(C34*F38,0)</f>
        <v>275</v>
      </c>
      <c r="D38" s="264"/>
      <c r="E38" s="264"/>
      <c r="F38" s="303">
        <f>'数据-取费表'!B36</f>
        <v>1.4999999999999999E-2</v>
      </c>
      <c r="G38" s="263" t="s">
        <v>2393</v>
      </c>
    </row>
    <row r="39" spans="1:7" s="258" customFormat="1" ht="13.5" customHeight="1">
      <c r="A39" s="299" t="s">
        <v>2399</v>
      </c>
      <c r="B39" s="254" t="s">
        <v>2400</v>
      </c>
      <c r="C39" s="276">
        <f ca="1">ROUND(C33*F20,0)</f>
        <v>208</v>
      </c>
      <c r="D39" s="276"/>
      <c r="E39" s="276"/>
      <c r="F39" s="277"/>
      <c r="G39" s="278" t="s">
        <v>2401</v>
      </c>
    </row>
    <row r="40" spans="1:7" s="258" customFormat="1" ht="13.5" customHeight="1">
      <c r="A40" s="299" t="s">
        <v>2402</v>
      </c>
      <c r="B40" s="254" t="s">
        <v>2403</v>
      </c>
      <c r="C40" s="1728">
        <f>F21</f>
        <v>0.01</v>
      </c>
      <c r="D40" s="280" t="s">
        <v>2404</v>
      </c>
      <c r="E40" s="276"/>
      <c r="F40" s="277"/>
      <c r="G40" s="278" t="s">
        <v>2405</v>
      </c>
    </row>
    <row r="41" spans="1:7" s="258" customFormat="1" ht="13.5" customHeight="1">
      <c r="A41" s="299" t="s">
        <v>2406</v>
      </c>
      <c r="B41" s="254" t="s">
        <v>2407</v>
      </c>
      <c r="C41" s="276">
        <f ca="1">ROUND(SUM(C42:C43),0)</f>
        <v>458</v>
      </c>
      <c r="D41" s="279">
        <f ca="1">C44</f>
        <v>2.0000000000000001E-4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ROUND(IF('数据-取费表'!B22&lt;=1,C33*F22*'数据-取费表'!B21/2,C33*(POWER((1+F22),'数据-取费表'!B21/2)-1)),0)</f>
        <v>453</v>
      </c>
      <c r="D42" s="282"/>
      <c r="E42" s="282"/>
      <c r="F42" s="283"/>
      <c r="G42" s="3140" t="s">
        <v>2409</v>
      </c>
    </row>
    <row r="43" spans="1:7" ht="13.5" customHeight="1">
      <c r="A43" s="951" t="s">
        <v>792</v>
      </c>
      <c r="B43" s="259" t="s">
        <v>2410</v>
      </c>
      <c r="C43" s="282">
        <f ca="1">ROUND(IF('数据-取费表'!B22&lt;=1,C39*F22*'数据-取费表'!B21/2,C39*(POWER((1+F22),'数据-取费表'!B21/2)-1)),0)</f>
        <v>5</v>
      </c>
      <c r="D43" s="282"/>
      <c r="E43" s="282"/>
      <c r="F43" s="283"/>
      <c r="G43" s="3141"/>
    </row>
    <row r="44" spans="1:7" ht="13.5" customHeight="1">
      <c r="A44" s="951" t="s">
        <v>793</v>
      </c>
      <c r="B44" s="259" t="s">
        <v>2411</v>
      </c>
      <c r="C44" s="282">
        <f ca="1">ROUND(IF('数据-取费表'!B22&lt;=1,C40*F22*'数据-取费表'!B21/2,C40*(POWER((1+F22),'数据-取费表'!B21/2)-1)),4)</f>
        <v>2.0000000000000001E-4</v>
      </c>
      <c r="D44" s="282"/>
      <c r="E44" s="282"/>
      <c r="F44" s="283"/>
      <c r="G44" s="3142"/>
    </row>
    <row r="45" spans="1:7" s="258" customFormat="1" ht="13.5" customHeight="1">
      <c r="A45" s="299" t="s">
        <v>2412</v>
      </c>
      <c r="B45" s="288" t="s">
        <v>2378</v>
      </c>
      <c r="C45" s="289">
        <f ca="1">C46</f>
        <v>2103</v>
      </c>
      <c r="D45" s="279">
        <f ca="1">C47</f>
        <v>1E-3</v>
      </c>
      <c r="E45" s="280" t="s">
        <v>2404</v>
      </c>
      <c r="F45" s="290"/>
      <c r="G45" s="291" t="s">
        <v>2413</v>
      </c>
    </row>
    <row r="46" spans="1:7" s="258" customFormat="1" ht="13.5" customHeight="1">
      <c r="A46" s="951" t="s">
        <v>791</v>
      </c>
      <c r="B46" s="292" t="s">
        <v>2414</v>
      </c>
      <c r="C46" s="293">
        <f ca="1">ROUND((C33+C39)*F27,0)</f>
        <v>2103</v>
      </c>
      <c r="D46" s="307"/>
      <c r="E46" s="280"/>
      <c r="F46" s="290"/>
      <c r="G46" s="291"/>
    </row>
    <row r="47" spans="1:7" s="258" customFormat="1" ht="13.5" customHeight="1">
      <c r="A47" s="951" t="s">
        <v>792</v>
      </c>
      <c r="B47" s="292" t="s">
        <v>2415</v>
      </c>
      <c r="C47" s="282">
        <f ca="1">ROUND(C40*F27,4)</f>
        <v>1E-3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25195</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20156</v>
      </c>
      <c r="D51" s="276"/>
      <c r="E51" s="276"/>
      <c r="F51" s="308"/>
      <c r="G51" s="278" t="s">
        <v>2425</v>
      </c>
    </row>
    <row r="52" spans="1:7" s="252" customFormat="1" ht="16.5" thickBot="1">
      <c r="A52" s="309" t="s">
        <v>2426</v>
      </c>
      <c r="B52" s="310"/>
      <c r="C52" s="311">
        <f ca="1">C31+C51</f>
        <v>30334</v>
      </c>
      <c r="D52" s="310"/>
      <c r="E52" s="310"/>
      <c r="F52" s="310"/>
      <c r="G52" s="312"/>
    </row>
    <row r="55" spans="1:7" ht="15">
      <c r="B55" s="314" t="s">
        <v>2427</v>
      </c>
      <c r="C55" s="315"/>
    </row>
    <row r="56" spans="1:7">
      <c r="B56" s="317" t="s">
        <v>1508</v>
      </c>
      <c r="C56" s="319">
        <f ca="1">1-C57</f>
        <v>0.33599999999999997</v>
      </c>
    </row>
    <row r="57" spans="1:7">
      <c r="B57" s="317" t="s">
        <v>1509</v>
      </c>
      <c r="C57" s="318">
        <f ca="1">ROUND(C51/C52,3)</f>
        <v>0.66400000000000003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出让国有建设用地使用权及在建建筑物预评估</v>
      </c>
      <c r="C37" s="2954"/>
      <c r="D37" s="2954"/>
      <c r="E37" s="2954"/>
      <c r="F37" s="2954"/>
      <c r="G37" s="2954"/>
      <c r="H37" s="2954"/>
      <c r="I37" s="2954"/>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7"/>
      <c r="C1" s="2557"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24267</v>
      </c>
      <c r="C2" s="243" t="s">
        <v>2328</v>
      </c>
      <c r="D2" s="2551" t="s">
        <v>70</v>
      </c>
      <c r="E2" s="1440"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2912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16665830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16665830</v>
      </c>
      <c r="D8" s="266"/>
      <c r="E8" s="264"/>
      <c r="F8" s="265"/>
      <c r="G8" s="2554"/>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16665830</v>
      </c>
      <c r="D10" s="1032">
        <f ca="1">IF(B1="",'数据-汇总表'!E6,IF(INDIRECT("'数据-取费表'!c"&amp;$G$1)="住宅",INDIRECT("'数据-取费表'!s"&amp;$G$1),INDIRECT("'数据-取费表'!k"&amp;$G$1)+INDIRECT("'数据-取费表'!s"&amp;$G$1)))</f>
        <v>83329.149999999994</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16665830</v>
      </c>
      <c r="D19" s="1036">
        <f ca="1">D9+D10</f>
        <v>83329.149999999994</v>
      </c>
      <c r="E19" s="255">
        <f>'数据-取费表'!B31</f>
        <v>200</v>
      </c>
      <c r="F19" s="275"/>
      <c r="G19" s="2554"/>
    </row>
    <row r="20" spans="1:7" s="258" customFormat="1" ht="13.5" customHeight="1">
      <c r="A20" s="299" t="s">
        <v>2439</v>
      </c>
      <c r="B20" s="254" t="s">
        <v>2440</v>
      </c>
      <c r="C20" s="276">
        <f ca="1">ROUND((C5+C19)*F20,0)</f>
        <v>333317</v>
      </c>
      <c r="D20" s="276"/>
      <c r="E20" s="276"/>
      <c r="F20" s="277">
        <f>'数据-取费表'!B37</f>
        <v>0.01</v>
      </c>
      <c r="G20" s="278" t="s">
        <v>2441</v>
      </c>
    </row>
    <row r="21" spans="1:7" s="258" customFormat="1" ht="13.5" customHeight="1">
      <c r="A21" s="299" t="s">
        <v>2442</v>
      </c>
      <c r="B21" s="254" t="s">
        <v>2443</v>
      </c>
      <c r="C21" s="279">
        <f>F21</f>
        <v>0.01</v>
      </c>
      <c r="D21" s="280" t="s">
        <v>2444</v>
      </c>
      <c r="E21" s="276"/>
      <c r="F21" s="277">
        <f>'数据-取费表'!B38</f>
        <v>0.01</v>
      </c>
      <c r="G21" s="278" t="s">
        <v>2445</v>
      </c>
    </row>
    <row r="22" spans="1:7" s="258" customFormat="1" ht="13.5" customHeight="1">
      <c r="A22" s="299" t="s">
        <v>2446</v>
      </c>
      <c r="B22" s="254" t="s">
        <v>2447</v>
      </c>
      <c r="C22" s="1380">
        <f ca="1">ROUND(SUM(C23:C25),0)</f>
        <v>1457178</v>
      </c>
      <c r="D22" s="279">
        <f ca="1">C26</f>
        <v>2.0000000000000001E-4</v>
      </c>
      <c r="E22" s="280" t="s">
        <v>2444</v>
      </c>
      <c r="F22" s="281">
        <f ca="1">'数据-取费表'!B40</f>
        <v>4.3499999999999997E-2</v>
      </c>
      <c r="G22" s="278" t="str">
        <f>IF('数据-取费表'!B22&lt;=1,"单利计息","复利计息")</f>
        <v>单利计息</v>
      </c>
    </row>
    <row r="23" spans="1:7" s="258" customFormat="1" ht="13.5" customHeight="1">
      <c r="A23" s="951" t="s">
        <v>2337</v>
      </c>
      <c r="B23" s="259" t="s">
        <v>2448</v>
      </c>
      <c r="C23" s="1381">
        <f ca="1">ROUND(IF('数据-取费表'!B22&lt;=1,C5*F22*'数据-取费表'!B22,C5*(POWER((1+F22),'数据-取费表'!B22)-1)),0)</f>
        <v>724964</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724964</v>
      </c>
      <c r="D24" s="282"/>
      <c r="E24" s="282"/>
      <c r="F24" s="283"/>
      <c r="G24" s="284" t="s">
        <v>2451</v>
      </c>
    </row>
    <row r="25" spans="1:7" s="258" customFormat="1" ht="24">
      <c r="A25" s="951" t="s">
        <v>2341</v>
      </c>
      <c r="B25" s="259" t="s">
        <v>2452</v>
      </c>
      <c r="C25" s="1381">
        <f ca="1">ROUND(IF('数据-取费表'!B22&lt;=1,C20*F22*'数据-取费表'!B22/2,C20*(POWER((1+F22),'数据-取费表'!B22/2)-1)),0)</f>
        <v>7250</v>
      </c>
      <c r="D25" s="282"/>
      <c r="E25" s="285"/>
      <c r="F25" s="283"/>
      <c r="G25" s="286" t="s">
        <v>2453</v>
      </c>
    </row>
    <row r="26" spans="1:7" s="258" customFormat="1">
      <c r="A26" s="951" t="s">
        <v>795</v>
      </c>
      <c r="B26" s="259" t="s">
        <v>2376</v>
      </c>
      <c r="C26" s="282">
        <f ca="1">ROUND(IF('数据-取费表'!B22&lt;=1,F21*F22*'数据-取费表'!B22/2,F21*(POWER((1+F22),'数据-取费表'!B22/2)-1)),4)</f>
        <v>2.0000000000000001E-4</v>
      </c>
      <c r="D26" s="282"/>
      <c r="E26" s="285"/>
      <c r="F26" s="283"/>
      <c r="G26" s="287"/>
    </row>
    <row r="27" spans="1:7" s="258" customFormat="1" ht="24.75">
      <c r="A27" s="299" t="s">
        <v>2377</v>
      </c>
      <c r="B27" s="288" t="s">
        <v>2378</v>
      </c>
      <c r="C27" s="289">
        <f ca="1">C28</f>
        <v>3366498</v>
      </c>
      <c r="D27" s="279">
        <f ca="1">C29</f>
        <v>1E-3</v>
      </c>
      <c r="E27" s="280" t="s">
        <v>2379</v>
      </c>
      <c r="F27" s="290">
        <f ca="1">IF(B1="",'数据-取费表'!Q16,INDIRECT("'数据-取费表'!q"&amp;$G$1))</f>
        <v>0.1</v>
      </c>
      <c r="G27" s="291" t="s">
        <v>2380</v>
      </c>
    </row>
    <row r="28" spans="1:7" s="258" customFormat="1" ht="13.5" customHeight="1">
      <c r="A28" s="951" t="s">
        <v>791</v>
      </c>
      <c r="B28" s="292" t="s">
        <v>2381</v>
      </c>
      <c r="C28" s="293">
        <f ca="1">ROUND((C5+C19+C20)*F27,0)</f>
        <v>3366498</v>
      </c>
      <c r="D28" s="279"/>
      <c r="E28" s="280"/>
      <c r="F28" s="290"/>
      <c r="G28" s="291"/>
    </row>
    <row r="29" spans="1:7" s="258" customFormat="1" ht="13.5" customHeight="1">
      <c r="A29" s="951"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41102790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208239546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183324130</v>
      </c>
      <c r="D34" s="261"/>
      <c r="E34" s="264"/>
      <c r="F34" s="301"/>
      <c r="G34" s="263"/>
    </row>
    <row r="35" spans="1:7" ht="13.5" customHeight="1">
      <c r="A35" s="951" t="s">
        <v>796</v>
      </c>
      <c r="B35" s="259" t="s">
        <v>2392</v>
      </c>
      <c r="C35" s="264">
        <f ca="1">ROUND(C34*F35,0)</f>
        <v>5499724</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16665830</v>
      </c>
      <c r="D37" s="261">
        <f ca="1">D19</f>
        <v>83329.149999999994</v>
      </c>
      <c r="E37" s="293">
        <f>'数据-取费表'!B35</f>
        <v>200</v>
      </c>
      <c r="F37" s="303"/>
      <c r="G37" s="305"/>
    </row>
    <row r="38" spans="1:7" ht="13.5" customHeight="1">
      <c r="A38" s="951" t="s">
        <v>799</v>
      </c>
      <c r="B38" s="259" t="s">
        <v>2398</v>
      </c>
      <c r="C38" s="264">
        <f ca="1">ROUND(C34*F38,0)</f>
        <v>2749862</v>
      </c>
      <c r="D38" s="264"/>
      <c r="E38" s="264"/>
      <c r="F38" s="303">
        <f>'数据-取费表'!B36</f>
        <v>1.4999999999999999E-2</v>
      </c>
      <c r="G38" s="263" t="s">
        <v>2393</v>
      </c>
    </row>
    <row r="39" spans="1:7" s="258" customFormat="1" ht="13.5" customHeight="1">
      <c r="A39" s="299" t="s">
        <v>2399</v>
      </c>
      <c r="B39" s="254" t="s">
        <v>2400</v>
      </c>
      <c r="C39" s="276">
        <f ca="1">ROUND(C33*F20,0)</f>
        <v>2082395</v>
      </c>
      <c r="D39" s="276"/>
      <c r="E39" s="276"/>
      <c r="F39" s="277"/>
      <c r="G39" s="278" t="s">
        <v>2401</v>
      </c>
    </row>
    <row r="40" spans="1:7" s="258" customFormat="1" ht="13.5" customHeight="1">
      <c r="A40" s="299" t="s">
        <v>2402</v>
      </c>
      <c r="B40" s="254" t="s">
        <v>2403</v>
      </c>
      <c r="C40" s="1728">
        <f>F21</f>
        <v>0.01</v>
      </c>
      <c r="D40" s="280" t="s">
        <v>2404</v>
      </c>
      <c r="E40" s="276"/>
      <c r="F40" s="277"/>
      <c r="G40" s="278" t="s">
        <v>2405</v>
      </c>
    </row>
    <row r="41" spans="1:7" s="258" customFormat="1" ht="13.5" customHeight="1">
      <c r="A41" s="299" t="s">
        <v>2406</v>
      </c>
      <c r="B41" s="254" t="s">
        <v>2407</v>
      </c>
      <c r="C41" s="276">
        <f ca="1">ROUND(SUM(C42:C43),0)</f>
        <v>4574502</v>
      </c>
      <c r="D41" s="279">
        <f ca="1">C44</f>
        <v>2.0000000000000001E-4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ROUND(IF('数据-取费表'!B22&lt;=1,C33*F22*'数据-取费表'!B20/2,C33*(POWER((1+F22),'数据-取费表'!B20/2)-1)),0)</f>
        <v>4529210</v>
      </c>
      <c r="D42" s="282"/>
      <c r="E42" s="282"/>
      <c r="F42" s="283"/>
      <c r="G42" s="3140" t="s">
        <v>2456</v>
      </c>
    </row>
    <row r="43" spans="1:7" ht="13.5" customHeight="1">
      <c r="A43" s="951" t="s">
        <v>792</v>
      </c>
      <c r="B43" s="259" t="s">
        <v>2410</v>
      </c>
      <c r="C43" s="282">
        <f ca="1">ROUND(IF('数据-取费表'!B22&lt;=1,C39*F22*'数据-取费表'!B20/2,C39*(POWER((1+F22),'数据-取费表'!B20/2)-1)),0)</f>
        <v>45292</v>
      </c>
      <c r="D43" s="282"/>
      <c r="E43" s="282"/>
      <c r="F43" s="283"/>
      <c r="G43" s="3141"/>
    </row>
    <row r="44" spans="1:7" ht="13.5" customHeight="1">
      <c r="A44" s="951" t="s">
        <v>793</v>
      </c>
      <c r="B44" s="259" t="s">
        <v>2411</v>
      </c>
      <c r="C44" s="282">
        <f ca="1">ROUND(IF('数据-取费表'!B22&lt;=1,C40*F22*'数据-取费表'!B20/2,C40*(POWER((1+F22),'数据-取费表'!B20/2)-1)),4)</f>
        <v>2.0000000000000001E-4</v>
      </c>
      <c r="D44" s="282"/>
      <c r="E44" s="282"/>
      <c r="F44" s="283"/>
      <c r="G44" s="3142"/>
    </row>
    <row r="45" spans="1:7" s="258" customFormat="1" ht="13.5" customHeight="1">
      <c r="A45" s="299" t="s">
        <v>2412</v>
      </c>
      <c r="B45" s="288" t="s">
        <v>2378</v>
      </c>
      <c r="C45" s="289">
        <f ca="1">C46</f>
        <v>21032194</v>
      </c>
      <c r="D45" s="279">
        <f ca="1">C47</f>
        <v>1E-3</v>
      </c>
      <c r="E45" s="280" t="s">
        <v>2404</v>
      </c>
      <c r="F45" s="290"/>
      <c r="G45" s="291" t="s">
        <v>2413</v>
      </c>
    </row>
    <row r="46" spans="1:7" s="258" customFormat="1" ht="13.5" customHeight="1">
      <c r="A46" s="951" t="s">
        <v>791</v>
      </c>
      <c r="B46" s="292" t="s">
        <v>2414</v>
      </c>
      <c r="C46" s="293">
        <f ca="1">ROUND((C33+C39)*F27,0)</f>
        <v>21032194</v>
      </c>
      <c r="D46" s="307"/>
      <c r="E46" s="280"/>
      <c r="F46" s="290"/>
      <c r="G46" s="291"/>
    </row>
    <row r="47" spans="1:7" s="258" customFormat="1" ht="13.5" customHeight="1">
      <c r="A47" s="951"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251952837</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201562270</v>
      </c>
      <c r="D51" s="276"/>
      <c r="E51" s="276"/>
      <c r="F51" s="308"/>
      <c r="G51" s="278" t="s">
        <v>2425</v>
      </c>
    </row>
    <row r="52" spans="1:7" s="252" customFormat="1" ht="16.5" thickBot="1">
      <c r="A52" s="309" t="s">
        <v>2426</v>
      </c>
      <c r="B52" s="310"/>
      <c r="C52" s="311">
        <f ca="1">C31+C51</f>
        <v>242665060</v>
      </c>
      <c r="D52" s="310"/>
      <c r="E52" s="310"/>
      <c r="F52" s="310"/>
      <c r="G52" s="312"/>
    </row>
    <row r="55" spans="1:7" ht="15">
      <c r="B55" s="314" t="s">
        <v>2427</v>
      </c>
      <c r="C55" s="315"/>
    </row>
    <row r="56" spans="1:7">
      <c r="B56" s="317" t="s">
        <v>1508</v>
      </c>
      <c r="C56" s="319">
        <f ca="1">1-C57</f>
        <v>0.16900000000000004</v>
      </c>
    </row>
    <row r="57" spans="1:7">
      <c r="B57" s="317" t="s">
        <v>1509</v>
      </c>
      <c r="C57" s="318">
        <f ca="1">ROUND(C51/C52,3)</f>
        <v>0.83099999999999996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-1800</v>
      </c>
      <c r="C2" s="320" t="s">
        <v>2460</v>
      </c>
      <c r="D2" s="320"/>
      <c r="E2" s="320"/>
      <c r="F2" s="320"/>
      <c r="G2" s="320"/>
      <c r="H2" s="320"/>
      <c r="I2" s="320"/>
      <c r="J2" s="320"/>
      <c r="K2" s="320"/>
    </row>
    <row r="3" spans="1:33" ht="18" customHeight="1" thickBot="1">
      <c r="A3" s="247" t="s">
        <v>2329</v>
      </c>
      <c r="B3" s="248">
        <f ca="1">ROUND(B2*10000/IF(C1="",'数据-汇总表'!E3,INDIRECT("'数据-取费表'!K"&amp;$K$1)),0)</f>
        <v>-216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8" t="s">
        <v>2465</v>
      </c>
      <c r="D5" s="2558" t="s">
        <v>2466</v>
      </c>
      <c r="E5" s="2558" t="s">
        <v>2467</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83329.149999999994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83329.149999999994</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1667</v>
      </c>
      <c r="D18" s="1033"/>
      <c r="E18" s="24"/>
      <c r="F18" s="976"/>
      <c r="G18" s="2560"/>
      <c r="H18" s="1577"/>
      <c r="I18" s="2561"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1667</v>
      </c>
      <c r="D20" s="1033">
        <f ca="1">IF(C1="",'数据-汇总表'!E6,IF(INDIRECT("'数据-取费表'!c"&amp;$K$1)="住宅",INDIRECT("'数据-取费表'!s"&amp;$K$1),INDIRECT("'数据-取费表'!k"&amp;$K$1)+INDIRECT("'数据-取费表'!s"&amp;$K$1)))</f>
        <v>83329.149999999994</v>
      </c>
      <c r="E20" s="24">
        <f>'数据-取费表'!B28</f>
        <v>200</v>
      </c>
      <c r="F20" s="976"/>
      <c r="G20" s="15"/>
      <c r="H20" s="981"/>
      <c r="I20" s="981"/>
      <c r="J20" s="981"/>
      <c r="K20" s="982"/>
    </row>
    <row r="21" spans="1:33" s="975" customFormat="1" ht="13.5" customHeight="1">
      <c r="A21" s="961" t="s">
        <v>802</v>
      </c>
      <c r="B21" s="985" t="s">
        <v>2496</v>
      </c>
      <c r="C21" s="986">
        <f ca="1">C16+C17+C18</f>
        <v>1667</v>
      </c>
      <c r="D21" s="987"/>
      <c r="E21" s="325"/>
      <c r="F21" s="325"/>
      <c r="G21" s="140" t="s">
        <v>2497</v>
      </c>
      <c r="H21" s="979"/>
      <c r="I21" s="979"/>
      <c r="J21" s="979"/>
      <c r="K21" s="980"/>
    </row>
    <row r="22" spans="1:33" s="975" customFormat="1" ht="13.5" customHeight="1">
      <c r="A22" s="961" t="s">
        <v>2469</v>
      </c>
      <c r="B22" s="985" t="s">
        <v>2498</v>
      </c>
      <c r="C22" s="986">
        <f ca="1">ROUND(C21*F22,0)</f>
        <v>17</v>
      </c>
      <c r="D22" s="325"/>
      <c r="E22" s="325"/>
      <c r="F22" s="988">
        <f>'数据-取费表'!B37</f>
        <v>0.01</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0.01</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79"/>
      <c r="I27" s="979"/>
      <c r="J27" s="979"/>
      <c r="K27" s="980"/>
    </row>
    <row r="28" spans="1:33" s="333" customFormat="1" ht="13.5" customHeight="1">
      <c r="A28" s="961" t="s">
        <v>2509</v>
      </c>
      <c r="B28" s="2563" t="s">
        <v>2510</v>
      </c>
      <c r="C28" s="331">
        <f ca="1">C30</f>
        <v>168</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168</v>
      </c>
      <c r="D30" s="328"/>
      <c r="E30" s="329"/>
      <c r="F30" s="334"/>
      <c r="G30" s="140"/>
      <c r="H30" s="979"/>
      <c r="I30" s="979"/>
      <c r="J30" s="979"/>
      <c r="K30" s="980"/>
    </row>
    <row r="31" spans="1:33" s="975" customFormat="1" ht="13.5" customHeight="1" thickBot="1">
      <c r="A31" s="2564"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-1800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83329.149999999994</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6391</v>
      </c>
      <c r="C2" s="2725" t="s">
        <v>2813</v>
      </c>
      <c r="D2" s="2726" t="s">
        <v>2814</v>
      </c>
      <c r="E2" s="2727" t="s">
        <v>6</v>
      </c>
      <c r="F2" s="2726" t="s">
        <v>2815</v>
      </c>
      <c r="G2" s="2728" t="str">
        <f>IF(E2="商业",项目基本情况!B37,IF(E2="办公",项目基本情况!C37,IF(E2="住宅",项目基本情况!D37,项目基本情况!E37)))</f>
        <v>九级</v>
      </c>
      <c r="H2" s="2726" t="s">
        <v>2816</v>
      </c>
      <c r="I2" s="2728" t="str">
        <f>IF(E2="商业",项目基本情况!B38,IF(E2="办公",项目基本情况!C38,IF(E2="住宅",项目基本情况!D38,项目基本情况!E38)))</f>
        <v>Ⅸ-永乐开发区</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1567</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767</v>
      </c>
      <c r="C3" s="2725" t="s">
        <v>2819</v>
      </c>
      <c r="D3" s="2726" t="s">
        <v>2820</v>
      </c>
      <c r="E3" s="2731" t="s">
        <v>3063</v>
      </c>
      <c r="F3" s="2732" t="s">
        <v>2821</v>
      </c>
      <c r="G3" s="916">
        <f>IF(F3="宗地容积率",'数据-汇总表'!I4,IF(F3="估价对象容积率",'数据-汇总表'!I6,'数据-汇总表'!I7))</f>
        <v>1.08</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1033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813</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f>ROUND(IF(E2="商业",C6*C7+C16,(IF(E2="住宅",C6*C12+C16,C6+C16))),0)</f>
        <v>730</v>
      </c>
      <c r="D5" s="1787">
        <f>ROUND(C6+C16,0)</f>
        <v>730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607</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730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457</v>
      </c>
      <c r="U6" s="1603"/>
      <c r="V6" s="1602">
        <f t="shared" ca="1" si="1"/>
        <v>0</v>
      </c>
      <c r="W6" s="1606"/>
      <c r="X6" s="1606"/>
      <c r="Y6" s="1606"/>
      <c r="Z6" s="1606"/>
      <c r="AA6" s="1606"/>
      <c r="AB6" s="1606"/>
      <c r="AC6" s="2739"/>
      <c r="AD6" s="2740"/>
      <c r="AE6" s="2740"/>
      <c r="AF6" s="2740"/>
      <c r="AG6" s="2740"/>
      <c r="AH6" s="2740"/>
      <c r="AI6" s="2740"/>
      <c r="AJ6" s="2741"/>
    </row>
    <row r="7" spans="1:36" ht="24">
      <c r="A7" s="3240"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365</v>
      </c>
      <c r="U7" s="1603"/>
      <c r="V7" s="1602">
        <f t="shared" ca="1" si="1"/>
        <v>0</v>
      </c>
      <c r="W7" s="1816" t="s">
        <v>2835</v>
      </c>
      <c r="X7" s="1604" t="str">
        <f>G2</f>
        <v>九级</v>
      </c>
      <c r="Y7" s="1604" t="s">
        <v>2836</v>
      </c>
      <c r="Z7" s="1605">
        <f>G3</f>
        <v>1.08</v>
      </c>
      <c r="AA7" s="1606"/>
      <c r="AB7" s="1606"/>
      <c r="AC7" s="1607"/>
      <c r="AD7" s="1608"/>
      <c r="AE7" s="1608"/>
      <c r="AF7" s="1608"/>
      <c r="AG7" s="1608"/>
      <c r="AH7" s="1608"/>
      <c r="AI7" s="1608"/>
      <c r="AJ7" s="1609"/>
    </row>
    <row r="8" spans="1:36" ht="15">
      <c r="A8" s="3260"/>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2840</v>
      </c>
      <c r="X8" s="3254"/>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0"/>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730</v>
      </c>
      <c r="N9" s="1083">
        <f>SUMPRODUCT((因素修正幅度!B245:B289=I2)*(因素修正幅度!C3:F3=E2)*(因素修正幅度!C245:F289))</f>
        <v>0.05</v>
      </c>
      <c r="O9" s="1370"/>
      <c r="P9" s="1370"/>
      <c r="Q9" s="1370"/>
      <c r="R9" s="1602">
        <v>8</v>
      </c>
      <c r="S9" s="1603"/>
      <c r="T9" s="1602">
        <f t="shared" ca="1" si="0"/>
        <v>0</v>
      </c>
      <c r="U9" s="1603"/>
      <c r="V9" s="1602">
        <f t="shared" ca="1" si="1"/>
        <v>0</v>
      </c>
      <c r="W9" s="3255"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0"/>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2864</v>
      </c>
      <c r="X11" s="1614" t="s">
        <v>2865</v>
      </c>
      <c r="Y11" s="1615">
        <f>$G$3</f>
        <v>1.08</v>
      </c>
      <c r="Z11" s="1615">
        <f t="shared" ref="Z11:AJ11" si="3">$G$3</f>
        <v>1.08</v>
      </c>
      <c r="AA11" s="1615">
        <f t="shared" si="3"/>
        <v>1.08</v>
      </c>
      <c r="AB11" s="1615">
        <f t="shared" si="3"/>
        <v>1.08</v>
      </c>
      <c r="AC11" s="1615">
        <f t="shared" si="3"/>
        <v>1.08</v>
      </c>
      <c r="AD11" s="1615">
        <f t="shared" si="3"/>
        <v>1.08</v>
      </c>
      <c r="AE11" s="1615">
        <f t="shared" si="3"/>
        <v>1.08</v>
      </c>
      <c r="AF11" s="1615">
        <f t="shared" si="3"/>
        <v>1.08</v>
      </c>
      <c r="AG11" s="1615">
        <f t="shared" si="3"/>
        <v>1.08</v>
      </c>
      <c r="AH11" s="1615">
        <f t="shared" si="3"/>
        <v>1.08</v>
      </c>
      <c r="AI11" s="1615">
        <f t="shared" si="3"/>
        <v>1.08</v>
      </c>
      <c r="AJ11" s="1615">
        <f t="shared" si="3"/>
        <v>1.08</v>
      </c>
    </row>
    <row r="12" spans="1:36" ht="25.5" thickBot="1">
      <c r="A12" s="3240"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1"/>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0.70527777777777778</v>
      </c>
      <c r="Z13" s="1613">
        <f t="shared" ref="Z13:AJ13" si="5">(-0.163*(Z12^2)-0.59*Z12+7617)*(10^(-4))/Z11</f>
        <v>0.70527777777777778</v>
      </c>
      <c r="AA13" s="1613">
        <f t="shared" si="5"/>
        <v>0.70527777777777778</v>
      </c>
      <c r="AB13" s="1613">
        <f t="shared" si="5"/>
        <v>0.70527777777777778</v>
      </c>
      <c r="AC13" s="1613">
        <f t="shared" si="5"/>
        <v>0.70527777777777778</v>
      </c>
      <c r="AD13" s="1613">
        <f t="shared" si="5"/>
        <v>0.70527777777777778</v>
      </c>
      <c r="AE13" s="1613">
        <f t="shared" si="5"/>
        <v>0.70527777777777778</v>
      </c>
      <c r="AF13" s="1613">
        <f t="shared" si="5"/>
        <v>0.70527777777777778</v>
      </c>
      <c r="AG13" s="1613">
        <f t="shared" si="5"/>
        <v>0.70527777777777778</v>
      </c>
      <c r="AH13" s="1613">
        <f t="shared" si="5"/>
        <v>0.70527777777777778</v>
      </c>
      <c r="AI13" s="1613">
        <f t="shared" si="5"/>
        <v>0.70527777777777778</v>
      </c>
      <c r="AJ13" s="1613">
        <f t="shared" si="5"/>
        <v>0.70527777777777778</v>
      </c>
    </row>
    <row r="14" spans="1:36" ht="15">
      <c r="A14" s="3261"/>
      <c r="B14" s="2772"/>
      <c r="C14" s="2773"/>
      <c r="D14" s="2774"/>
      <c r="E14" s="2774"/>
      <c r="F14" s="2775"/>
      <c r="G14" s="2776" t="s">
        <v>2877</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2"/>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0" t="s">
        <v>2883</v>
      </c>
      <c r="B16" s="2749" t="s">
        <v>2884</v>
      </c>
      <c r="C16" s="2936">
        <f>ROUND(IF(F17="与级别开发程度一致",0,(G17-E17)/C17),0)</f>
        <v>0</v>
      </c>
      <c r="D16" s="3251" t="s">
        <v>2888</v>
      </c>
      <c r="E16" s="3252"/>
      <c r="F16" s="3251" t="s">
        <v>2885</v>
      </c>
      <c r="G16" s="3252"/>
      <c r="H16" s="2783" t="s">
        <v>3065</v>
      </c>
      <c r="I16" s="2783" t="s">
        <v>3066</v>
      </c>
      <c r="J16" s="2940" t="s">
        <v>3067</v>
      </c>
      <c r="K16" s="2783" t="s">
        <v>3068</v>
      </c>
      <c r="L16" s="2783" t="s">
        <v>3069</v>
      </c>
      <c r="M16" s="2783"/>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1"/>
      <c r="B17" s="2947" t="s">
        <v>2887</v>
      </c>
      <c r="C17" s="2948">
        <f>SUMPRODUCT((修正!A2:A5=E2)*(修正!B1:M1=G2)*(修正!B2:M5))</f>
        <v>1</v>
      </c>
      <c r="D17" s="229" t="str">
        <f>IF(OR(G2="八级",G2="九级",G2="十级",G2="十一级",G2="十二级"),"五通一平","七通一平")</f>
        <v>五通一平</v>
      </c>
      <c r="E17" s="2937">
        <f>SUMPRODUCT((修正!B1:M1=G2)*(修正!B15:M15))</f>
        <v>155</v>
      </c>
      <c r="F17" s="2938" t="s">
        <v>3064</v>
      </c>
      <c r="G17" s="2939">
        <f>SUM(H17:O17)</f>
        <v>145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1" t="s">
        <v>808</v>
      </c>
      <c r="B18" s="2942" t="s">
        <v>2890</v>
      </c>
      <c r="C18" s="2943">
        <f>SUMIF(修正!C18:C39,E3,修正!E18:E39)</f>
        <v>1</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2891</v>
      </c>
      <c r="C19" s="924">
        <f>ROUND(IF(H19="按公示增长率计算",SUMPRODUCT((地价!A3:A27=YEAR(G19)&amp;"-"&amp;ROUNDUP(MONTH(G19)/3,0))*(地价!X2:AB2=E2)*(地价!X3:AB27)),IF(H19="地价指数",M20/M19,(1+I19)^O19)),4)</f>
        <v>1.3573</v>
      </c>
      <c r="D19" s="2793" t="s">
        <v>2892</v>
      </c>
      <c r="E19" s="925">
        <v>41640</v>
      </c>
      <c r="F19" s="2793" t="s">
        <v>2893</v>
      </c>
      <c r="G19" s="926">
        <f>'数据-取费表'!B2</f>
        <v>43661</v>
      </c>
      <c r="H19" s="2794" t="s">
        <v>3070</v>
      </c>
      <c r="I19" s="927" t="str">
        <f>IF(H19="季度增幅（自定义）",SUMIF(N21:N24,E2,O21:O24),"")</f>
        <v/>
      </c>
      <c r="J19" s="2791"/>
      <c r="K19" s="1377"/>
      <c r="L19" s="2795" t="s">
        <v>2894</v>
      </c>
      <c r="M19" s="1734">
        <f>ROUND(SUMIF(地价!B2:F2,E2,地价!B27:F27),0)</f>
        <v>230</v>
      </c>
      <c r="N19" s="2796"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2896</v>
      </c>
      <c r="C20" s="929">
        <f ca="1">ROUND(POWER(1+G20,J20-I20)*(POWER(1+G20,I20)-1)/(POWER(1+G20,J20)-1),4)</f>
        <v>0.8145</v>
      </c>
      <c r="D20" s="2802" t="s">
        <v>2897</v>
      </c>
      <c r="E20" s="1768">
        <f ca="1">存贷款利率!D4/100</f>
        <v>4.3499999999999997E-2</v>
      </c>
      <c r="F20" s="2802" t="s">
        <v>2889</v>
      </c>
      <c r="G20" s="934">
        <f ca="1">SUMIF(M26:P26,E2,M28:P28)</f>
        <v>4.8000000000000001E-2</v>
      </c>
      <c r="H20" s="2802" t="s">
        <v>2898</v>
      </c>
      <c r="I20" s="935">
        <f>SUMIF('数据-取费表'!C6:C15,E2,'数据-取费表'!F6:F15)/COUNTIF('数据-取费表'!C6:C15,E2)</f>
        <v>28.44</v>
      </c>
      <c r="J20" s="936">
        <f>IF(E2="住宅",70,IF(E2="商业",40,50))</f>
        <v>50</v>
      </c>
      <c r="K20" s="1377"/>
      <c r="L20" s="2803" t="s">
        <v>2899</v>
      </c>
      <c r="M20" s="1735">
        <f>ROUND(SUMPRODUCT((地价!A4:A27=YEAR(G19)&amp;"-"&amp;ROUNDUP(MONTH(G19)/3,0))*(地价!B2:F2=E2)*(地价!B4:F27)),0)</f>
        <v>312</v>
      </c>
      <c r="N20" s="2804" t="s">
        <v>2900</v>
      </c>
      <c r="O20" s="2805" t="s">
        <v>2901</v>
      </c>
      <c r="P20" s="2806" t="s">
        <v>2902</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3071</v>
      </c>
      <c r="C21" s="937">
        <f>IF(B21="容积率修正",IF(G3&lt;=10,D22,J22),C23)</f>
        <v>0.94979999999999998</v>
      </c>
      <c r="D21" s="2809"/>
      <c r="E21" s="2809"/>
      <c r="F21" s="2809"/>
      <c r="G21" s="2809"/>
      <c r="H21" s="2809"/>
      <c r="I21" s="2809"/>
      <c r="J21" s="2810"/>
      <c r="K21" s="1377"/>
      <c r="N21" s="2811"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2" customFormat="1" ht="14.25">
      <c r="A22" s="2668" t="s">
        <v>2904</v>
      </c>
      <c r="B22" s="2812" t="s">
        <v>2905</v>
      </c>
      <c r="C22" s="1810" t="s">
        <v>2906</v>
      </c>
      <c r="D22" s="1810">
        <f>IF(E22=G22,F22,IF(G3&lt;=10,ROUND(F22+(H22-F22)*(G3-E22)/(G22-E22),4),"——"))</f>
        <v>0.94979999999999998</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1"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8" t="s">
        <v>2908</v>
      </c>
      <c r="B23" s="2813" t="s">
        <v>2909</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2911</v>
      </c>
      <c r="C24" s="924">
        <f>SUMIF(A45:A88,E2,B45:B88)</f>
        <v>1</v>
      </c>
      <c r="D24" s="2790"/>
      <c r="E24" s="2819"/>
      <c r="F24" s="2819"/>
      <c r="G24" s="2819"/>
      <c r="H24" s="2819"/>
      <c r="I24" s="2819"/>
      <c r="J24" s="2820"/>
      <c r="K24" s="1377"/>
      <c r="N24" s="2821"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2913</v>
      </c>
      <c r="C25" s="930"/>
      <c r="D25" s="2752"/>
      <c r="E25" s="2752"/>
      <c r="F25" s="2823"/>
      <c r="G25" s="2752"/>
      <c r="H25" s="2752"/>
      <c r="I25" s="2752"/>
      <c r="J25" s="2753"/>
      <c r="K25" s="1370"/>
      <c r="N25" s="2824"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5"/>
      <c r="B26" s="2812" t="s">
        <v>2915</v>
      </c>
      <c r="C26" s="206">
        <f ca="1">E29+SUM(E33:E39)</f>
        <v>6391</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2916</v>
      </c>
      <c r="C27" s="931">
        <f ca="1">E30+SUM(I33:I39)</f>
        <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2917</v>
      </c>
      <c r="C28" s="2836" t="s">
        <v>2918</v>
      </c>
      <c r="D28" s="2836" t="s">
        <v>2919</v>
      </c>
      <c r="E28" s="2837" t="s">
        <v>2920</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2921</v>
      </c>
      <c r="C29" s="206">
        <f ca="1">ROUND(C5*C18*C19*C20*C21*C24,0)</f>
        <v>767</v>
      </c>
      <c r="D29" s="2841">
        <f>'数据-汇总表'!F19</f>
        <v>83329.149999999994</v>
      </c>
      <c r="E29" s="942">
        <f ca="1">ROUND(C29*D29/10000,0)</f>
        <v>6391</v>
      </c>
      <c r="F29" s="2842" t="s">
        <v>2922</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2923</v>
      </c>
      <c r="C30" s="229">
        <f ca="1">ROUND(IF(E2="工业",C29*M39,C29*M38),0)</f>
        <v>115</v>
      </c>
      <c r="D30" s="2847"/>
      <c r="E30" s="942">
        <f ca="1">ROUND(C30*D30/10000,0)</f>
        <v>0</v>
      </c>
      <c r="F30" s="2848" t="s">
        <v>2924</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2925</v>
      </c>
      <c r="C31" s="2853" t="s">
        <v>2926</v>
      </c>
      <c r="D31" s="2765"/>
      <c r="E31" s="2853"/>
      <c r="F31" s="2853"/>
      <c r="G31" s="2763" t="s">
        <v>2927</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2918</v>
      </c>
      <c r="D32" s="498" t="s">
        <v>2919</v>
      </c>
      <c r="E32" s="498" t="s">
        <v>2920</v>
      </c>
      <c r="F32" s="388" t="s">
        <v>2928</v>
      </c>
      <c r="G32" s="2856" t="s">
        <v>2918</v>
      </c>
      <c r="H32" s="2856" t="s">
        <v>2919</v>
      </c>
      <c r="I32" s="285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48" t="s">
        <v>2929</v>
      </c>
      <c r="B33" s="2857" t="s">
        <v>2930</v>
      </c>
      <c r="C33" s="206">
        <f ca="1">ROUND(D5*C19*C20*C24*F33,0)</f>
        <v>484</v>
      </c>
      <c r="D33" s="2841"/>
      <c r="E33" s="200">
        <f ca="1">ROUND(C33*D33/10000,0)</f>
        <v>0</v>
      </c>
      <c r="F33" s="200">
        <f>SUMIF(修正!A45:A56,G2,修正!B45:B56)</f>
        <v>0.6</v>
      </c>
      <c r="G33" s="200">
        <f t="shared" ref="G33" ca="1" si="6">ROUND(IF(E2="工业",C33*$M$39,C33*$M$38),0)</f>
        <v>73</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9"/>
      <c r="B34" s="2769" t="s">
        <v>2931</v>
      </c>
      <c r="C34" s="206">
        <f ca="1">ROUND(D5*C19*C20*C24*F34,0)</f>
        <v>242</v>
      </c>
      <c r="D34" s="2841"/>
      <c r="E34" s="200">
        <f t="shared" ref="E34:E39" ca="1" si="7">ROUND(C34*D34/10000,0)</f>
        <v>0</v>
      </c>
      <c r="F34" s="200">
        <f>SUMIF(修正!A45:A56,G2,修正!C45:C56)</f>
        <v>0.3</v>
      </c>
      <c r="G34" s="200">
        <f ca="1">ROUND(IF(E2="工业",C34*$M$39,C34*$M$38),0)</f>
        <v>36</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9" t="s">
        <v>2932</v>
      </c>
      <c r="C35" s="206">
        <f ca="1">ROUND(D5*C19*C20*C24*F35,0)</f>
        <v>161</v>
      </c>
      <c r="D35" s="2841"/>
      <c r="E35" s="200">
        <f t="shared" ca="1" si="7"/>
        <v>0</v>
      </c>
      <c r="F35" s="200">
        <f>SUMIF(修正!A45:A56,G2,修正!D45:D56)</f>
        <v>0.2</v>
      </c>
      <c r="G35" s="200">
        <f ca="1">ROUND(IF(E2="工业",C35*$M$39,C35*$M$38),0)</f>
        <v>24</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50"/>
      <c r="B36" s="2769" t="s">
        <v>2933</v>
      </c>
      <c r="C36" s="206">
        <f ca="1">ROUND(D5*C19*C20*C24*F36,0)</f>
        <v>161</v>
      </c>
      <c r="D36" s="2841"/>
      <c r="E36" s="200">
        <f t="shared" ca="1" si="7"/>
        <v>0</v>
      </c>
      <c r="F36" s="200">
        <f>SUMIF(修正!A45:A56,G2,修正!E45:E56)</f>
        <v>0.2</v>
      </c>
      <c r="G36" s="200">
        <f ca="1">ROUND(IF(E2="工业",C36*$M$39,C36*$M$38),0)</f>
        <v>24</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2934</v>
      </c>
      <c r="C37" s="200">
        <f ca="1">ROUND(D5*C19*C20*C24*F37,0)</f>
        <v>161</v>
      </c>
      <c r="D37" s="2841"/>
      <c r="E37" s="200">
        <f t="shared" ca="1" si="7"/>
        <v>0</v>
      </c>
      <c r="F37" s="206">
        <f>SUMIF(修正!A45:A56,G2,修正!F45:F56)</f>
        <v>0.2</v>
      </c>
      <c r="G37" s="200">
        <f ca="1">ROUND(IF(E2="工业",C37*$M$39,C37*$M$38),0)</f>
        <v>24</v>
      </c>
      <c r="H37" s="200">
        <f t="shared" si="8"/>
        <v>0</v>
      </c>
      <c r="I37" s="200">
        <f t="shared" ca="1" si="9"/>
        <v>0</v>
      </c>
      <c r="J37" s="2858"/>
      <c r="K37" s="1370"/>
      <c r="L37" s="2860" t="s">
        <v>2935</v>
      </c>
      <c r="M37" s="2861"/>
      <c r="N37" s="1370"/>
      <c r="O37" s="1370"/>
      <c r="P37" s="1370"/>
      <c r="Q37" s="1370"/>
      <c r="R37" s="1370"/>
      <c r="S37" s="1370"/>
      <c r="T37" s="1370"/>
      <c r="U37" s="1370"/>
      <c r="V37" s="1370"/>
      <c r="W37" s="1370"/>
      <c r="X37" s="1370"/>
      <c r="Y37" s="1370"/>
      <c r="Z37" s="1371"/>
    </row>
    <row r="38" spans="1:37">
      <c r="A38" s="2859"/>
      <c r="B38" s="2769" t="s">
        <v>2936</v>
      </c>
      <c r="C38" s="200">
        <f ca="1">ROUND(D5*C19*C41*C24*F38,0)</f>
        <v>0</v>
      </c>
      <c r="D38" s="2841"/>
      <c r="E38" s="200">
        <f t="shared" ca="1" si="7"/>
        <v>0</v>
      </c>
      <c r="F38" s="206">
        <f>SUMIF(修正!A45:A56,G2,修正!G45:G56)</f>
        <v>0.2</v>
      </c>
      <c r="G38" s="200">
        <f ca="1">ROUND(IF(E2="工业",C38*$M$39,C38*$M$38),0)</f>
        <v>0</v>
      </c>
      <c r="H38" s="200">
        <f t="shared" si="8"/>
        <v>0</v>
      </c>
      <c r="I38" s="200">
        <f t="shared" ca="1" si="9"/>
        <v>0</v>
      </c>
      <c r="J38" s="2858"/>
      <c r="K38" s="1370"/>
      <c r="L38" s="1887" t="s">
        <v>2937</v>
      </c>
      <c r="M38" s="2862">
        <v>0.25</v>
      </c>
      <c r="N38" s="1370"/>
      <c r="O38" s="1370"/>
      <c r="P38" s="1370"/>
      <c r="Q38" s="1370"/>
      <c r="R38" s="1370"/>
      <c r="S38" s="1370"/>
      <c r="T38" s="1370"/>
      <c r="U38" s="1370"/>
      <c r="V38" s="1370"/>
      <c r="W38" s="1370"/>
      <c r="X38" s="1370"/>
      <c r="Y38" s="1370"/>
      <c r="Z38" s="1371"/>
    </row>
    <row r="39" spans="1:37" ht="13.5" thickBot="1">
      <c r="A39" s="2845"/>
      <c r="B39" s="2863" t="s">
        <v>2938</v>
      </c>
      <c r="C39" s="229">
        <f ca="1">ROUND(D5*C19*C41*C24*F39,0)</f>
        <v>0</v>
      </c>
      <c r="D39" s="2847"/>
      <c r="E39" s="229">
        <f t="shared" ca="1" si="7"/>
        <v>0</v>
      </c>
      <c r="F39" s="932">
        <f>SUMIF(修正!A45:A56,G2,修正!H45:H56)</f>
        <v>0.15</v>
      </c>
      <c r="G39" s="229">
        <f ca="1">ROUND(IF(E2="工业",C39*$M$39,C39*$M$38),0)</f>
        <v>0</v>
      </c>
      <c r="H39" s="229">
        <f t="shared" si="8"/>
        <v>0</v>
      </c>
      <c r="I39" s="229">
        <f t="shared" ca="1" si="9"/>
        <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3049</v>
      </c>
      <c r="C41" s="388">
        <f ca="1">ROUND(POWER(1+E41,H41-G41)*(POWER(1+E41,G41)-1)/(POWER(1+E41,H41)-1),4)</f>
        <v>0</v>
      </c>
      <c r="D41" s="200" t="s">
        <v>2889</v>
      </c>
      <c r="E41" s="2933">
        <f ca="1">G20</f>
        <v>4.8000000000000001E-2</v>
      </c>
      <c r="F41" s="200" t="s">
        <v>2898</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2939</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2940</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2941</v>
      </c>
      <c r="B47" s="1809" t="s">
        <v>2942</v>
      </c>
      <c r="C47" s="1809" t="s">
        <v>2943</v>
      </c>
      <c r="D47" s="1809" t="s">
        <v>2944</v>
      </c>
      <c r="E47" s="819" t="s">
        <v>2945</v>
      </c>
      <c r="F47" s="2875" t="s">
        <v>2946</v>
      </c>
      <c r="G47" s="1809" t="s">
        <v>754</v>
      </c>
      <c r="H47" s="2876" t="s">
        <v>2947</v>
      </c>
      <c r="I47" s="1809"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4" t="s">
        <v>2949</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2950</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2951</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2952</v>
      </c>
      <c r="B51" s="2879" t="s">
        <v>2953</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2954</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2955</v>
      </c>
      <c r="B53" s="2880" t="s">
        <v>2956</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2957</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2958</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2959</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2960</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2941</v>
      </c>
      <c r="B58" s="1809"/>
      <c r="C58" s="1809" t="s">
        <v>2943</v>
      </c>
      <c r="D58" s="1809" t="s">
        <v>2944</v>
      </c>
      <c r="E58" s="819" t="s">
        <v>2945</v>
      </c>
      <c r="F58" s="2875" t="s">
        <v>2961</v>
      </c>
      <c r="G58" s="1809" t="s">
        <v>754</v>
      </c>
      <c r="H58" s="2876" t="s">
        <v>2947</v>
      </c>
      <c r="I58" s="1809"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4" t="s">
        <v>2962</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2950</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2951</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2952</v>
      </c>
      <c r="B62" s="2879" t="s">
        <v>2953</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2954</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2955</v>
      </c>
      <c r="B64" s="2880" t="s">
        <v>2956</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2957</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2958</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2959</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2963</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2941</v>
      </c>
      <c r="B69" s="1809"/>
      <c r="C69" s="1809" t="s">
        <v>2943</v>
      </c>
      <c r="D69" s="1809" t="s">
        <v>2944</v>
      </c>
      <c r="E69" s="819" t="s">
        <v>2945</v>
      </c>
      <c r="F69" s="2875" t="s">
        <v>2961</v>
      </c>
      <c r="G69" s="1809" t="s">
        <v>754</v>
      </c>
      <c r="H69" s="2876" t="s">
        <v>2947</v>
      </c>
      <c r="I69" s="1809"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4" t="s">
        <v>2964</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2950</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2951</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2965</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2957</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2958</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2955</v>
      </c>
      <c r="B76" s="2880" t="s">
        <v>2956</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2959</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2966</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2967</v>
      </c>
      <c r="B79" s="2871">
        <f>1+E81</f>
        <v>1</v>
      </c>
      <c r="C79" s="814"/>
      <c r="D79" s="814"/>
      <c r="E79" s="815"/>
      <c r="F79" s="2873"/>
      <c r="G79" s="6"/>
      <c r="H79" s="6"/>
      <c r="I79" s="6"/>
      <c r="J79" s="7"/>
      <c r="K79" s="7"/>
      <c r="L79" s="7"/>
      <c r="M79" s="7"/>
      <c r="N79" s="7"/>
      <c r="Z79" s="2724"/>
      <c r="AA79" s="2792"/>
      <c r="AG79" s="1372"/>
      <c r="AK79" s="2792"/>
    </row>
    <row r="80" spans="1:37" ht="24.75">
      <c r="A80" s="2874" t="s">
        <v>2941</v>
      </c>
      <c r="B80" s="1809"/>
      <c r="C80" s="1809" t="s">
        <v>2943</v>
      </c>
      <c r="D80" s="1809" t="s">
        <v>2944</v>
      </c>
      <c r="E80" s="819" t="s">
        <v>2945</v>
      </c>
      <c r="F80" s="2875" t="s">
        <v>2961</v>
      </c>
      <c r="G80" s="1809" t="s">
        <v>754</v>
      </c>
      <c r="H80" s="2876" t="s">
        <v>2947</v>
      </c>
      <c r="I80" s="1809" t="s">
        <v>2948</v>
      </c>
      <c r="J80" s="603" t="s">
        <v>2597</v>
      </c>
      <c r="K80" s="603" t="s">
        <v>2598</v>
      </c>
      <c r="L80" s="603" t="s">
        <v>2599</v>
      </c>
      <c r="M80" s="603" t="s">
        <v>2600</v>
      </c>
      <c r="N80" s="603" t="s">
        <v>2601</v>
      </c>
      <c r="Z80" s="2724"/>
      <c r="AA80" s="2792"/>
      <c r="AG80" s="1372"/>
      <c r="AK80" s="2792"/>
    </row>
    <row r="81" spans="1:37" ht="38.25">
      <c r="A81" s="2874" t="s">
        <v>2968</v>
      </c>
      <c r="B81" s="2878" t="str">
        <f>估价对象房地状况!G15</f>
        <v>估价对象位于XX开发区，园区建设成熟度XX，产业集聚程度XX</v>
      </c>
      <c r="C81" s="2774"/>
      <c r="D81" s="1286">
        <f t="shared" ref="D81:D88" si="25">SUMIF($J$80:$N$80,C81,J81:N81)</f>
        <v>0</v>
      </c>
      <c r="E81" s="821">
        <f>ROUND(SUM(D81:D88),4)</f>
        <v>0</v>
      </c>
      <c r="F81" s="2505">
        <f>IF(E2="工业",SUMIF(L1:L12,G2,N1:N12),"——")</f>
        <v>0.05</v>
      </c>
      <c r="G81" s="1284"/>
      <c r="H81" s="1288">
        <f t="shared" ref="H81:H88" si="26">IFERROR(ROUNDDOWN($F$81*I81/2,4),"——")</f>
        <v>6.4999999999999997E-3</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2950</v>
      </c>
      <c r="B82" s="2878" t="str">
        <f>估价对象房地状况!G16</f>
        <v>估价对象周边道路状况、公共交通通达情况、停车便捷程度，综合评价交通便捷度较好</v>
      </c>
      <c r="C82" s="2774"/>
      <c r="D82" s="1286">
        <f t="shared" si="25"/>
        <v>0</v>
      </c>
      <c r="E82" s="826"/>
      <c r="F82" s="2505"/>
      <c r="G82" s="1284"/>
      <c r="H82" s="1288">
        <f t="shared" si="26"/>
        <v>8.2000000000000007E-3</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2951</v>
      </c>
      <c r="B83" s="2878">
        <f>估价对象房地状况!G17</f>
        <v>0</v>
      </c>
      <c r="C83" s="2774"/>
      <c r="D83" s="1286">
        <f t="shared" si="25"/>
        <v>0</v>
      </c>
      <c r="E83" s="826"/>
      <c r="F83" s="2505"/>
      <c r="G83" s="1284"/>
      <c r="H83" s="1288">
        <f t="shared" si="26"/>
        <v>1.1999999999999999E-3</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2965</v>
      </c>
      <c r="B84" s="2878">
        <f>估价对象房地状况!G22</f>
        <v>0</v>
      </c>
      <c r="C84" s="2774"/>
      <c r="D84" s="1286">
        <f t="shared" si="25"/>
        <v>0</v>
      </c>
      <c r="E84" s="826"/>
      <c r="F84" s="2505"/>
      <c r="G84" s="1284"/>
      <c r="H84" s="1288">
        <f t="shared" si="26"/>
        <v>1E-3</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2957</v>
      </c>
      <c r="B85" s="1725" t="str">
        <f>估价对象房地状况!G19</f>
        <v>估价对象所在区域公共配套设施齐备情况</v>
      </c>
      <c r="C85" s="2774"/>
      <c r="D85" s="1286">
        <f t="shared" si="25"/>
        <v>0</v>
      </c>
      <c r="E85" s="826"/>
      <c r="F85" s="2505"/>
      <c r="G85" s="1284"/>
      <c r="H85" s="1288">
        <f t="shared" si="26"/>
        <v>1.5E-3</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2958</v>
      </c>
      <c r="B86" s="1725" t="str">
        <f>估价对象房地状况!G20</f>
        <v>估价对象所在区域基础设施水平</v>
      </c>
      <c r="C86" s="2774"/>
      <c r="D86" s="1286">
        <f t="shared" si="25"/>
        <v>0</v>
      </c>
      <c r="E86" s="826"/>
      <c r="F86" s="2505"/>
      <c r="G86" s="1284"/>
      <c r="H86" s="1288">
        <f t="shared" si="26"/>
        <v>3.7000000000000002E-3</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2955</v>
      </c>
      <c r="B87" s="2880" t="s">
        <v>2969</v>
      </c>
      <c r="C87" s="2774"/>
      <c r="D87" s="1286">
        <f t="shared" si="25"/>
        <v>0</v>
      </c>
      <c r="E87" s="826"/>
      <c r="F87" s="2505"/>
      <c r="G87" s="1284"/>
      <c r="H87" s="1288">
        <f t="shared" si="26"/>
        <v>1.1999999999999999E-3</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2970</v>
      </c>
      <c r="B88" s="2887" t="str">
        <f>估价对象房地状况!G18</f>
        <v>该园区内是否有污染型企业，绿化情况，卫生条件，整体环境状况判断</v>
      </c>
      <c r="C88" s="2774"/>
      <c r="D88" s="1286">
        <f t="shared" si="25"/>
        <v>0</v>
      </c>
      <c r="E88" s="827"/>
      <c r="F88" s="2505"/>
      <c r="G88" s="1284"/>
      <c r="H88" s="1288">
        <f t="shared" si="26"/>
        <v>1.5E-3</v>
      </c>
      <c r="I88" s="824">
        <v>0.06</v>
      </c>
      <c r="J88" s="1285">
        <f t="shared" si="27"/>
        <v>0</v>
      </c>
      <c r="K88" s="1285">
        <f t="shared" si="28"/>
        <v>0</v>
      </c>
      <c r="L88" s="1285">
        <v>0</v>
      </c>
      <c r="M88" s="1285">
        <f t="shared" si="29"/>
        <v>0</v>
      </c>
      <c r="N88" s="1285">
        <f t="shared" si="29"/>
        <v>0</v>
      </c>
      <c r="Z88" s="2724"/>
      <c r="AA88" s="2792"/>
      <c r="AG88" s="1372"/>
      <c r="AK88" s="2792"/>
    </row>
    <row r="90" spans="1:37">
      <c r="A90" s="3242" t="s">
        <v>2971</v>
      </c>
      <c r="B90" s="3242"/>
      <c r="C90" s="3242"/>
      <c r="D90" s="3242"/>
      <c r="E90" s="3242"/>
      <c r="F90" s="3242"/>
      <c r="G90" s="3242"/>
      <c r="H90" s="3242"/>
      <c r="I90" s="3242"/>
      <c r="J90" s="3242"/>
      <c r="K90" s="2888"/>
      <c r="L90" s="2888"/>
      <c r="M90" s="2888"/>
      <c r="N90" s="2888"/>
    </row>
    <row r="91" spans="1:37">
      <c r="A91" s="3244" t="s">
        <v>2972</v>
      </c>
      <c r="B91" s="3244" t="s">
        <v>2973</v>
      </c>
      <c r="C91" s="2842" t="s">
        <v>2974</v>
      </c>
      <c r="D91" s="2843"/>
      <c r="E91" s="2843"/>
      <c r="F91" s="2843"/>
      <c r="G91" s="2843"/>
      <c r="H91" s="2843"/>
      <c r="I91" s="2843"/>
      <c r="J91" s="2889"/>
      <c r="K91" s="2890"/>
      <c r="L91" s="2890"/>
      <c r="M91" s="2890"/>
      <c r="N91" s="2890"/>
    </row>
    <row r="92" spans="1:37">
      <c r="A92" s="3244"/>
      <c r="B92" s="324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5"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4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4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4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4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4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46"/>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4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45" t="s">
        <v>2976</v>
      </c>
      <c r="B101" s="2895" t="s">
        <v>2977</v>
      </c>
      <c r="C101" s="2896">
        <f>$G$3</f>
        <v>1.08</v>
      </c>
      <c r="D101" s="2896">
        <f t="shared" ref="D101:N101" si="31">$G$3</f>
        <v>1.08</v>
      </c>
      <c r="E101" s="2896">
        <f t="shared" si="31"/>
        <v>1.08</v>
      </c>
      <c r="F101" s="2896">
        <f t="shared" si="31"/>
        <v>1.08</v>
      </c>
      <c r="G101" s="2896">
        <f t="shared" si="31"/>
        <v>1.08</v>
      </c>
      <c r="H101" s="2896">
        <f t="shared" si="31"/>
        <v>1.08</v>
      </c>
      <c r="I101" s="2896">
        <f t="shared" si="31"/>
        <v>1.08</v>
      </c>
      <c r="J101" s="2896">
        <f t="shared" si="31"/>
        <v>1.08</v>
      </c>
      <c r="K101" s="2896">
        <f t="shared" si="31"/>
        <v>1.08</v>
      </c>
      <c r="L101" s="2896">
        <f t="shared" si="31"/>
        <v>1.08</v>
      </c>
      <c r="M101" s="2896">
        <f t="shared" si="31"/>
        <v>1.08</v>
      </c>
      <c r="N101" s="2896">
        <f t="shared" si="31"/>
        <v>1.08</v>
      </c>
    </row>
    <row r="102" spans="1:14">
      <c r="A102" s="3246"/>
      <c r="B102" s="2891">
        <v>1</v>
      </c>
      <c r="C102" s="2892">
        <f>1.9362/C101</f>
        <v>1.7927777777777776</v>
      </c>
      <c r="D102" s="2892">
        <f>1.9362/D101</f>
        <v>1.7927777777777776</v>
      </c>
      <c r="E102" s="2892">
        <f>1.8629/E101</f>
        <v>1.7249074074074073</v>
      </c>
      <c r="F102" s="2892">
        <f>1.8629/F101</f>
        <v>1.7249074074074073</v>
      </c>
      <c r="G102" s="2892">
        <f>1.8629/G101</f>
        <v>1.7249074074074073</v>
      </c>
      <c r="H102" s="2892">
        <f>1.8629/H101</f>
        <v>1.7249074074074073</v>
      </c>
      <c r="I102" s="2892">
        <f>1.8629/I101</f>
        <v>1.7249074074074073</v>
      </c>
      <c r="J102" s="2892">
        <f>1.942/J101</f>
        <v>1.7981481481481481</v>
      </c>
      <c r="K102" s="2892">
        <f>1.942/K101</f>
        <v>1.7981481481481481</v>
      </c>
      <c r="L102" s="2892">
        <f>1.942/L101</f>
        <v>1.7981481481481481</v>
      </c>
      <c r="M102" s="2892">
        <f>1.942/M101</f>
        <v>1.7981481481481481</v>
      </c>
      <c r="N102" s="2892">
        <f>1.942/N101</f>
        <v>1.7981481481481481</v>
      </c>
    </row>
    <row r="103" spans="1:14">
      <c r="A103" s="3246"/>
      <c r="B103" s="2891">
        <v>2</v>
      </c>
      <c r="C103" s="2892">
        <f>1.4198/C101</f>
        <v>1.3146296296296296</v>
      </c>
      <c r="D103" s="2892">
        <f>1.4198/D101</f>
        <v>1.3146296296296296</v>
      </c>
      <c r="E103" s="2892">
        <f>1.3372/E101</f>
        <v>1.238148148148148</v>
      </c>
      <c r="F103" s="2892">
        <f>1.3372/F101</f>
        <v>1.238148148148148</v>
      </c>
      <c r="G103" s="2892">
        <f>1.3372/G101</f>
        <v>1.238148148148148</v>
      </c>
      <c r="H103" s="2892">
        <f>1.3372/H101</f>
        <v>1.238148148148148</v>
      </c>
      <c r="I103" s="2892">
        <f>1.3372/I101</f>
        <v>1.238148148148148</v>
      </c>
      <c r="J103" s="2892">
        <f>1.2799/J101</f>
        <v>1.1850925925925926</v>
      </c>
      <c r="K103" s="2892">
        <f>1.2799/K101</f>
        <v>1.1850925925925926</v>
      </c>
      <c r="L103" s="2892">
        <f>1.2799/L101</f>
        <v>1.1850925925925926</v>
      </c>
      <c r="M103" s="2892">
        <f>1.2799/M101</f>
        <v>1.1850925925925926</v>
      </c>
      <c r="N103" s="2892">
        <f>1.2799/N101</f>
        <v>1.1850925925925926</v>
      </c>
    </row>
    <row r="104" spans="1:14">
      <c r="A104" s="3246"/>
      <c r="B104" s="2891">
        <v>3</v>
      </c>
      <c r="C104" s="2892">
        <f>1.1594/C101</f>
        <v>1.0735185185185185</v>
      </c>
      <c r="D104" s="2892">
        <f>1.1594/D101</f>
        <v>1.0735185185185185</v>
      </c>
      <c r="E104" s="2892">
        <f>1.0788/E101</f>
        <v>0.99888888888888883</v>
      </c>
      <c r="F104" s="2892">
        <f>1.0788/F101</f>
        <v>0.99888888888888883</v>
      </c>
      <c r="G104" s="2892">
        <f>1.0788/G101</f>
        <v>0.99888888888888883</v>
      </c>
      <c r="H104" s="2892">
        <f>1.0788/H101</f>
        <v>0.99888888888888883</v>
      </c>
      <c r="I104" s="2892">
        <f>1.0788/I101</f>
        <v>0.99888888888888883</v>
      </c>
      <c r="J104" s="2892">
        <f>1.0072/J101</f>
        <v>0.93259259259259264</v>
      </c>
      <c r="K104" s="2892">
        <f>1.0072/K101</f>
        <v>0.93259259259259264</v>
      </c>
      <c r="L104" s="2892">
        <f>1.0072/L101</f>
        <v>0.93259259259259264</v>
      </c>
      <c r="M104" s="2892">
        <f>1.0072/M101</f>
        <v>0.93259259259259264</v>
      </c>
      <c r="N104" s="2892">
        <f>1.0072/N101</f>
        <v>0.93259259259259264</v>
      </c>
    </row>
    <row r="105" spans="1:14">
      <c r="A105" s="3246"/>
      <c r="B105" s="2891">
        <v>4</v>
      </c>
      <c r="C105" s="2892">
        <f>0.9622/C101</f>
        <v>0.8909259259259259</v>
      </c>
      <c r="D105" s="2892">
        <f>0.9622/D101</f>
        <v>0.8909259259259259</v>
      </c>
      <c r="E105" s="2892">
        <f>0.8656/E101</f>
        <v>0.80148148148148146</v>
      </c>
      <c r="F105" s="2892">
        <f>0.8656/F101</f>
        <v>0.80148148148148146</v>
      </c>
      <c r="G105" s="2892">
        <f>0.8656/G101</f>
        <v>0.80148148148148146</v>
      </c>
      <c r="H105" s="2892">
        <f>0.8656/H101</f>
        <v>0.80148148148148146</v>
      </c>
      <c r="I105" s="2892">
        <f>0.8656/I101</f>
        <v>0.80148148148148146</v>
      </c>
      <c r="J105" s="2892">
        <f>0.7525/J101</f>
        <v>0.69675925925925919</v>
      </c>
      <c r="K105" s="2892">
        <f>0.7525/K101</f>
        <v>0.69675925925925919</v>
      </c>
      <c r="L105" s="2892">
        <f>0.7525/L101</f>
        <v>0.69675925925925919</v>
      </c>
      <c r="M105" s="2892">
        <f>0.7525/M101</f>
        <v>0.69675925925925919</v>
      </c>
      <c r="N105" s="2892">
        <f>0.7525/N101</f>
        <v>0.69675925925925919</v>
      </c>
    </row>
    <row r="106" spans="1:14">
      <c r="A106" s="3246"/>
      <c r="B106" s="2891">
        <v>5</v>
      </c>
      <c r="C106" s="2892">
        <f>0.8417/C101</f>
        <v>0.77935185185185185</v>
      </c>
      <c r="D106" s="2892">
        <f>0.8417/D101</f>
        <v>0.77935185185185185</v>
      </c>
      <c r="E106" s="2892">
        <f>0.7371/E101</f>
        <v>0.68249999999999988</v>
      </c>
      <c r="F106" s="2892">
        <f>0.7371/F101</f>
        <v>0.68249999999999988</v>
      </c>
      <c r="G106" s="2892">
        <f>0.7371/G101</f>
        <v>0.68249999999999988</v>
      </c>
      <c r="H106" s="2892">
        <f>0.7371/H101</f>
        <v>0.68249999999999988</v>
      </c>
      <c r="I106" s="2892">
        <f>0.7371/I101</f>
        <v>0.68249999999999988</v>
      </c>
      <c r="J106" s="2892">
        <f>0.5659/J101</f>
        <v>0.52398148148148138</v>
      </c>
      <c r="K106" s="2892">
        <f>0.5659/K101</f>
        <v>0.52398148148148138</v>
      </c>
      <c r="L106" s="2892">
        <f>0.5659/L101</f>
        <v>0.52398148148148138</v>
      </c>
      <c r="M106" s="2892">
        <f>0.5659/M101</f>
        <v>0.52398148148148138</v>
      </c>
      <c r="N106" s="2892">
        <f>0.5659/N101</f>
        <v>0.52398148148148138</v>
      </c>
    </row>
    <row r="107" spans="1:14">
      <c r="A107" s="3246"/>
      <c r="B107" s="2891">
        <v>6</v>
      </c>
      <c r="C107" s="2892">
        <f>0.7608/C101</f>
        <v>0.70444444444444443</v>
      </c>
      <c r="D107" s="2892">
        <f>0.7608/D101</f>
        <v>0.70444444444444443</v>
      </c>
      <c r="E107" s="2892">
        <f>0.6482/E101</f>
        <v>0.60018518518518515</v>
      </c>
      <c r="F107" s="2892">
        <f>0.6482/F101</f>
        <v>0.60018518518518515</v>
      </c>
      <c r="G107" s="2892">
        <f>0.6482/G101</f>
        <v>0.60018518518518515</v>
      </c>
      <c r="H107" s="2892">
        <f>0.6482/H101</f>
        <v>0.60018518518518515</v>
      </c>
      <c r="I107" s="2892">
        <f>0.6482/I101</f>
        <v>0.60018518518518515</v>
      </c>
      <c r="J107" s="2892">
        <f>0.4525/J101</f>
        <v>0.41898148148148145</v>
      </c>
      <c r="K107" s="2892">
        <f>0.4525/K101</f>
        <v>0.41898148148148145</v>
      </c>
      <c r="L107" s="2892">
        <f>0.4525/L101</f>
        <v>0.41898148148148145</v>
      </c>
      <c r="M107" s="2892">
        <f>0.4525/M101</f>
        <v>0.41898148148148145</v>
      </c>
      <c r="N107" s="2892">
        <f>0.4525/N101</f>
        <v>0.41898148148148145</v>
      </c>
    </row>
    <row r="108" spans="1:14">
      <c r="A108" s="3246"/>
      <c r="B108" s="3074"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47"/>
      <c r="B109" s="3075"/>
      <c r="C109" s="2894">
        <f>(-0.163*(C108^2)-0.59*C108+7617)*(10^(-4))/C101</f>
        <v>0.70527777777777778</v>
      </c>
      <c r="D109" s="2894">
        <f>(-0.163*(D108^2)-0.59*D108+7617)*(10^(-4))/D101</f>
        <v>0.70527777777777778</v>
      </c>
      <c r="E109" s="2894">
        <f>(-0.161*(E108^2)-7.509*E108+6533)*(10^(-4))/E101</f>
        <v>0.60490740740740734</v>
      </c>
      <c r="F109" s="2894">
        <f>(-0.161*(F108^2)-7.509*F108+6533)*(10^(-4))/F101</f>
        <v>0.60490740740740734</v>
      </c>
      <c r="G109" s="2894">
        <f>(-0.161*(G108^2)-7.509*G108+6533)*(10^(-4))/G101</f>
        <v>0.60490740740740734</v>
      </c>
      <c r="H109" s="2894">
        <f>(-0.161*(H108^2)-7.509*H108+6533)*(10^(-4))/H101</f>
        <v>0.60490740740740734</v>
      </c>
      <c r="I109" s="2894">
        <f>(-0.161*(I108^2)-7.509*I108+6533)*(10^(-4))/I101</f>
        <v>0.60490740740740734</v>
      </c>
      <c r="J109" s="2894">
        <f>(-0.214*(J108^2)-21.991*J108+4665)*(10^(-4))/J101</f>
        <v>0.43194444444444446</v>
      </c>
      <c r="K109" s="2894">
        <f>(-0.214*(K108^2)-21.991*K108+4665)*(10^(-4))/K101</f>
        <v>0.43194444444444446</v>
      </c>
      <c r="L109" s="2894">
        <f>(-0.214*(L108^2)-21.991*L108+4665)*(10^(-4))/L101</f>
        <v>0.43194444444444446</v>
      </c>
      <c r="M109" s="2894">
        <f>(-0.214*(M108^2)-21.991*M108+4665)*(10^(-4))/M101</f>
        <v>0.43194444444444446</v>
      </c>
      <c r="N109" s="2894">
        <f>(-0.214*(N108^2)-21.991*N108+4665)*(10^(-4))/N101</f>
        <v>0.43194444444444446</v>
      </c>
    </row>
    <row r="110" spans="1:14">
      <c r="A110" s="3243" t="s">
        <v>2979</v>
      </c>
      <c r="B110" s="3243"/>
      <c r="C110" s="3243"/>
      <c r="D110" s="3243"/>
      <c r="E110" s="3243"/>
      <c r="F110" s="3243"/>
      <c r="G110" s="3243"/>
      <c r="H110" s="3243"/>
      <c r="I110" s="3243"/>
      <c r="J110" s="3243"/>
      <c r="K110" s="2897"/>
      <c r="L110" s="2897"/>
      <c r="M110" s="2897"/>
      <c r="N110" s="2897"/>
    </row>
    <row r="112" spans="1:14" ht="13.5" thickBot="1"/>
    <row r="113" spans="1:13" ht="25.5" thickBot="1">
      <c r="A113" s="903" t="s">
        <v>2980</v>
      </c>
      <c r="B113" s="1287">
        <f>G3</f>
        <v>1.08</v>
      </c>
      <c r="C113" s="904" t="s">
        <v>2981</v>
      </c>
      <c r="D113" s="905">
        <f>SUMPRODUCT((A115:A118=F113)*(B114:M114=H113)*B115:M118)</f>
        <v>0.55200000000000005</v>
      </c>
      <c r="E113" s="2728" t="s">
        <v>2814</v>
      </c>
      <c r="F113" s="2899" t="str">
        <f>E2</f>
        <v>工业</v>
      </c>
      <c r="G113" s="2728" t="s">
        <v>2815</v>
      </c>
      <c r="H113" s="2899" t="str">
        <f>G2</f>
        <v>九级</v>
      </c>
      <c r="I113" s="2728"/>
      <c r="J113" s="2900"/>
      <c r="K113" s="2900"/>
      <c r="L113" s="2900"/>
      <c r="M113" s="2900"/>
    </row>
    <row r="114" spans="1:13">
      <c r="A114" s="908"/>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9" t="s">
        <v>2879</v>
      </c>
      <c r="B115" s="910">
        <f>ROUND(0.9335-0.0094*B113,4)</f>
        <v>0.92330000000000001</v>
      </c>
      <c r="C115" s="910">
        <f>B115</f>
        <v>0.92330000000000001</v>
      </c>
      <c r="D115" s="910">
        <f>ROUND(0.8331-0.0109*B113,4)</f>
        <v>0.82130000000000003</v>
      </c>
      <c r="E115" s="910">
        <f>D115</f>
        <v>0.82130000000000003</v>
      </c>
      <c r="F115" s="910">
        <f>E115</f>
        <v>0.82130000000000003</v>
      </c>
      <c r="G115" s="910">
        <f>F115</f>
        <v>0.82130000000000003</v>
      </c>
      <c r="H115" s="910">
        <f>G115</f>
        <v>0.82130000000000003</v>
      </c>
      <c r="I115" s="910">
        <f>ROUND(0.689-0.0155*B113,4)</f>
        <v>0.67230000000000001</v>
      </c>
      <c r="J115" s="910">
        <f t="shared" ref="J115:M118" si="33">I115</f>
        <v>0.67230000000000001</v>
      </c>
      <c r="K115" s="910">
        <f t="shared" si="33"/>
        <v>0.67230000000000001</v>
      </c>
      <c r="L115" s="910">
        <f t="shared" si="33"/>
        <v>0.67230000000000001</v>
      </c>
      <c r="M115" s="911">
        <f t="shared" si="33"/>
        <v>0.67230000000000001</v>
      </c>
    </row>
    <row r="116" spans="1:13">
      <c r="A116" s="909" t="s">
        <v>2880</v>
      </c>
      <c r="B116" s="910">
        <f>ROUND(0.949-0.012*B113,4)</f>
        <v>0.93600000000000005</v>
      </c>
      <c r="C116" s="910">
        <f>B116</f>
        <v>0.93600000000000005</v>
      </c>
      <c r="D116" s="910">
        <f>ROUND(0.8567-0.013*B113,4)</f>
        <v>0.8427</v>
      </c>
      <c r="E116" s="910">
        <f t="shared" ref="E116:H117" si="34">D116</f>
        <v>0.8427</v>
      </c>
      <c r="F116" s="910">
        <f t="shared" si="34"/>
        <v>0.8427</v>
      </c>
      <c r="G116" s="910">
        <f t="shared" si="34"/>
        <v>0.8427</v>
      </c>
      <c r="H116" s="910">
        <f t="shared" si="34"/>
        <v>0.8427</v>
      </c>
      <c r="I116" s="910">
        <f>ROUND(0.7694-0.014*B113,4)</f>
        <v>0.75429999999999997</v>
      </c>
      <c r="J116" s="910">
        <f t="shared" si="33"/>
        <v>0.75429999999999997</v>
      </c>
      <c r="K116" s="910">
        <f t="shared" si="33"/>
        <v>0.75429999999999997</v>
      </c>
      <c r="L116" s="910">
        <f t="shared" si="33"/>
        <v>0.75429999999999997</v>
      </c>
      <c r="M116" s="911">
        <f t="shared" si="33"/>
        <v>0.75429999999999997</v>
      </c>
    </row>
    <row r="117" spans="1:13">
      <c r="A117" s="909" t="s">
        <v>2881</v>
      </c>
      <c r="B117" s="910">
        <f>ROUND(0.8808-0.006*B113,4)</f>
        <v>0.87429999999999997</v>
      </c>
      <c r="C117" s="910">
        <f>B117</f>
        <v>0.87429999999999997</v>
      </c>
      <c r="D117" s="910">
        <f>ROUND(0.8748-0.008*B113,4)</f>
        <v>0.86619999999999997</v>
      </c>
      <c r="E117" s="910">
        <f t="shared" si="34"/>
        <v>0.86619999999999997</v>
      </c>
      <c r="F117" s="910">
        <f t="shared" si="34"/>
        <v>0.86619999999999997</v>
      </c>
      <c r="G117" s="910">
        <f t="shared" si="34"/>
        <v>0.86619999999999997</v>
      </c>
      <c r="H117" s="910">
        <f t="shared" si="34"/>
        <v>0.86619999999999997</v>
      </c>
      <c r="I117" s="910">
        <f>ROUND(0.7412-0.0095*B113,4)</f>
        <v>0.73089999999999999</v>
      </c>
      <c r="J117" s="910">
        <f t="shared" si="33"/>
        <v>0.73089999999999999</v>
      </c>
      <c r="K117" s="910">
        <f t="shared" si="33"/>
        <v>0.73089999999999999</v>
      </c>
      <c r="L117" s="910">
        <f t="shared" si="33"/>
        <v>0.73089999999999999</v>
      </c>
      <c r="M117" s="911">
        <f t="shared" si="33"/>
        <v>0.73089999999999999</v>
      </c>
    </row>
    <row r="118" spans="1:13" ht="13.5" thickBot="1">
      <c r="A118" s="714" t="s">
        <v>2882</v>
      </c>
      <c r="B118" s="912">
        <f>ROUND(0.7275-0.01*B113,4)</f>
        <v>0.7167</v>
      </c>
      <c r="C118" s="912">
        <f>B118</f>
        <v>0.7167</v>
      </c>
      <c r="D118" s="912">
        <f>ROUND(0.7043-0.012*B113,4)</f>
        <v>0.69130000000000003</v>
      </c>
      <c r="E118" s="912">
        <f>D118</f>
        <v>0.69130000000000003</v>
      </c>
      <c r="F118" s="912">
        <f>E118</f>
        <v>0.69130000000000003</v>
      </c>
      <c r="G118" s="912">
        <f>ROUND(0.6299-0.0122*B113,4)</f>
        <v>0.61670000000000003</v>
      </c>
      <c r="H118" s="912">
        <f>G118</f>
        <v>0.61670000000000003</v>
      </c>
      <c r="I118" s="912">
        <f>ROUND(0.5667-0.0136*B113,4)</f>
        <v>0.55200000000000005</v>
      </c>
      <c r="J118" s="912">
        <f t="shared" si="33"/>
        <v>0.55200000000000005</v>
      </c>
      <c r="K118" s="912">
        <f t="shared" si="33"/>
        <v>0.55200000000000005</v>
      </c>
      <c r="L118" s="912">
        <f t="shared" si="33"/>
        <v>0.55200000000000005</v>
      </c>
      <c r="M118" s="913">
        <f t="shared" si="33"/>
        <v>0.55200000000000005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28.44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29946</v>
      </c>
      <c r="C2" s="1845" t="s">
        <v>1511</v>
      </c>
      <c r="D2" s="1845"/>
      <c r="E2" s="1846"/>
      <c r="F2" s="1847"/>
      <c r="G2" s="1848"/>
      <c r="H2" s="1840"/>
      <c r="I2" s="1840"/>
      <c r="J2" s="1840"/>
      <c r="K2" s="1841"/>
      <c r="L2" s="1840"/>
      <c r="M2" s="1840"/>
    </row>
    <row r="3" spans="1:37" ht="18" customHeight="1" thickBot="1">
      <c r="A3" s="1849" t="s">
        <v>1512</v>
      </c>
      <c r="B3" s="1850">
        <f ca="1">IF(ISERROR(B2*10000/F43),0,ROUND(B2*10000/F43,0))</f>
        <v>3594</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2464</v>
      </c>
      <c r="D5" s="1822" t="s">
        <v>1397</v>
      </c>
      <c r="E5" s="1293"/>
      <c r="F5" s="1294"/>
      <c r="G5" s="1851"/>
      <c r="H5" s="344">
        <v>1</v>
      </c>
      <c r="I5" s="345" t="s">
        <v>1396</v>
      </c>
      <c r="J5" s="1292">
        <f ca="1">J6+J10+J12</f>
        <v>0</v>
      </c>
      <c r="K5" s="1822" t="s">
        <v>1397</v>
      </c>
      <c r="L5" s="1293"/>
      <c r="M5" s="1294"/>
    </row>
    <row r="6" spans="1:37" ht="18" customHeight="1">
      <c r="A6" s="1291" t="s">
        <v>1032</v>
      </c>
      <c r="B6" s="3145" t="s">
        <v>1398</v>
      </c>
      <c r="C6" s="1296">
        <f ca="1">ROUND(F6*F8*F7*(1-F9)/10000,0)</f>
        <v>2464</v>
      </c>
      <c r="D6" s="164" t="s">
        <v>3031</v>
      </c>
      <c r="E6" s="347" t="s">
        <v>1400</v>
      </c>
      <c r="F6" s="348">
        <f ca="1">INDIRECT("'数据-取费表'!u"&amp;$G$1)</f>
        <v>0.9</v>
      </c>
      <c r="G6" s="1851"/>
      <c r="H6" s="1291" t="s">
        <v>1032</v>
      </c>
      <c r="I6" s="3145" t="s">
        <v>1398</v>
      </c>
      <c r="J6" s="346">
        <f ca="1">ROUND(M6*M8*M7*(1-M9)/10000,0)</f>
        <v>0</v>
      </c>
      <c r="K6" s="164" t="s">
        <v>3030</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83329.149999999994</v>
      </c>
      <c r="G7" s="1851"/>
      <c r="H7" s="349"/>
      <c r="I7" s="3146"/>
      <c r="J7" s="351"/>
      <c r="K7" s="352"/>
      <c r="L7" s="347" t="s">
        <v>1401</v>
      </c>
      <c r="M7" s="348">
        <f ca="1">F7</f>
        <v>83329.149999999994</v>
      </c>
    </row>
    <row r="8" spans="1:37" ht="18" customHeight="1">
      <c r="A8" s="349"/>
      <c r="B8" s="3146"/>
      <c r="C8" s="351"/>
      <c r="D8" s="352"/>
      <c r="E8" s="347" t="s">
        <v>1402</v>
      </c>
      <c r="F8" s="348">
        <f ca="1">INDIRECT("'数据-取费表'!ai"&amp;$G$1)</f>
        <v>365</v>
      </c>
      <c r="G8" s="1851"/>
      <c r="H8" s="349"/>
      <c r="I8" s="3146"/>
      <c r="J8" s="351"/>
      <c r="K8" s="352"/>
      <c r="L8" s="347" t="s">
        <v>1402</v>
      </c>
      <c r="M8" s="348">
        <f ca="1">INDIRECT("'数据-取费表'!ai"&amp;$G$1)</f>
        <v>365</v>
      </c>
    </row>
    <row r="9" spans="1:37" ht="18" customHeight="1">
      <c r="A9" s="349"/>
      <c r="B9" s="3147"/>
      <c r="C9" s="351"/>
      <c r="D9" s="352"/>
      <c r="E9" s="347" t="s">
        <v>1403</v>
      </c>
      <c r="F9" s="357">
        <f ca="1">INDIRECT("'数据-取费表'!w"&amp;$G$1)</f>
        <v>0.1</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t="s">
        <v>3146</v>
      </c>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20156</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18332</v>
      </c>
      <c r="D14" s="1800" t="s">
        <v>1413</v>
      </c>
      <c r="E14" s="1794"/>
      <c r="F14" s="364"/>
      <c r="G14" s="1851"/>
      <c r="H14" s="1201" t="s">
        <v>1032</v>
      </c>
      <c r="I14" s="347" t="s">
        <v>1414</v>
      </c>
      <c r="J14" s="24">
        <f ca="1">C29</f>
        <v>25195</v>
      </c>
      <c r="K14" s="15"/>
      <c r="L14" s="979"/>
      <c r="M14" s="980"/>
    </row>
    <row r="15" spans="1:37" s="1858" customFormat="1" ht="18" customHeight="1" thickBot="1">
      <c r="A15" s="1201" t="s">
        <v>1033</v>
      </c>
      <c r="B15" s="347" t="s">
        <v>1415</v>
      </c>
      <c r="C15" s="24">
        <f ca="1">ROUND(C14*F15,0)</f>
        <v>550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601</v>
      </c>
      <c r="K16" s="1337" t="s">
        <v>1420</v>
      </c>
      <c r="L16" s="1338"/>
      <c r="M16" s="1294"/>
    </row>
    <row r="17" spans="1:37" s="1858" customFormat="1" ht="18" customHeight="1">
      <c r="A17" s="1201" t="s">
        <v>1385</v>
      </c>
      <c r="B17" s="347" t="s">
        <v>1421</v>
      </c>
      <c r="C17" s="24">
        <f ca="1">ROUND(F17*(F43+INDIRECT("'数据-取费表'!S"&amp;$G$1))/10000,0)</f>
        <v>1667</v>
      </c>
      <c r="D17" s="347" t="s">
        <v>1422</v>
      </c>
      <c r="E17" s="347" t="s">
        <v>1423</v>
      </c>
      <c r="F17" s="26">
        <f>'数据-取费表'!B35</f>
        <v>200</v>
      </c>
      <c r="G17" s="1854"/>
      <c r="H17" s="1201" t="s">
        <v>1032</v>
      </c>
      <c r="I17" s="347" t="s">
        <v>1424</v>
      </c>
      <c r="J17" s="24">
        <f ca="1">ROUND(IF(项目基本情况!B11="自然人",J5*M17,J18+J19+J20),1)</f>
        <v>223.2</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275</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20824</v>
      </c>
      <c r="D19" s="140" t="s">
        <v>1431</v>
      </c>
      <c r="E19" s="1818"/>
      <c r="F19" s="26"/>
      <c r="G19" s="1851"/>
      <c r="H19" s="1201" t="s">
        <v>1033</v>
      </c>
      <c r="I19" s="347" t="s">
        <v>1432</v>
      </c>
      <c r="J19" s="24">
        <f ca="1">IF(K19="按租金收入计税",ROUND(J5*M19,2),ROUND(C29*M19*0.7,2))</f>
        <v>211.64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208</v>
      </c>
      <c r="D20" s="369" t="s">
        <v>1435</v>
      </c>
      <c r="E20" s="347" t="s">
        <v>1417</v>
      </c>
      <c r="F20" s="367">
        <f>'数据-取费表'!B37</f>
        <v>0.01</v>
      </c>
      <c r="G20" s="1854"/>
      <c r="H20" s="1201" t="s">
        <v>1384</v>
      </c>
      <c r="I20" s="164" t="s">
        <v>1436</v>
      </c>
      <c r="J20" s="25">
        <f ca="1">ROUND(M20*M21/10000,2)</f>
        <v>11.56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77043.08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377.9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458</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-601</v>
      </c>
      <c r="K25" s="1345" t="s">
        <v>1459</v>
      </c>
      <c r="L25" s="1346"/>
      <c r="M25" s="1347"/>
    </row>
    <row r="26" spans="1:37">
      <c r="A26" s="1201" t="s">
        <v>1031</v>
      </c>
      <c r="B26" s="347" t="s">
        <v>1460</v>
      </c>
      <c r="C26" s="24">
        <f ca="1">ROUND((C19+C20)*F26,0)</f>
        <v>2103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25195</v>
      </c>
      <c r="D29" s="1342"/>
      <c r="E29" s="1340"/>
      <c r="F29" s="1343"/>
      <c r="G29" s="1854"/>
      <c r="H29" s="380" t="s">
        <v>1030</v>
      </c>
      <c r="I29" s="381" t="s">
        <v>1474</v>
      </c>
      <c r="J29" s="382">
        <f ca="1">ROUND(J26/(1+F40)^F41,0)</f>
        <v>0</v>
      </c>
      <c r="K29" s="383" t="s">
        <v>1475</v>
      </c>
      <c r="L29" s="384"/>
      <c r="M29" s="385">
        <f ca="1">INDIRECT("'数据-取费表'!k"&amp;$G$1)</f>
        <v>83329.149999999994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869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436.3</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IF(项目基本情况!B11="自然人","——",ROUND(C5*F32/(1+'数据-取费表'!C42),2))</f>
        <v>129.07</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295.68</v>
      </c>
      <c r="D33" s="1828" t="s">
        <v>3147</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11.56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77043.08</v>
      </c>
      <c r="G35" s="1851"/>
      <c r="H35" s="745"/>
      <c r="I35" s="1860"/>
      <c r="J35" s="1861"/>
      <c r="K35" s="1862"/>
      <c r="L35" s="1859"/>
      <c r="M35" s="1859"/>
    </row>
    <row r="36" spans="1:18" ht="18" customHeight="1">
      <c r="A36" s="1352" t="s">
        <v>1036</v>
      </c>
      <c r="B36" s="347" t="s">
        <v>1444</v>
      </c>
      <c r="C36" s="24">
        <f ca="1">ROUND(C29*F36,1)</f>
        <v>377.9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30.2</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24.6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1595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29946</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28.44</v>
      </c>
      <c r="G41" s="1851"/>
      <c r="H41" s="732"/>
      <c r="I41" s="1860"/>
      <c r="J41" s="1861"/>
      <c r="K41" s="751"/>
      <c r="L41" s="732"/>
      <c r="M41" s="732"/>
    </row>
    <row r="42" spans="1:18" ht="18" customHeight="1">
      <c r="A42" s="353"/>
      <c r="B42" s="354"/>
      <c r="C42" s="355"/>
      <c r="D42" s="373"/>
      <c r="E42" s="347" t="s">
        <v>1472</v>
      </c>
      <c r="F42" s="357">
        <f ca="1">INDIRECT("'数据-取费表'!v"&amp;$G$1)</f>
        <v>1.4999999999999999E-2</v>
      </c>
      <c r="G42" s="1851"/>
      <c r="H42" s="732"/>
      <c r="I42" s="1860"/>
      <c r="J42" s="1861"/>
      <c r="K42" s="751"/>
      <c r="L42" s="732"/>
      <c r="M42" s="732"/>
    </row>
    <row r="43" spans="1:18" ht="18" customHeight="1" thickBot="1">
      <c r="A43" s="380" t="s">
        <v>1030</v>
      </c>
      <c r="B43" s="381" t="s">
        <v>1482</v>
      </c>
      <c r="C43" s="382">
        <f ca="1">ROUND(C40*10000/F43,0)</f>
        <v>3594</v>
      </c>
      <c r="D43" s="383" t="s">
        <v>1483</v>
      </c>
      <c r="E43" s="384" t="s">
        <v>1484</v>
      </c>
      <c r="F43" s="385">
        <f ca="1">INDIRECT("'数据-取费表'!k"&amp;$G$1)</f>
        <v>83329.149999999994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-70185</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3148</v>
      </c>
      <c r="K47" s="1882" t="s">
        <v>1522</v>
      </c>
      <c r="L47" s="1883">
        <f ca="1">INDIRECT("'数据-取费表'!d"&amp;$G$1)</f>
        <v>50</v>
      </c>
      <c r="M47" s="1838" t="str">
        <f>IF(ISNUMBER(FIND("住宅",C1)),"住宅","非住宅")</f>
        <v>非住宅</v>
      </c>
      <c r="O47" s="1884" t="s">
        <v>1037</v>
      </c>
      <c r="P47" s="1885" t="s">
        <v>1523</v>
      </c>
      <c r="Q47" s="1886">
        <f ca="1">C40+J29</f>
        <v>29946</v>
      </c>
      <c r="R47" s="1886" t="s">
        <v>1524</v>
      </c>
    </row>
    <row r="48" spans="1:18" s="1842" customFormat="1" ht="28.5" thickBot="1">
      <c r="A48" s="1360" t="s">
        <v>1132</v>
      </c>
      <c r="B48" s="345" t="s">
        <v>1396</v>
      </c>
      <c r="C48" s="1817">
        <f ca="1">C49+C53+C55</f>
        <v>0</v>
      </c>
      <c r="D48" s="1362"/>
      <c r="E48" s="1363"/>
      <c r="F48" s="1181"/>
      <c r="G48" s="792"/>
      <c r="H48" s="793"/>
      <c r="I48" s="1887" t="s">
        <v>1525</v>
      </c>
      <c r="J48" s="1888" t="s">
        <v>3149</v>
      </c>
      <c r="K48" s="1889" t="s">
        <v>1526</v>
      </c>
      <c r="L48" s="1890">
        <f ca="1">INDIRECT("'数据-取费表'!f"&amp;$G$1)</f>
        <v>28.44</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v>2018</v>
      </c>
      <c r="K49" s="1889" t="s">
        <v>1530</v>
      </c>
      <c r="L49" s="1893"/>
      <c r="O49" s="1894" t="s">
        <v>1039</v>
      </c>
      <c r="P49" s="1885" t="s">
        <v>1531</v>
      </c>
      <c r="Q49" s="1886">
        <f ca="1">C29</f>
        <v>25195</v>
      </c>
      <c r="R49" s="1886" t="s">
        <v>1524</v>
      </c>
    </row>
    <row r="50" spans="1:18" s="1842" customFormat="1" ht="13.5" thickBot="1">
      <c r="A50" s="1195"/>
      <c r="B50" s="1198"/>
      <c r="C50" s="1368"/>
      <c r="D50" s="1172"/>
      <c r="E50" s="1277" t="s">
        <v>1401</v>
      </c>
      <c r="F50" s="1278">
        <f ca="1">F7</f>
        <v>83329.149999999994</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69</v>
      </c>
      <c r="K51" s="1900" t="s">
        <v>1536</v>
      </c>
      <c r="L51" s="1901">
        <f ca="1">ROUND(-PV(INDIRECT("'数据-取费表'!h"&amp;$G$1),L48,(C39-C13*C76),0),0)</f>
        <v>-1987</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28.44</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28.44</v>
      </c>
      <c r="K53" s="3143" t="s">
        <v>1543</v>
      </c>
      <c r="L53" s="3144"/>
      <c r="O53" s="1884" t="s">
        <v>1043</v>
      </c>
      <c r="P53" s="1885" t="s">
        <v>1544</v>
      </c>
      <c r="Q53" s="1886">
        <f ca="1">Q47+Q48</f>
        <v>29946</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20156</v>
      </c>
      <c r="D56" s="1914"/>
      <c r="E56" s="1915"/>
      <c r="F56" s="1907"/>
      <c r="I56" s="1916" t="s">
        <v>1549</v>
      </c>
      <c r="J56" s="1917" t="s">
        <v>3058</v>
      </c>
      <c r="K56" s="1887" t="s">
        <v>1550</v>
      </c>
      <c r="L56" s="1890" t="str">
        <f ca="1">IF(L48&lt;J51,"——",L48-J53)</f>
        <v>——</v>
      </c>
      <c r="O56" s="1884" t="s">
        <v>1037</v>
      </c>
      <c r="P56" s="1885" t="s">
        <v>1523</v>
      </c>
      <c r="Q56" s="1886">
        <f ca="1">C40+J29</f>
        <v>29946</v>
      </c>
      <c r="R56" s="1886" t="s">
        <v>1524</v>
      </c>
    </row>
    <row r="57" spans="1:18" s="1842" customFormat="1" ht="24.75" thickBot="1">
      <c r="A57" s="1918"/>
      <c r="B57" s="1169" t="s">
        <v>1473</v>
      </c>
      <c r="C57" s="282">
        <f ca="1">C29</f>
        <v>25195</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2536</v>
      </c>
      <c r="D58" s="1179" t="s">
        <v>1420</v>
      </c>
      <c r="E58" s="1180"/>
      <c r="F58" s="1181"/>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2127.9</v>
      </c>
      <c r="D59" s="1182" t="s">
        <v>1425</v>
      </c>
      <c r="E59" s="1183" t="s">
        <v>1426</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2116.38</v>
      </c>
      <c r="D61" s="1828" t="s">
        <v>1433</v>
      </c>
      <c r="E61" s="1169" t="s">
        <v>1489</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11.56</v>
      </c>
      <c r="D62" s="1184" t="s">
        <v>1492</v>
      </c>
      <c r="E62" s="1169" t="s">
        <v>1493</v>
      </c>
      <c r="F62" s="371">
        <f t="shared" si="0"/>
        <v>1.5</v>
      </c>
      <c r="I62" s="1929" t="s">
        <v>1565</v>
      </c>
      <c r="J62" s="1930" t="s">
        <v>1566</v>
      </c>
      <c r="K62" s="1930" t="s">
        <v>1567</v>
      </c>
      <c r="L62" s="1930" t="s">
        <v>1568</v>
      </c>
      <c r="M62" s="1931" t="s">
        <v>1569</v>
      </c>
      <c r="O62" s="1884" t="s">
        <v>1043</v>
      </c>
      <c r="P62" s="1885" t="s">
        <v>1570</v>
      </c>
      <c r="Q62" s="1886">
        <f ca="1">Q56+Q57</f>
        <v>29946</v>
      </c>
      <c r="R62" s="1886" t="s">
        <v>1044</v>
      </c>
    </row>
    <row r="63" spans="1:18" s="1842" customFormat="1" ht="13.5" thickBot="1">
      <c r="A63" s="372"/>
      <c r="B63" s="1175"/>
      <c r="C63" s="29"/>
      <c r="D63" s="1185"/>
      <c r="E63" s="1169" t="s">
        <v>1494</v>
      </c>
      <c r="F63" s="348">
        <f t="shared" ca="1" si="0"/>
        <v>77043.08</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377.9</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30.2</v>
      </c>
      <c r="D65" s="1183" t="s">
        <v>1449</v>
      </c>
      <c r="E65" s="1169" t="s">
        <v>1450</v>
      </c>
      <c r="F65" s="376">
        <f t="shared" ca="1" si="0"/>
        <v>1.5E-3</v>
      </c>
      <c r="I65" s="1929" t="s">
        <v>1574</v>
      </c>
      <c r="J65" s="1930">
        <v>40</v>
      </c>
      <c r="K65" s="1930">
        <v>30</v>
      </c>
      <c r="L65" s="1930">
        <v>50</v>
      </c>
      <c r="M65" s="1932">
        <v>0.02</v>
      </c>
      <c r="O65" s="1884" t="s">
        <v>1037</v>
      </c>
      <c r="P65" s="1885" t="s">
        <v>1575</v>
      </c>
      <c r="Q65" s="1886">
        <f ca="1">C40+J29</f>
        <v>29946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-2536</v>
      </c>
      <c r="D67" s="1182" t="s">
        <v>1459</v>
      </c>
      <c r="E67" s="1187"/>
      <c r="F67" s="1188"/>
      <c r="O67" s="1894" t="s">
        <v>1039</v>
      </c>
      <c r="P67" s="1885" t="s">
        <v>1557</v>
      </c>
      <c r="Q67" s="1933">
        <f ca="1">L51</f>
        <v>-1987</v>
      </c>
      <c r="R67" s="1886" t="s">
        <v>1577</v>
      </c>
    </row>
    <row r="68" spans="1:18" s="1842" customFormat="1" ht="16.5" thickBot="1">
      <c r="A68" s="1166" t="s">
        <v>1029</v>
      </c>
      <c r="B68" s="1167" t="s">
        <v>1480</v>
      </c>
      <c r="C68" s="346">
        <f ca="1">ROUND(C67*(1-((1+F70)/(1+F68))^F69)/(F68-F70),0)</f>
        <v>-40239</v>
      </c>
      <c r="D68" s="1184" t="s">
        <v>1464</v>
      </c>
      <c r="E68" s="1169" t="s">
        <v>1465</v>
      </c>
      <c r="F68" s="357">
        <f ca="1">F40</f>
        <v>4.4999999999999998E-2</v>
      </c>
      <c r="O68" s="1894" t="s">
        <v>1040</v>
      </c>
      <c r="P68" s="1934" t="s">
        <v>1578</v>
      </c>
      <c r="Q68" s="1886">
        <f ca="1">ROUND(Q69-Q70*Q71,0)</f>
        <v>-118</v>
      </c>
      <c r="R68" s="1886" t="s">
        <v>1048</v>
      </c>
    </row>
    <row r="69" spans="1:18" s="1842" customFormat="1" ht="13.5" thickBot="1">
      <c r="A69" s="1170"/>
      <c r="B69" s="1171"/>
      <c r="C69" s="351"/>
      <c r="D69" s="1189" t="s">
        <v>1468</v>
      </c>
      <c r="E69" s="1169" t="s">
        <v>1469</v>
      </c>
      <c r="F69" s="379">
        <f ca="1">F41</f>
        <v>28.44</v>
      </c>
      <c r="O69" s="1894" t="s">
        <v>1045</v>
      </c>
      <c r="P69" s="1934" t="s">
        <v>1579</v>
      </c>
      <c r="Q69" s="1886">
        <f ca="1">C39</f>
        <v>1595</v>
      </c>
      <c r="R69" s="1886" t="s">
        <v>1524</v>
      </c>
    </row>
    <row r="70" spans="1:18" s="1842" customFormat="1" ht="13.5" thickBot="1">
      <c r="A70" s="1173"/>
      <c r="B70" s="1174"/>
      <c r="C70" s="355"/>
      <c r="D70" s="1185"/>
      <c r="E70" s="1169" t="s">
        <v>1472</v>
      </c>
      <c r="F70" s="1275"/>
      <c r="O70" s="1894" t="s">
        <v>1046</v>
      </c>
      <c r="P70" s="1934" t="s">
        <v>1580</v>
      </c>
      <c r="Q70" s="1886">
        <f ca="1">C13</f>
        <v>20156</v>
      </c>
      <c r="R70" s="1886" t="s">
        <v>1524</v>
      </c>
    </row>
    <row r="71" spans="1:18" s="1842" customFormat="1" ht="13.5" thickBot="1">
      <c r="A71" s="1190" t="s">
        <v>1030</v>
      </c>
      <c r="B71" s="1191" t="s">
        <v>1482</v>
      </c>
      <c r="C71" s="382">
        <f ca="1">ROUND(C68*10000/F71,0)</f>
        <v>-4829</v>
      </c>
      <c r="D71" s="1192" t="s">
        <v>1483</v>
      </c>
      <c r="E71" s="1193" t="s">
        <v>1484</v>
      </c>
      <c r="F71" s="385">
        <f ca="1">F43</f>
        <v>83329.149999999994</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1713</v>
      </c>
      <c r="D75" s="1842"/>
      <c r="E75" s="1842"/>
      <c r="F75" s="1842"/>
      <c r="K75" s="1868"/>
      <c r="L75" s="1842"/>
      <c r="O75" s="1884" t="s">
        <v>1043</v>
      </c>
      <c r="P75" s="1885" t="s">
        <v>1544</v>
      </c>
      <c r="Q75" s="1886">
        <f ca="1">Q65+Q66</f>
        <v>29946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-7.4000000000000066E-2</v>
      </c>
    </row>
    <row r="80" spans="1:18">
      <c r="B80" s="386" t="s">
        <v>1506</v>
      </c>
      <c r="C80" s="318">
        <f ca="1">ROUND(C75/C39,3)</f>
        <v>1.0740000000000001</v>
      </c>
    </row>
    <row r="81" spans="2:3">
      <c r="B81" s="314" t="s">
        <v>1507</v>
      </c>
      <c r="C81" s="282"/>
    </row>
    <row r="82" spans="2:3">
      <c r="B82" s="317" t="s">
        <v>1508</v>
      </c>
      <c r="C82" s="319">
        <f ca="1">1-C83</f>
        <v>0.32699999999999996</v>
      </c>
    </row>
    <row r="83" spans="2:3">
      <c r="B83" s="317" t="s">
        <v>1509</v>
      </c>
      <c r="C83" s="318">
        <f ca="1">ROUND(C13/C40,3)</f>
        <v>0.67300000000000004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5" t="s">
        <v>1398</v>
      </c>
      <c r="C6" s="1296">
        <f ca="1">ROUND(F6*F8*F7*(1-F9),0)</f>
        <v>0</v>
      </c>
      <c r="D6" s="164" t="s">
        <v>3028</v>
      </c>
      <c r="E6" s="347" t="s">
        <v>1400</v>
      </c>
      <c r="F6" s="348">
        <f ca="1">INDIRECT("'数据-取费表'!u"&amp;$G$1)</f>
        <v>0</v>
      </c>
      <c r="G6" s="1851"/>
      <c r="H6" s="1291" t="s">
        <v>1032</v>
      </c>
      <c r="I6" s="3145" t="s">
        <v>1398</v>
      </c>
      <c r="J6" s="346">
        <f ca="1">ROUND(M6*M8*M7*(1-M9),0)</f>
        <v>0</v>
      </c>
      <c r="K6" s="1834" t="s">
        <v>3029</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0</v>
      </c>
      <c r="G7" s="1851"/>
      <c r="H7" s="349"/>
      <c r="I7" s="3146"/>
      <c r="J7" s="351"/>
      <c r="K7" s="352"/>
      <c r="L7" s="347" t="s">
        <v>1401</v>
      </c>
      <c r="M7" s="348">
        <f ca="1">F7</f>
        <v>0</v>
      </c>
    </row>
    <row r="8" spans="1:37" ht="18" customHeight="1">
      <c r="A8" s="349"/>
      <c r="B8" s="3146"/>
      <c r="C8" s="351"/>
      <c r="D8" s="352"/>
      <c r="E8" s="347" t="s">
        <v>1402</v>
      </c>
      <c r="F8" s="348">
        <f ca="1">INDIRECT("'数据-取费表'!ai"&amp;$G$1)</f>
        <v>0</v>
      </c>
      <c r="G8" s="1851"/>
      <c r="H8" s="349"/>
      <c r="I8" s="3146"/>
      <c r="J8" s="351"/>
      <c r="K8" s="352"/>
      <c r="L8" s="347" t="s">
        <v>1402</v>
      </c>
      <c r="M8" s="348">
        <f ca="1">INDIRECT("'数据-取费表'!ai"&amp;$G$1)</f>
        <v>0</v>
      </c>
    </row>
    <row r="9" spans="1:37" ht="18" customHeight="1">
      <c r="A9" s="349"/>
      <c r="B9" s="3147"/>
      <c r="C9" s="351"/>
      <c r="D9" s="352"/>
      <c r="E9" s="347" t="s">
        <v>1403</v>
      </c>
      <c r="F9" s="357">
        <f ca="1">INDIRECT("'数据-取费表'!w"&amp;$G$1)</f>
        <v>0</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43" t="s">
        <v>1543</v>
      </c>
      <c r="L53" s="3144"/>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2526</v>
      </c>
      <c r="B1" s="2566"/>
      <c r="C1" s="2566"/>
      <c r="D1" s="2566"/>
      <c r="E1" s="2567"/>
    </row>
    <row r="2" spans="1:6" ht="15.75">
      <c r="A2" s="2568" t="s">
        <v>2327</v>
      </c>
      <c r="B2" s="2569">
        <f ca="1">SUMIF(B6:B13,"&lt;&gt;#ref!",B6:B13)</f>
        <v>29946</v>
      </c>
      <c r="C2" s="2570" t="s">
        <v>2519</v>
      </c>
      <c r="D2" s="2571" t="s">
        <v>2520</v>
      </c>
      <c r="E2" s="2572">
        <f>SUM(E6:E13)</f>
        <v>83329.149999999994</v>
      </c>
    </row>
    <row r="3" spans="1:6" ht="15.75">
      <c r="A3" s="2568" t="s">
        <v>1390</v>
      </c>
      <c r="B3" s="2569">
        <f ca="1">ROUND(B2*10000/E2,0)</f>
        <v>3594</v>
      </c>
      <c r="C3" s="2570" t="s">
        <v>2527</v>
      </c>
      <c r="D3" s="2573"/>
      <c r="E3" s="2574"/>
    </row>
    <row r="4" spans="1:6" ht="15.75">
      <c r="A4" s="2575"/>
      <c r="B4" s="2573"/>
      <c r="C4" s="2573"/>
      <c r="D4" s="2573"/>
      <c r="E4" s="2574"/>
    </row>
    <row r="5" spans="1:6" ht="15">
      <c r="A5" s="2576" t="s">
        <v>2521</v>
      </c>
      <c r="B5" s="3148" t="s">
        <v>2522</v>
      </c>
      <c r="C5" s="3148"/>
      <c r="D5" s="2577"/>
      <c r="E5" s="2578" t="s">
        <v>2523</v>
      </c>
      <c r="F5" s="2579" t="s">
        <v>2524</v>
      </c>
    </row>
    <row r="6" spans="1:6">
      <c r="A6" s="2580" t="str">
        <f>'数据-取费表'!AN6</f>
        <v>收益法</v>
      </c>
      <c r="B6" s="2579">
        <f ca="1">IF(F6="是",'数据-取费表'!AO6,0)</f>
        <v>29946</v>
      </c>
      <c r="C6" s="2570" t="s">
        <v>2519</v>
      </c>
      <c r="D6" s="2573"/>
      <c r="E6" s="2581">
        <f>IF(OR(A6=0,F6="否"),0,'数据-取费表'!K6+'数据-取费表'!S6)</f>
        <v>83329.149999999994</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9" t="s">
        <v>1073</v>
      </c>
      <c r="B1" s="3150"/>
      <c r="C1" s="3151"/>
      <c r="D1" s="3152">
        <f>SUM(I10,I15,I20,I21,I23)</f>
        <v>0</v>
      </c>
      <c r="E1" s="3152"/>
      <c r="F1" s="3152"/>
      <c r="G1" s="3152"/>
      <c r="H1" s="3152"/>
      <c r="I1" s="3153"/>
    </row>
    <row r="2" spans="1:9">
      <c r="A2" s="3154" t="s">
        <v>1074</v>
      </c>
      <c r="B2" s="3155" t="s">
        <v>1075</v>
      </c>
      <c r="C2" s="3155"/>
      <c r="D2" s="1301" t="s">
        <v>1076</v>
      </c>
      <c r="E2" s="1301" t="s">
        <v>1077</v>
      </c>
      <c r="F2" s="1301" t="s">
        <v>1078</v>
      </c>
      <c r="G2" s="1301" t="s">
        <v>1079</v>
      </c>
      <c r="H2" s="1301" t="s">
        <v>1080</v>
      </c>
      <c r="I2" s="1302" t="s">
        <v>1081</v>
      </c>
    </row>
    <row r="3" spans="1:9">
      <c r="A3" s="3154"/>
      <c r="B3" s="3155" t="s">
        <v>1082</v>
      </c>
      <c r="C3" s="3155"/>
      <c r="D3" s="1303"/>
      <c r="E3" s="1301"/>
      <c r="F3" s="1304"/>
      <c r="G3" s="1304"/>
      <c r="H3" s="1305"/>
      <c r="I3" s="1306">
        <f>ROUND(D3*E3*F3*G3*H3/10000,0)</f>
        <v>0</v>
      </c>
    </row>
    <row r="4" spans="1:9">
      <c r="A4" s="3154"/>
      <c r="B4" s="3155" t="s">
        <v>1083</v>
      </c>
      <c r="C4" s="3155"/>
      <c r="D4" s="1303"/>
      <c r="E4" s="1301"/>
      <c r="F4" s="1304"/>
      <c r="G4" s="1304"/>
      <c r="H4" s="1305"/>
      <c r="I4" s="1306">
        <f t="shared" ref="I4:I9" si="0">ROUND(D4*E4*F4*G4*H4/10000,0)</f>
        <v>0</v>
      </c>
    </row>
    <row r="5" spans="1:9">
      <c r="A5" s="3154"/>
      <c r="B5" s="3155" t="s">
        <v>1084</v>
      </c>
      <c r="C5" s="3155"/>
      <c r="D5" s="1303"/>
      <c r="E5" s="1301"/>
      <c r="F5" s="1304"/>
      <c r="G5" s="1304"/>
      <c r="H5" s="1305"/>
      <c r="I5" s="1306">
        <f t="shared" si="0"/>
        <v>0</v>
      </c>
    </row>
    <row r="6" spans="1:9">
      <c r="A6" s="3154"/>
      <c r="B6" s="3155" t="s">
        <v>1085</v>
      </c>
      <c r="C6" s="3155"/>
      <c r="D6" s="1303"/>
      <c r="E6" s="1301"/>
      <c r="F6" s="1304"/>
      <c r="G6" s="1304"/>
      <c r="H6" s="1305"/>
      <c r="I6" s="1306">
        <f t="shared" si="0"/>
        <v>0</v>
      </c>
    </row>
    <row r="7" spans="1:9">
      <c r="A7" s="3154"/>
      <c r="B7" s="3155" t="s">
        <v>1086</v>
      </c>
      <c r="C7" s="3155"/>
      <c r="D7" s="1303"/>
      <c r="E7" s="1301"/>
      <c r="F7" s="1304"/>
      <c r="G7" s="1304"/>
      <c r="H7" s="1305"/>
      <c r="I7" s="1306">
        <f t="shared" si="0"/>
        <v>0</v>
      </c>
    </row>
    <row r="8" spans="1:9">
      <c r="A8" s="3154"/>
      <c r="B8" s="3155" t="s">
        <v>1087</v>
      </c>
      <c r="C8" s="3155"/>
      <c r="D8" s="1303"/>
      <c r="E8" s="1301"/>
      <c r="F8" s="1304"/>
      <c r="G8" s="1304"/>
      <c r="H8" s="1305"/>
      <c r="I8" s="1306">
        <f t="shared" si="0"/>
        <v>0</v>
      </c>
    </row>
    <row r="9" spans="1:9">
      <c r="A9" s="3154"/>
      <c r="B9" s="3155" t="s">
        <v>1088</v>
      </c>
      <c r="C9" s="3155"/>
      <c r="D9" s="1303"/>
      <c r="E9" s="1301"/>
      <c r="F9" s="1304"/>
      <c r="G9" s="1304"/>
      <c r="H9" s="1305"/>
      <c r="I9" s="1306">
        <f t="shared" si="0"/>
        <v>0</v>
      </c>
    </row>
    <row r="10" spans="1:9">
      <c r="A10" s="3154"/>
      <c r="B10" s="3156" t="s">
        <v>1089</v>
      </c>
      <c r="C10" s="3156"/>
      <c r="D10" s="1307"/>
      <c r="E10" s="1307" t="e">
        <f>ROUND(D1*10000/D10/H9,0)</f>
        <v>#DIV/0!</v>
      </c>
      <c r="F10" s="1308"/>
      <c r="G10" s="1308"/>
      <c r="H10" s="1309"/>
      <c r="I10" s="1310">
        <f>SUM(I3:I9)</f>
        <v>0</v>
      </c>
    </row>
    <row r="11" spans="1:9" ht="14.25">
      <c r="A11" s="3154" t="s">
        <v>1090</v>
      </c>
      <c r="B11" s="3155" t="s">
        <v>1091</v>
      </c>
      <c r="C11" s="3155"/>
      <c r="D11" s="1303" t="s">
        <v>1092</v>
      </c>
      <c r="E11" s="1303" t="s">
        <v>1093</v>
      </c>
      <c r="F11" s="1304" t="s">
        <v>1094</v>
      </c>
      <c r="G11" s="1304" t="s">
        <v>1080</v>
      </c>
      <c r="H11" s="1311" t="s">
        <v>1095</v>
      </c>
      <c r="I11" s="1302" t="s">
        <v>1081</v>
      </c>
    </row>
    <row r="12" spans="1:9">
      <c r="A12" s="3154"/>
      <c r="B12" s="3155" t="s">
        <v>1096</v>
      </c>
      <c r="C12" s="3155"/>
      <c r="D12" s="1303"/>
      <c r="E12" s="1303"/>
      <c r="F12" s="1304"/>
      <c r="G12" s="1305"/>
      <c r="H12" s="1312"/>
      <c r="I12" s="1302">
        <f>ROUND(D12*E12*F12*G12/10000,0)</f>
        <v>0</v>
      </c>
    </row>
    <row r="13" spans="1:9">
      <c r="A13" s="3154"/>
      <c r="B13" s="3155" t="s">
        <v>1097</v>
      </c>
      <c r="C13" s="3155"/>
      <c r="D13" s="1303"/>
      <c r="E13" s="1303"/>
      <c r="F13" s="1304"/>
      <c r="G13" s="1305"/>
      <c r="H13" s="1312"/>
      <c r="I13" s="1302">
        <f>ROUND(D13*E13*F13*G13/10000,0)</f>
        <v>0</v>
      </c>
    </row>
    <row r="14" spans="1:9">
      <c r="A14" s="3154"/>
      <c r="B14" s="3155" t="s">
        <v>1098</v>
      </c>
      <c r="C14" s="3155"/>
      <c r="D14" s="1303"/>
      <c r="E14" s="1303"/>
      <c r="F14" s="1304"/>
      <c r="G14" s="1305"/>
      <c r="H14" s="1312"/>
      <c r="I14" s="1302">
        <f>ROUND(D14*E14*F14*G14/10000,0)</f>
        <v>0</v>
      </c>
    </row>
    <row r="15" spans="1:9">
      <c r="A15" s="3154"/>
      <c r="B15" s="3156" t="s">
        <v>1089</v>
      </c>
      <c r="C15" s="3156"/>
      <c r="D15" s="1307"/>
      <c r="E15" s="1307">
        <f>SUM(E12:E14)</f>
        <v>0</v>
      </c>
      <c r="F15" s="1308"/>
      <c r="G15" s="1305"/>
      <c r="H15" s="1312"/>
      <c r="I15" s="1313">
        <f>SUM(I12:I14)</f>
        <v>0</v>
      </c>
    </row>
    <row r="16" spans="1:9" ht="24">
      <c r="A16" s="3154" t="s">
        <v>1099</v>
      </c>
      <c r="B16" s="3155" t="s">
        <v>1100</v>
      </c>
      <c r="C16" s="3155"/>
      <c r="D16" s="1303" t="s">
        <v>1076</v>
      </c>
      <c r="E16" s="1314" t="s">
        <v>1101</v>
      </c>
      <c r="F16" s="1304" t="s">
        <v>1102</v>
      </c>
      <c r="G16" s="1305" t="s">
        <v>1080</v>
      </c>
      <c r="H16" s="1311" t="s">
        <v>1095</v>
      </c>
      <c r="I16" s="1302" t="s">
        <v>1081</v>
      </c>
    </row>
    <row r="17" spans="1:9" ht="14.25">
      <c r="A17" s="3154"/>
      <c r="B17" s="3155" t="s">
        <v>1103</v>
      </c>
      <c r="C17" s="3155"/>
      <c r="D17" s="1303"/>
      <c r="E17" s="1303"/>
      <c r="F17" s="1304"/>
      <c r="G17" s="1305"/>
      <c r="H17" s="1315"/>
      <c r="I17" s="1316">
        <f>ROUND(D17*E17*F17*G17/10000,0)</f>
        <v>0</v>
      </c>
    </row>
    <row r="18" spans="1:9" ht="14.25">
      <c r="A18" s="3154"/>
      <c r="B18" s="3155" t="s">
        <v>1104</v>
      </c>
      <c r="C18" s="3155"/>
      <c r="D18" s="1303"/>
      <c r="E18" s="1303"/>
      <c r="F18" s="1304"/>
      <c r="G18" s="1305"/>
      <c r="H18" s="1315"/>
      <c r="I18" s="1316">
        <f>ROUND(D18*E18*F18*G18/10000,0)</f>
        <v>0</v>
      </c>
    </row>
    <row r="19" spans="1:9" ht="14.25">
      <c r="A19" s="3154"/>
      <c r="B19" s="3155" t="s">
        <v>1105</v>
      </c>
      <c r="C19" s="3155"/>
      <c r="D19" s="1303"/>
      <c r="E19" s="1303"/>
      <c r="F19" s="1304"/>
      <c r="G19" s="1305"/>
      <c r="H19" s="1315"/>
      <c r="I19" s="1316">
        <f>ROUND(D19*E19*F19*G19/10000,0)</f>
        <v>0</v>
      </c>
    </row>
    <row r="20" spans="1:9">
      <c r="A20" s="3154"/>
      <c r="B20" s="3156" t="s">
        <v>1089</v>
      </c>
      <c r="C20" s="3156"/>
      <c r="D20" s="1307">
        <f>SUM(D17:D19)</f>
        <v>0</v>
      </c>
      <c r="E20" s="1307"/>
      <c r="F20" s="1308"/>
      <c r="G20" s="1305"/>
      <c r="H20" s="1312"/>
      <c r="I20" s="1313">
        <f>SUM(I17:I19)</f>
        <v>0</v>
      </c>
    </row>
    <row r="21" spans="1:9">
      <c r="A21" s="3154"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65">
        <f>C27-C30-C31-C32</f>
        <v>0</v>
      </c>
      <c r="F26" s="3165"/>
      <c r="G26" s="3165"/>
      <c r="H26" s="1737" t="s">
        <v>1336</v>
      </c>
    </row>
    <row r="27" spans="1:9">
      <c r="A27" s="1324">
        <v>1</v>
      </c>
      <c r="B27" s="1325" t="s">
        <v>1115</v>
      </c>
      <c r="C27" s="1325">
        <f>C28+C29</f>
        <v>0</v>
      </c>
      <c r="D27" s="1325"/>
      <c r="E27" s="3166"/>
      <c r="F27" s="3166"/>
      <c r="G27" s="3166"/>
    </row>
    <row r="28" spans="1:9">
      <c r="A28" s="1326" t="s">
        <v>1116</v>
      </c>
      <c r="B28" s="1325" t="s">
        <v>1117</v>
      </c>
      <c r="C28" s="1325"/>
      <c r="D28" s="1325"/>
      <c r="E28" s="3166"/>
      <c r="F28" s="3166"/>
      <c r="G28" s="316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67" t="s">
        <v>1126</v>
      </c>
      <c r="B33" s="3168"/>
      <c r="C33" s="3168"/>
      <c r="D33" s="3169"/>
      <c r="E33" s="3165"/>
      <c r="F33" s="3165"/>
      <c r="G33" s="3165"/>
    </row>
    <row r="34" spans="1:7" hidden="1">
      <c r="A34" s="1328">
        <v>1</v>
      </c>
      <c r="B34" s="1325" t="s">
        <v>1127</v>
      </c>
      <c r="C34" s="1325"/>
      <c r="D34" s="1325"/>
      <c r="E34" s="3166"/>
      <c r="F34" s="3166"/>
      <c r="G34" s="3166"/>
    </row>
    <row r="35" spans="1:7" hidden="1">
      <c r="A35" s="1328">
        <v>2</v>
      </c>
      <c r="B35" s="1325" t="s">
        <v>1128</v>
      </c>
      <c r="C35" s="1325"/>
      <c r="D35" s="1325"/>
      <c r="E35" s="3166"/>
      <c r="F35" s="3166"/>
      <c r="G35" s="3166"/>
    </row>
    <row r="36" spans="1:7" hidden="1">
      <c r="A36" s="1328">
        <v>3</v>
      </c>
      <c r="B36" s="1325" t="s">
        <v>1129</v>
      </c>
      <c r="C36" s="1325"/>
      <c r="D36" s="1325"/>
      <c r="E36" s="3166"/>
      <c r="F36" s="3166"/>
      <c r="G36" s="3166"/>
    </row>
    <row r="37" spans="1:7" hidden="1">
      <c r="A37" s="1328">
        <v>4</v>
      </c>
      <c r="B37" s="1325" t="s">
        <v>1130</v>
      </c>
      <c r="C37" s="1325"/>
      <c r="D37" s="1325"/>
      <c r="E37" s="3166"/>
      <c r="F37" s="3166"/>
      <c r="G37" s="3166"/>
    </row>
    <row r="38" spans="1:7" hidden="1">
      <c r="A38" s="3167" t="s">
        <v>1131</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2529</v>
      </c>
      <c r="C1" s="1634" t="s">
        <v>2530</v>
      </c>
      <c r="D1" s="1621"/>
      <c r="E1" s="2587"/>
      <c r="F1" s="2588" t="s">
        <v>2531</v>
      </c>
      <c r="G1" s="1631" t="s">
        <v>2532</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90"/>
      <c r="D2" s="1365" t="e">
        <f ca="1">SUMIF(INDIRECT("'"&amp;F2&amp;"'"&amp;"!A:A"),"承租人权益价值",INDIRECT("'"&amp;F2&amp;"'"&amp;"!c:c"))</f>
        <v>#REF!</v>
      </c>
      <c r="E2" s="2591" t="s">
        <v>2533</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1390</v>
      </c>
      <c r="B3" s="399" t="e">
        <f ca="1">IF(C2="——",C49,ROUND(B2*10000/D3,0))</f>
        <v>#DIV/0!</v>
      </c>
      <c r="C3" s="400" t="s">
        <v>2534</v>
      </c>
      <c r="D3" s="399">
        <f>IF(D1="",'数据-汇总表'!E3,SUMIF('数据-汇总表'!$C19:$C33,D1,'数据-汇总表'!$E19:$E33))</f>
        <v>83329.149999999994</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2535</v>
      </c>
      <c r="B4" s="402"/>
      <c r="C4" s="3188" t="s">
        <v>2536</v>
      </c>
      <c r="D4" s="3189"/>
      <c r="E4" s="3190" t="s">
        <v>2537</v>
      </c>
      <c r="F4" s="3191"/>
      <c r="G4" s="3188" t="s">
        <v>2538</v>
      </c>
      <c r="H4" s="3189"/>
      <c r="I4" s="3188" t="s">
        <v>2539</v>
      </c>
      <c r="J4" s="3189"/>
      <c r="K4" s="2600" t="s">
        <v>2540</v>
      </c>
      <c r="L4" s="1130"/>
      <c r="M4" s="1131"/>
      <c r="N4" s="1131"/>
      <c r="O4" s="1131"/>
      <c r="P4" s="3192" t="s">
        <v>2541</v>
      </c>
      <c r="Q4" s="3193"/>
      <c r="R4" s="3175" t="s">
        <v>2537</v>
      </c>
      <c r="S4" s="3176"/>
      <c r="T4" s="3175" t="s">
        <v>2538</v>
      </c>
      <c r="U4" s="3176"/>
      <c r="V4" s="3200" t="s">
        <v>2539</v>
      </c>
      <c r="W4" s="3200"/>
      <c r="X4" s="1813"/>
      <c r="Y4" s="3175" t="s">
        <v>2541</v>
      </c>
      <c r="Z4" s="3176"/>
      <c r="AA4" s="3170" t="s">
        <v>2537</v>
      </c>
      <c r="AB4" s="3170" t="s">
        <v>2538</v>
      </c>
      <c r="AC4" s="3170" t="s">
        <v>2539</v>
      </c>
    </row>
    <row r="5" spans="1:29" ht="15">
      <c r="A5" s="404"/>
      <c r="B5" s="405"/>
      <c r="C5" s="3181" t="s">
        <v>2542</v>
      </c>
      <c r="D5" s="3182"/>
      <c r="E5" s="3179" t="s">
        <v>2543</v>
      </c>
      <c r="F5" s="3180"/>
      <c r="G5" s="3181" t="s">
        <v>2544</v>
      </c>
      <c r="H5" s="3182"/>
      <c r="I5" s="3181" t="s">
        <v>2545</v>
      </c>
      <c r="J5" s="3182"/>
      <c r="K5" s="2601"/>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2546</v>
      </c>
      <c r="D6" s="3184"/>
      <c r="E6" s="3185" t="s">
        <v>2546</v>
      </c>
      <c r="F6" s="3186"/>
      <c r="G6" s="3183" t="s">
        <v>2546</v>
      </c>
      <c r="H6" s="3184"/>
      <c r="I6" s="3183" t="s">
        <v>2546</v>
      </c>
      <c r="J6" s="3184"/>
      <c r="K6" s="2601" t="s">
        <v>2547</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2548</v>
      </c>
      <c r="B7" s="409"/>
      <c r="C7" s="410">
        <f>'数据-取费表'!B2</f>
        <v>43661</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73" t="s">
        <v>2549</v>
      </c>
      <c r="Q7" s="3201"/>
      <c r="R7" s="770" t="s">
        <v>23</v>
      </c>
      <c r="S7" s="771">
        <f t="shared" ref="S7:S15" si="0">F7</f>
        <v>0</v>
      </c>
      <c r="T7" s="770" t="s">
        <v>23</v>
      </c>
      <c r="U7" s="771">
        <f t="shared" ref="U7:U15" si="1">H7</f>
        <v>0</v>
      </c>
      <c r="V7" s="770" t="s">
        <v>23</v>
      </c>
      <c r="W7" s="771">
        <f t="shared" ref="W7:W15" si="2">J7</f>
        <v>0</v>
      </c>
      <c r="X7" s="772"/>
      <c r="Y7" s="3173" t="s">
        <v>2549</v>
      </c>
      <c r="Z7" s="3174"/>
      <c r="AA7" s="773" t="e">
        <f>D7/F7</f>
        <v>#DIV/0!</v>
      </c>
      <c r="AB7" s="773" t="e">
        <f>D7/H7</f>
        <v>#DIV/0!</v>
      </c>
      <c r="AC7" s="773" t="e">
        <f>D7/J7</f>
        <v>#DIV/0!</v>
      </c>
    </row>
    <row r="8" spans="1:29" s="117" customFormat="1" ht="15.7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73" t="s">
        <v>2552</v>
      </c>
      <c r="Q8" s="3174"/>
      <c r="R8" s="770" t="s">
        <v>23</v>
      </c>
      <c r="S8" s="771">
        <f t="shared" si="0"/>
        <v>0</v>
      </c>
      <c r="T8" s="770" t="s">
        <v>23</v>
      </c>
      <c r="U8" s="771">
        <f t="shared" si="1"/>
        <v>0</v>
      </c>
      <c r="V8" s="770" t="s">
        <v>23</v>
      </c>
      <c r="W8" s="771">
        <f t="shared" si="2"/>
        <v>0</v>
      </c>
      <c r="X8" s="772"/>
      <c r="Y8" s="3173" t="s">
        <v>2552</v>
      </c>
      <c r="Z8" s="3174"/>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2560</v>
      </c>
      <c r="Q15" s="1810" t="str">
        <f t="shared" si="6"/>
        <v>居住社区成熟度</v>
      </c>
      <c r="R15" s="774" t="s">
        <v>21</v>
      </c>
      <c r="S15" s="775">
        <f t="shared" si="0"/>
        <v>100</v>
      </c>
      <c r="T15" s="774" t="s">
        <v>21</v>
      </c>
      <c r="U15" s="775">
        <f t="shared" si="1"/>
        <v>100</v>
      </c>
      <c r="V15" s="774" t="s">
        <v>21</v>
      </c>
      <c r="W15" s="775">
        <f t="shared" si="2"/>
        <v>100</v>
      </c>
      <c r="X15" s="1813"/>
      <c r="Y15" s="3207" t="s">
        <v>2560</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09" t="s">
        <v>2565</v>
      </c>
      <c r="Q32" s="1810" t="str">
        <f t="shared" si="11"/>
        <v>建筑类型</v>
      </c>
      <c r="R32" s="774" t="s">
        <v>21</v>
      </c>
      <c r="S32" s="775">
        <f t="shared" si="12"/>
        <v>100</v>
      </c>
      <c r="T32" s="774" t="s">
        <v>21</v>
      </c>
      <c r="U32" s="775">
        <f t="shared" si="13"/>
        <v>100</v>
      </c>
      <c r="V32" s="774" t="s">
        <v>21</v>
      </c>
      <c r="W32" s="775">
        <f t="shared" si="14"/>
        <v>100</v>
      </c>
      <c r="X32" s="1813"/>
      <c r="Y32" s="3212"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10" t="s">
        <v>2565</v>
      </c>
      <c r="Q38" s="1810" t="str">
        <f t="shared" si="11"/>
        <v>物业管理</v>
      </c>
      <c r="R38" s="774" t="s">
        <v>21</v>
      </c>
      <c r="S38" s="775">
        <f t="shared" si="12"/>
        <v>100</v>
      </c>
      <c r="T38" s="774" t="s">
        <v>21</v>
      </c>
      <c r="U38" s="775">
        <f t="shared" si="13"/>
        <v>100</v>
      </c>
      <c r="V38" s="774" t="s">
        <v>21</v>
      </c>
      <c r="W38" s="775">
        <f t="shared" si="14"/>
        <v>100</v>
      </c>
      <c r="X38" s="1813"/>
      <c r="Y38" s="3212" t="s">
        <v>2565</v>
      </c>
      <c r="Z38" s="1814" t="str">
        <f t="shared" si="18"/>
        <v>物业管理</v>
      </c>
      <c r="AA38" s="1811">
        <f t="shared" si="15"/>
        <v>1</v>
      </c>
      <c r="AB38" s="1811">
        <f t="shared" si="16"/>
        <v>1</v>
      </c>
      <c r="AC38" s="1811">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5"/>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6"/>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7"/>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30"/>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2586</v>
      </c>
      <c r="B61" s="510"/>
      <c r="C61" s="522" t="s">
        <v>2587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2611</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2563</v>
      </c>
      <c r="B100" s="528" t="s">
        <v>2612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2615</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2616</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2619</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4">
        <v>6</v>
      </c>
      <c r="C139" s="1085">
        <v>96</v>
      </c>
      <c r="D139" s="2652" t="s">
        <v>2631</v>
      </c>
      <c r="E139" s="1086">
        <v>100</v>
      </c>
      <c r="F139" s="1087">
        <v>102.5</v>
      </c>
      <c r="G139" s="2652" t="s">
        <v>2631</v>
      </c>
      <c r="H139" s="1088">
        <v>105</v>
      </c>
      <c r="I139" s="2653" t="s">
        <v>2632</v>
      </c>
      <c r="J139" s="1085">
        <v>20</v>
      </c>
      <c r="K139" s="1089">
        <f>C145/(J139-2)</f>
        <v>4.0555555555555553E-3</v>
      </c>
    </row>
    <row r="140" spans="1:17" ht="15">
      <c r="B140" s="1090">
        <v>5</v>
      </c>
      <c r="C140" s="1091">
        <v>100</v>
      </c>
      <c r="D140" s="1091"/>
      <c r="E140" s="1092"/>
      <c r="F140" s="1093">
        <v>102</v>
      </c>
      <c r="G140" s="1091"/>
      <c r="H140" s="1094"/>
      <c r="I140" s="2654" t="s">
        <v>2633</v>
      </c>
      <c r="J140" s="315">
        <f>ROUNDUP((J139-1)/2,0)</f>
        <v>10</v>
      </c>
      <c r="K140" s="1095">
        <v>100</v>
      </c>
    </row>
    <row r="141" spans="1:17" ht="15">
      <c r="B141" s="1090">
        <v>4</v>
      </c>
      <c r="C141" s="1091">
        <v>102</v>
      </c>
      <c r="D141" s="1091"/>
      <c r="E141" s="1092"/>
      <c r="F141" s="1093">
        <v>101.5</v>
      </c>
      <c r="G141" s="1091"/>
      <c r="H141" s="1094"/>
      <c r="I141" s="2654" t="s">
        <v>2634</v>
      </c>
      <c r="J141" s="315">
        <v>1</v>
      </c>
      <c r="K141" s="1096">
        <f>ROUND(100+(J141-J140)*K139*100,1)</f>
        <v>96.4</v>
      </c>
    </row>
    <row r="142" spans="1:17" ht="15">
      <c r="B142" s="1090">
        <v>3</v>
      </c>
      <c r="C142" s="1091">
        <v>103</v>
      </c>
      <c r="D142" s="1091"/>
      <c r="E142" s="1092"/>
      <c r="F142" s="1093">
        <v>101</v>
      </c>
      <c r="G142" s="1091"/>
      <c r="H142" s="1094"/>
      <c r="I142" s="2654" t="s">
        <v>2635</v>
      </c>
      <c r="J142" s="315">
        <f>J139</f>
        <v>20</v>
      </c>
      <c r="K142" s="1097">
        <v>95</v>
      </c>
    </row>
    <row r="143" spans="1:17" ht="15">
      <c r="B143" s="1090">
        <v>2</v>
      </c>
      <c r="C143" s="1091">
        <v>100</v>
      </c>
      <c r="D143" s="1091"/>
      <c r="E143" s="1092"/>
      <c r="F143" s="1093">
        <v>100.5</v>
      </c>
      <c r="G143" s="1091"/>
      <c r="H143" s="1094"/>
      <c r="I143" s="2654" t="s">
        <v>2636</v>
      </c>
      <c r="J143" s="1091">
        <v>15</v>
      </c>
      <c r="K143" s="1096">
        <f>ROUND(100+(J143-J140)*K139*100,1)</f>
        <v>102</v>
      </c>
    </row>
    <row r="144" spans="1:17" ht="15">
      <c r="B144" s="1090">
        <v>1</v>
      </c>
      <c r="C144" s="1091">
        <v>98</v>
      </c>
      <c r="D144" s="2655" t="s">
        <v>2637</v>
      </c>
      <c r="E144" s="1092">
        <v>102</v>
      </c>
      <c r="F144" s="1098">
        <v>100</v>
      </c>
      <c r="G144" s="2655" t="s">
        <v>2637</v>
      </c>
      <c r="H144" s="1094">
        <v>105</v>
      </c>
      <c r="I144" s="2654" t="s">
        <v>2636</v>
      </c>
      <c r="J144" s="1091">
        <v>18</v>
      </c>
      <c r="K144" s="1096">
        <f>ROUND(100+(J144-J140)*K139*100,1)</f>
        <v>103.2</v>
      </c>
    </row>
    <row r="145" spans="2:11" ht="15.75" thickBot="1">
      <c r="B145" s="2656" t="s">
        <v>2638</v>
      </c>
      <c r="C145" s="1099">
        <f>ROUND(MAX(C139:C144)/MIN(C139:C144)-1,3)</f>
        <v>7.2999999999999995E-2</v>
      </c>
      <c r="D145" s="1100"/>
      <c r="E145" s="1100"/>
      <c r="F145" s="2657" t="s">
        <v>2639</v>
      </c>
      <c r="G145" s="2658"/>
      <c r="H145" s="2659"/>
      <c r="I145" s="2660" t="s">
        <v>2636</v>
      </c>
      <c r="J145" s="1101">
        <v>8</v>
      </c>
      <c r="K145" s="1102">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2642</v>
      </c>
      <c r="C1" s="1634" t="s">
        <v>2530</v>
      </c>
      <c r="D1" s="1621"/>
      <c r="E1" s="2661"/>
      <c r="F1" s="2588"/>
      <c r="G1" s="1631" t="s">
        <v>2643</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2327</v>
      </c>
      <c r="B2" s="1418" t="e">
        <f ca="1">IF(C2="——",ROUND(C49*D3/10000,0),ROUND(C49*D3/10000,0)-D2)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2329</v>
      </c>
      <c r="B3" s="609" t="e">
        <f ca="1">IF(C2="——",C49,ROUND(B2*10000/D3,0))</f>
        <v>#DIV/0!</v>
      </c>
      <c r="C3" s="400" t="s">
        <v>2644</v>
      </c>
      <c r="D3" s="399">
        <f>IF(D1="",'数据-汇总表'!E3,SUMIF('数据-汇总表'!$C19:$C33,D1,'数据-汇总表'!$E19:$E33))</f>
        <v>83329.149999999994</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200" t="s">
        <v>2648</v>
      </c>
      <c r="AC4" s="3170" t="s">
        <v>2649</v>
      </c>
    </row>
    <row r="5" spans="1:29"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200"/>
      <c r="AC5" s="3171"/>
    </row>
    <row r="6" spans="1:29" ht="15.75" thickBot="1">
      <c r="A6" s="406"/>
      <c r="B6" s="407"/>
      <c r="C6" s="3183" t="s">
        <v>2546</v>
      </c>
      <c r="D6" s="3184"/>
      <c r="E6" s="3185" t="s">
        <v>2546</v>
      </c>
      <c r="F6" s="3186"/>
      <c r="G6" s="3183" t="s">
        <v>2546</v>
      </c>
      <c r="H6" s="3184"/>
      <c r="I6" s="3183" t="s">
        <v>2546</v>
      </c>
      <c r="J6" s="3184"/>
      <c r="K6" s="610" t="s">
        <v>2547</v>
      </c>
      <c r="L6" s="1130"/>
      <c r="M6" s="1131"/>
      <c r="N6" s="1131"/>
      <c r="O6" s="1131"/>
      <c r="P6" s="3196"/>
      <c r="Q6" s="3197"/>
      <c r="R6" s="3177"/>
      <c r="S6" s="3178"/>
      <c r="T6" s="3198"/>
      <c r="U6" s="3199"/>
      <c r="V6" s="3200"/>
      <c r="W6" s="3200"/>
      <c r="X6" s="1813"/>
      <c r="Y6" s="3198"/>
      <c r="Z6" s="3199"/>
      <c r="AA6" s="3172"/>
      <c r="AB6" s="3200"/>
      <c r="AC6" s="3172"/>
    </row>
    <row r="7" spans="1:29" s="117" customFormat="1" ht="15.75" thickBot="1">
      <c r="A7" s="408" t="s">
        <v>2548</v>
      </c>
      <c r="B7" s="409"/>
      <c r="C7" s="410">
        <f>'数据-取费表'!B2</f>
        <v>43661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3" t="s">
        <v>2549</v>
      </c>
      <c r="Q7" s="3201"/>
      <c r="R7" s="770" t="s">
        <v>17</v>
      </c>
      <c r="S7" s="771">
        <f t="shared" ref="S7:S15" si="0">F7</f>
        <v>0</v>
      </c>
      <c r="T7" s="770" t="s">
        <v>17</v>
      </c>
      <c r="U7" s="771">
        <f t="shared" ref="U7:U15" si="1">H7</f>
        <v>0</v>
      </c>
      <c r="V7" s="770" t="s">
        <v>17</v>
      </c>
      <c r="W7" s="771">
        <f t="shared" ref="W7:W15" si="2">J7</f>
        <v>0</v>
      </c>
      <c r="X7" s="772"/>
      <c r="Y7" s="3173" t="s">
        <v>2549</v>
      </c>
      <c r="Z7" s="3174"/>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2560</v>
      </c>
      <c r="Q15" s="1810" t="str">
        <f t="shared" si="6"/>
        <v>商业繁华度</v>
      </c>
      <c r="R15" s="774" t="s">
        <v>17</v>
      </c>
      <c r="S15" s="775">
        <f t="shared" si="0"/>
        <v>100</v>
      </c>
      <c r="T15" s="774" t="s">
        <v>17</v>
      </c>
      <c r="U15" s="775">
        <f t="shared" si="1"/>
        <v>100</v>
      </c>
      <c r="V15" s="774" t="s">
        <v>17</v>
      </c>
      <c r="W15" s="775">
        <f t="shared" si="2"/>
        <v>100</v>
      </c>
      <c r="X15" s="1813"/>
      <c r="Y15" s="3207"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09" t="s">
        <v>2565</v>
      </c>
      <c r="Q32" s="1810" t="str">
        <f t="shared" si="11"/>
        <v>商业类型</v>
      </c>
      <c r="R32" s="774" t="s">
        <v>17</v>
      </c>
      <c r="S32" s="775">
        <f t="shared" si="12"/>
        <v>100</v>
      </c>
      <c r="T32" s="774" t="s">
        <v>17</v>
      </c>
      <c r="U32" s="775">
        <f t="shared" si="13"/>
        <v>100</v>
      </c>
      <c r="V32" s="774" t="s">
        <v>17</v>
      </c>
      <c r="W32" s="775">
        <f t="shared" si="14"/>
        <v>100</v>
      </c>
      <c r="X32" s="1813"/>
      <c r="Y32" s="3212"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10" t="s">
        <v>2565</v>
      </c>
      <c r="Q38" s="1810" t="str">
        <f t="shared" si="11"/>
        <v>业态</v>
      </c>
      <c r="R38" s="774" t="s">
        <v>17</v>
      </c>
      <c r="S38" s="775">
        <f t="shared" si="12"/>
        <v>100</v>
      </c>
      <c r="T38" s="774" t="s">
        <v>17</v>
      </c>
      <c r="U38" s="775">
        <f t="shared" si="13"/>
        <v>100</v>
      </c>
      <c r="V38" s="774" t="s">
        <v>17</v>
      </c>
      <c r="W38" s="775">
        <f t="shared" si="14"/>
        <v>100</v>
      </c>
      <c r="X38" s="1813"/>
      <c r="Y38" s="3212" t="s">
        <v>2565</v>
      </c>
      <c r="Z38" s="1814" t="str">
        <f t="shared" si="15"/>
        <v>业态</v>
      </c>
      <c r="AA38" s="1811">
        <f t="shared" si="3"/>
        <v>1</v>
      </c>
      <c r="AB38" s="1811">
        <f t="shared" si="4"/>
        <v>1</v>
      </c>
      <c r="AC38" s="1811">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2550</v>
      </c>
      <c r="B61" s="510"/>
      <c r="C61" s="522" t="s">
        <v>2652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2563</v>
      </c>
      <c r="B100" s="528" t="s">
        <v>2681</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2616</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2684</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2686</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83329.149999999994</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222" t="s">
        <v>2651</v>
      </c>
      <c r="Q4" s="3223"/>
      <c r="R4" s="3217" t="s">
        <v>2647</v>
      </c>
      <c r="S4" s="3218"/>
      <c r="T4" s="3217" t="s">
        <v>2648</v>
      </c>
      <c r="U4" s="3218"/>
      <c r="V4" s="3226" t="s">
        <v>2649</v>
      </c>
      <c r="W4" s="3226"/>
      <c r="X4" s="2674"/>
      <c r="Y4" s="3217" t="s">
        <v>2651</v>
      </c>
      <c r="Z4" s="3218"/>
      <c r="AA4" s="3216" t="s">
        <v>2647</v>
      </c>
      <c r="AB4" s="3216" t="s">
        <v>2648</v>
      </c>
      <c r="AC4" s="3219" t="s">
        <v>2649</v>
      </c>
    </row>
    <row r="5" spans="1:29" ht="15">
      <c r="A5" s="404"/>
      <c r="B5" s="405"/>
      <c r="C5" s="3181" t="s">
        <v>2542</v>
      </c>
      <c r="D5" s="3182"/>
      <c r="E5" s="3179" t="s">
        <v>2543</v>
      </c>
      <c r="F5" s="3180"/>
      <c r="G5" s="3181" t="s">
        <v>2544</v>
      </c>
      <c r="H5" s="3182"/>
      <c r="I5" s="3181" t="s">
        <v>2545</v>
      </c>
      <c r="J5" s="3182"/>
      <c r="K5" s="610"/>
      <c r="L5" s="1130"/>
      <c r="M5" s="1131"/>
      <c r="N5" s="1131"/>
      <c r="O5" s="1131"/>
      <c r="P5" s="3224"/>
      <c r="Q5" s="3195"/>
      <c r="R5" s="3177"/>
      <c r="S5" s="3178"/>
      <c r="T5" s="3177"/>
      <c r="U5" s="3178"/>
      <c r="V5" s="3200"/>
      <c r="W5" s="3200"/>
      <c r="X5" s="1813"/>
      <c r="Y5" s="3177"/>
      <c r="Z5" s="3178"/>
      <c r="AA5" s="3171"/>
      <c r="AB5" s="3171"/>
      <c r="AC5" s="3220"/>
    </row>
    <row r="6" spans="1:29" ht="15.75" thickBot="1">
      <c r="A6" s="406"/>
      <c r="B6" s="407"/>
      <c r="C6" s="3183" t="s">
        <v>2546</v>
      </c>
      <c r="D6" s="3184"/>
      <c r="E6" s="3185" t="s">
        <v>2546</v>
      </c>
      <c r="F6" s="3186"/>
      <c r="G6" s="3183" t="s">
        <v>2546</v>
      </c>
      <c r="H6" s="3184"/>
      <c r="I6" s="3183" t="s">
        <v>2546</v>
      </c>
      <c r="J6" s="3184"/>
      <c r="K6" s="610" t="s">
        <v>2547</v>
      </c>
      <c r="L6" s="1130"/>
      <c r="M6" s="1131"/>
      <c r="N6" s="1131"/>
      <c r="O6" s="1131"/>
      <c r="P6" s="3225"/>
      <c r="Q6" s="3197"/>
      <c r="R6" s="3177"/>
      <c r="S6" s="3178"/>
      <c r="T6" s="3198"/>
      <c r="U6" s="3199"/>
      <c r="V6" s="3200"/>
      <c r="W6" s="3200"/>
      <c r="X6" s="1813"/>
      <c r="Y6" s="3198"/>
      <c r="Z6" s="3199"/>
      <c r="AA6" s="3172"/>
      <c r="AB6" s="3172"/>
      <c r="AC6" s="3221"/>
    </row>
    <row r="7" spans="1:29" s="117" customFormat="1" ht="15.75" thickBot="1">
      <c r="A7" s="408" t="s">
        <v>2548</v>
      </c>
      <c r="B7" s="409"/>
      <c r="C7" s="410">
        <f>'数据-取费表'!B2</f>
        <v>43661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2549</v>
      </c>
      <c r="Q7" s="3201"/>
      <c r="R7" s="770" t="s">
        <v>17</v>
      </c>
      <c r="S7" s="771">
        <f t="shared" ref="S7:S15" si="0">F7</f>
        <v>0</v>
      </c>
      <c r="T7" s="770" t="s">
        <v>17</v>
      </c>
      <c r="U7" s="771">
        <f t="shared" ref="U7:U15" si="1">H7</f>
        <v>0</v>
      </c>
      <c r="V7" s="770" t="s">
        <v>17</v>
      </c>
      <c r="W7" s="771">
        <f t="shared" ref="W7:W15" si="2">J7</f>
        <v>0</v>
      </c>
      <c r="X7" s="772"/>
      <c r="Y7" s="3173" t="s">
        <v>2549</v>
      </c>
      <c r="Z7" s="3174"/>
      <c r="AA7" s="773" t="e">
        <f>D7/F7</f>
        <v>#DIV/0!</v>
      </c>
      <c r="AB7" s="773" t="e">
        <f>D7/H7</f>
        <v>#DIV/0!</v>
      </c>
      <c r="AC7" s="2675"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2552</v>
      </c>
      <c r="Q8" s="3174"/>
      <c r="R8" s="770" t="s">
        <v>17</v>
      </c>
      <c r="S8" s="771">
        <f t="shared" si="0"/>
        <v>0</v>
      </c>
      <c r="T8" s="770" t="s">
        <v>17</v>
      </c>
      <c r="U8" s="771">
        <f t="shared" si="1"/>
        <v>0</v>
      </c>
      <c r="V8" s="770" t="s">
        <v>17</v>
      </c>
      <c r="W8" s="771">
        <f t="shared" si="2"/>
        <v>0</v>
      </c>
      <c r="X8" s="772"/>
      <c r="Y8" s="3173" t="s">
        <v>2552</v>
      </c>
      <c r="Z8" s="3174"/>
      <c r="AA8" s="773" t="e">
        <f t="shared" ref="AA8:AA47" si="3">D8/F8</f>
        <v>#DIV/0!</v>
      </c>
      <c r="AB8" s="773" t="e">
        <f t="shared" ref="AB8:AB47" si="4">D8/H8</f>
        <v>#DIV/0!</v>
      </c>
      <c r="AC8" s="2675"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2675">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5">
        <f t="shared" si="5"/>
        <v>1</v>
      </c>
    </row>
    <row r="15" spans="1:29" ht="71.25">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2560</v>
      </c>
      <c r="Q15" s="1810" t="str">
        <f t="shared" si="6"/>
        <v>办公集聚程度</v>
      </c>
      <c r="R15" s="774" t="s">
        <v>17</v>
      </c>
      <c r="S15" s="775">
        <f t="shared" si="0"/>
        <v>100</v>
      </c>
      <c r="T15" s="774" t="s">
        <v>17</v>
      </c>
      <c r="U15" s="775">
        <f t="shared" si="1"/>
        <v>100</v>
      </c>
      <c r="V15" s="774" t="s">
        <v>17</v>
      </c>
      <c r="W15" s="775">
        <f t="shared" si="2"/>
        <v>100</v>
      </c>
      <c r="X15" s="1813"/>
      <c r="Y15" s="3207" t="s">
        <v>2560</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15"/>
      <c r="Q18" s="1810"/>
      <c r="R18" s="774"/>
      <c r="S18" s="775"/>
      <c r="T18" s="774"/>
      <c r="U18" s="775"/>
      <c r="V18" s="774"/>
      <c r="W18" s="775"/>
      <c r="X18" s="1813"/>
      <c r="Y18" s="3208"/>
      <c r="Z18" s="1814"/>
      <c r="AA18" s="1811">
        <v>1</v>
      </c>
      <c r="AB18" s="1811">
        <v>1</v>
      </c>
      <c r="AC18" s="2678">
        <v>1</v>
      </c>
    </row>
    <row r="19" spans="1:29" ht="42.75">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15"/>
      <c r="Q20" s="1810"/>
      <c r="R20" s="774"/>
      <c r="S20" s="775"/>
      <c r="T20" s="774"/>
      <c r="U20" s="775"/>
      <c r="V20" s="774"/>
      <c r="W20" s="775"/>
      <c r="X20" s="1813"/>
      <c r="Y20" s="3208"/>
      <c r="Z20" s="1814"/>
      <c r="AA20" s="1811">
        <v>1</v>
      </c>
      <c r="AB20" s="1811">
        <v>1</v>
      </c>
      <c r="AC20" s="2678">
        <v>1</v>
      </c>
    </row>
    <row r="21" spans="1:29" ht="28.5">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15"/>
      <c r="Q22" s="1810"/>
      <c r="R22" s="774"/>
      <c r="S22" s="775"/>
      <c r="T22" s="774"/>
      <c r="U22" s="775"/>
      <c r="V22" s="774"/>
      <c r="W22" s="775"/>
      <c r="X22" s="1813"/>
      <c r="Y22" s="3208"/>
      <c r="Z22" s="1814"/>
      <c r="AA22" s="1811">
        <v>1</v>
      </c>
      <c r="AB22" s="1811">
        <v>1</v>
      </c>
      <c r="AC22" s="2678">
        <v>1</v>
      </c>
    </row>
    <row r="23" spans="1:29" ht="42.75">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15"/>
      <c r="Q24" s="1810"/>
      <c r="R24" s="774"/>
      <c r="S24" s="775"/>
      <c r="T24" s="774"/>
      <c r="U24" s="775"/>
      <c r="V24" s="774"/>
      <c r="W24" s="775"/>
      <c r="X24" s="1813"/>
      <c r="Y24" s="3208"/>
      <c r="Z24" s="1814"/>
      <c r="AA24" s="1811">
        <v>1</v>
      </c>
      <c r="AB24" s="1811">
        <v>1</v>
      </c>
      <c r="AC24" s="2678">
        <v>1</v>
      </c>
    </row>
    <row r="25" spans="1:29" ht="27">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09" t="s">
        <v>2565</v>
      </c>
      <c r="Q33" s="1810" t="str">
        <f t="shared" si="11"/>
        <v>建筑类型</v>
      </c>
      <c r="R33" s="774" t="s">
        <v>17</v>
      </c>
      <c r="S33" s="775">
        <f t="shared" si="12"/>
        <v>100</v>
      </c>
      <c r="T33" s="774" t="s">
        <v>17</v>
      </c>
      <c r="U33" s="775">
        <f t="shared" si="13"/>
        <v>100</v>
      </c>
      <c r="V33" s="774" t="s">
        <v>17</v>
      </c>
      <c r="W33" s="775">
        <f t="shared" si="14"/>
        <v>100</v>
      </c>
      <c r="X33" s="1813"/>
      <c r="Y33" s="3212" t="s">
        <v>2565</v>
      </c>
      <c r="Z33" s="1814" t="str">
        <f t="shared" si="15"/>
        <v>建筑类型</v>
      </c>
      <c r="AA33" s="1811">
        <f t="shared" si="3"/>
        <v>1</v>
      </c>
      <c r="AB33" s="1811">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2565</v>
      </c>
      <c r="Q39" s="1810" t="str">
        <f t="shared" si="11"/>
        <v>物业管理</v>
      </c>
      <c r="R39" s="774" t="s">
        <v>17</v>
      </c>
      <c r="S39" s="775">
        <f t="shared" si="12"/>
        <v>100</v>
      </c>
      <c r="T39" s="774" t="s">
        <v>17</v>
      </c>
      <c r="U39" s="775">
        <f t="shared" si="13"/>
        <v>100</v>
      </c>
      <c r="V39" s="774" t="s">
        <v>17</v>
      </c>
      <c r="W39" s="775">
        <f t="shared" si="14"/>
        <v>100</v>
      </c>
      <c r="X39" s="1813"/>
      <c r="Y39" s="3212" t="s">
        <v>2565</v>
      </c>
      <c r="Z39" s="1814" t="str">
        <f t="shared" si="15"/>
        <v>物业管理</v>
      </c>
      <c r="AA39" s="1811">
        <f t="shared" si="3"/>
        <v>1</v>
      </c>
      <c r="AB39" s="1811">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8">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8">
        <f t="shared" si="5"/>
        <v>1</v>
      </c>
    </row>
    <row r="44" spans="1:29" ht="15">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8">
        <f t="shared" si="5"/>
        <v>1</v>
      </c>
    </row>
    <row r="48" spans="1:29" ht="15">
      <c r="A48" s="479" t="s">
        <v>2577</v>
      </c>
      <c r="B48" s="480"/>
      <c r="C48" s="1407" t="s">
        <v>1</v>
      </c>
      <c r="D48" s="1408"/>
      <c r="E48" s="1409"/>
      <c r="F48" s="1410"/>
      <c r="G48" s="1411"/>
      <c r="H48" s="1412"/>
      <c r="I48" s="1409"/>
      <c r="J48" s="485"/>
      <c r="K48" s="783"/>
      <c r="L48" s="1143"/>
      <c r="M48" s="1131"/>
      <c r="N48" s="1131"/>
      <c r="O48" s="1131"/>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8" t="str">
        <f>A50</f>
        <v>估价对象XX用房的比较价值（楼面单价，元/平方米）</v>
      </c>
      <c r="Q50" s="3229"/>
      <c r="R50" s="3230" t="e">
        <f>IF(F1="售价",ROUND(AVERAGE(R49:V49),0),ROUND(AVERAGE(R49:V49),1))</f>
        <v>#DIV/0!</v>
      </c>
      <c r="S50" s="3230"/>
      <c r="T50" s="3230"/>
      <c r="U50" s="3230"/>
      <c r="V50" s="3230"/>
      <c r="W50" s="3230"/>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5"/>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2585</v>
      </c>
      <c r="B61" s="516"/>
      <c r="C61" s="517"/>
      <c r="D61" s="518"/>
      <c r="E61" s="518"/>
      <c r="F61" s="518"/>
      <c r="G61" s="518"/>
      <c r="H61" s="518"/>
      <c r="I61" s="518"/>
      <c r="J61" s="518"/>
      <c r="K61" s="518"/>
      <c r="L61" s="518"/>
      <c r="M61" s="519"/>
      <c r="N61" s="518"/>
      <c r="O61" s="519"/>
      <c r="P61" s="2686"/>
      <c r="Q61" s="504"/>
    </row>
    <row r="62" spans="1:29" s="117" customFormat="1" ht="15">
      <c r="A62" s="521" t="s">
        <v>2550</v>
      </c>
      <c r="B62" s="510"/>
      <c r="C62" s="522" t="s">
        <v>2652</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2588</v>
      </c>
      <c r="B64" s="528" t="s">
        <v>2554</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2699</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2563</v>
      </c>
      <c r="B101" s="528" t="s">
        <v>2612</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2614</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2616</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2617</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2618</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2701</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2620</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1607</v>
      </c>
    </row>
    <row r="6" spans="1:1" ht="18.75">
      <c r="A6" s="1950" t="s">
        <v>1608</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估价对象为出让国有建设用地使用权及在建建筑物房地产，为所有。根据《国有土地使用证》[]，估价对象（分摊）出让国有建设用地使用权面积为77043.08平方米，建筑面积为83329.15平方米。</v>
      </c>
    </row>
    <row r="8" spans="1:1" ht="57.75">
      <c r="A8" s="1951" t="s">
        <v>1609</v>
      </c>
    </row>
    <row r="9" spans="1:1" ht="18.75">
      <c r="A9" s="1950" t="s">
        <v>1610</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77043.08平方米，规划建筑面积为83329.15平方米。</v>
      </c>
    </row>
    <row r="11" spans="1:1" ht="76.5">
      <c r="A11" s="1951" t="s">
        <v>1611</v>
      </c>
    </row>
    <row r="12" spans="1:1" ht="18.75">
      <c r="A12" s="1949" t="s">
        <v>1612</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1613</v>
      </c>
    </row>
    <row r="15" spans="1:1" ht="18">
      <c r="A15" s="1954" t="str">
        <f>TEXT(项目基本情况!D3,"yyyy年m月d日;;")&amp;IF(项目基本情况!D3=项目基本情况!B3,"（评估专业人员实地查勘之日）","")</f>
        <v>2019年7月15日</v>
      </c>
    </row>
    <row r="16" spans="1:1" ht="18.75">
      <c r="A16" s="1953" t="s">
        <v>1614</v>
      </c>
    </row>
    <row r="17" spans="1:1" ht="75">
      <c r="A17" s="1948" t="s">
        <v>1615</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2702</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90"/>
      <c r="D2" s="1124"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83329.149999999994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171" t="s">
        <v>2648</v>
      </c>
      <c r="AC4" s="3170" t="s">
        <v>2649</v>
      </c>
    </row>
    <row r="5" spans="1:29"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2546</v>
      </c>
      <c r="D6" s="3184"/>
      <c r="E6" s="3185" t="s">
        <v>2546</v>
      </c>
      <c r="F6" s="3186"/>
      <c r="G6" s="3183" t="s">
        <v>2546</v>
      </c>
      <c r="H6" s="3184"/>
      <c r="I6" s="3183" t="s">
        <v>2546</v>
      </c>
      <c r="J6" s="3184"/>
      <c r="K6" s="610" t="s">
        <v>2547</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2548</v>
      </c>
      <c r="B7" s="409"/>
      <c r="C7" s="410">
        <f>'数据-取费表'!B2</f>
        <v>43661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2549</v>
      </c>
      <c r="Q7" s="3201"/>
      <c r="R7" s="770" t="s">
        <v>17</v>
      </c>
      <c r="S7" s="771">
        <f t="shared" ref="S7:S15" si="0">F7</f>
        <v>0</v>
      </c>
      <c r="T7" s="770" t="s">
        <v>17</v>
      </c>
      <c r="U7" s="771">
        <f t="shared" ref="U7:U15" si="1">H7</f>
        <v>0</v>
      </c>
      <c r="V7" s="770" t="s">
        <v>17</v>
      </c>
      <c r="W7" s="771">
        <f t="shared" ref="W7:W15" si="2">J7</f>
        <v>0</v>
      </c>
      <c r="X7" s="772"/>
      <c r="Y7" s="3173" t="s">
        <v>2549</v>
      </c>
      <c r="Z7" s="3174"/>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2560</v>
      </c>
      <c r="Q15" s="1810" t="str">
        <f t="shared" si="6"/>
        <v>产业集聚程度</v>
      </c>
      <c r="R15" s="774" t="s">
        <v>17</v>
      </c>
      <c r="S15" s="775">
        <f t="shared" si="0"/>
        <v>100</v>
      </c>
      <c r="T15" s="774" t="s">
        <v>17</v>
      </c>
      <c r="U15" s="775">
        <f t="shared" si="1"/>
        <v>100</v>
      </c>
      <c r="V15" s="774" t="s">
        <v>17</v>
      </c>
      <c r="W15" s="775">
        <f t="shared" si="2"/>
        <v>100</v>
      </c>
      <c r="X15" s="1813"/>
      <c r="Y15" s="3207"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8.5">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1" t="s">
        <v>2565</v>
      </c>
      <c r="Q29" s="1810" t="str">
        <f t="shared" si="11"/>
        <v>建筑类型</v>
      </c>
      <c r="R29" s="774" t="s">
        <v>17</v>
      </c>
      <c r="S29" s="775">
        <f t="shared" si="12"/>
        <v>100</v>
      </c>
      <c r="T29" s="774" t="s">
        <v>17</v>
      </c>
      <c r="U29" s="775">
        <f t="shared" si="13"/>
        <v>100</v>
      </c>
      <c r="V29" s="774" t="s">
        <v>17</v>
      </c>
      <c r="W29" s="775">
        <f t="shared" si="14"/>
        <v>100</v>
      </c>
      <c r="X29" s="1813"/>
      <c r="Y29" s="3212"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2565</v>
      </c>
      <c r="Q35" s="1810" t="str">
        <f t="shared" si="11"/>
        <v>市政基础设施</v>
      </c>
      <c r="R35" s="774" t="s">
        <v>17</v>
      </c>
      <c r="S35" s="775">
        <f t="shared" si="12"/>
        <v>100</v>
      </c>
      <c r="T35" s="774" t="s">
        <v>17</v>
      </c>
      <c r="U35" s="775">
        <f t="shared" si="13"/>
        <v>100</v>
      </c>
      <c r="V35" s="774" t="s">
        <v>17</v>
      </c>
      <c r="W35" s="775">
        <f t="shared" si="14"/>
        <v>100</v>
      </c>
      <c r="X35" s="1813"/>
      <c r="Y35" s="3212"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8"/>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171" t="s">
        <v>2648</v>
      </c>
      <c r="AC4" s="3170" t="s">
        <v>2649</v>
      </c>
    </row>
    <row r="5" spans="1:29"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2546</v>
      </c>
      <c r="D6" s="3184"/>
      <c r="E6" s="3185" t="s">
        <v>2546</v>
      </c>
      <c r="F6" s="3186"/>
      <c r="G6" s="3183" t="s">
        <v>2546</v>
      </c>
      <c r="H6" s="3184"/>
      <c r="I6" s="3183" t="s">
        <v>2546</v>
      </c>
      <c r="J6" s="3184"/>
      <c r="K6" s="610" t="s">
        <v>2547</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2548</v>
      </c>
      <c r="B7" s="409"/>
      <c r="C7" s="410">
        <f>'数据-取费表'!B2</f>
        <v>43661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2549</v>
      </c>
      <c r="Q7" s="3201"/>
      <c r="R7" s="770" t="s">
        <v>17</v>
      </c>
      <c r="S7" s="771">
        <f t="shared" ref="S7:S14" si="0">F7</f>
        <v>0</v>
      </c>
      <c r="T7" s="770" t="s">
        <v>17</v>
      </c>
      <c r="U7" s="771">
        <f t="shared" ref="U7:U14" si="1">H7</f>
        <v>0</v>
      </c>
      <c r="V7" s="770" t="s">
        <v>17</v>
      </c>
      <c r="W7" s="771">
        <f t="shared" ref="W7:W14" si="2">J7</f>
        <v>0</v>
      </c>
      <c r="X7" s="772"/>
      <c r="Y7" s="3173" t="s">
        <v>2549</v>
      </c>
      <c r="Z7" s="3174"/>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2555</v>
      </c>
      <c r="Q9" s="1795"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2560</v>
      </c>
      <c r="Q14" s="1810" t="str">
        <f t="shared" si="6"/>
        <v>交通便捷度</v>
      </c>
      <c r="R14" s="774" t="s">
        <v>17</v>
      </c>
      <c r="S14" s="775">
        <f t="shared" si="0"/>
        <v>100</v>
      </c>
      <c r="T14" s="774" t="s">
        <v>17</v>
      </c>
      <c r="U14" s="775">
        <f t="shared" si="1"/>
        <v>100</v>
      </c>
      <c r="V14" s="774" t="s">
        <v>17</v>
      </c>
      <c r="W14" s="775">
        <f t="shared" si="2"/>
        <v>100</v>
      </c>
      <c r="X14" s="1813"/>
      <c r="Y14" s="3207"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2565</v>
      </c>
      <c r="Q32" s="1810" t="str">
        <f t="shared" si="11"/>
        <v>车位类型</v>
      </c>
      <c r="R32" s="774" t="s">
        <v>17</v>
      </c>
      <c r="S32" s="775">
        <f t="shared" si="12"/>
        <v>100</v>
      </c>
      <c r="T32" s="774" t="s">
        <v>17</v>
      </c>
      <c r="U32" s="775">
        <f t="shared" si="13"/>
        <v>100</v>
      </c>
      <c r="V32" s="774" t="s">
        <v>17</v>
      </c>
      <c r="W32" s="775">
        <f t="shared" si="14"/>
        <v>100</v>
      </c>
      <c r="X32" s="1813"/>
      <c r="Y32" s="3212"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2720</v>
      </c>
      <c r="B37" s="2699" t="s">
        <v>2721</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171" t="s">
        <v>2648</v>
      </c>
      <c r="AC4" s="3170" t="s">
        <v>2649</v>
      </c>
    </row>
    <row r="5" spans="1:29"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2546</v>
      </c>
      <c r="D6" s="3184"/>
      <c r="E6" s="3185" t="s">
        <v>2546</v>
      </c>
      <c r="F6" s="3186"/>
      <c r="G6" s="3183" t="s">
        <v>2546</v>
      </c>
      <c r="H6" s="3184"/>
      <c r="I6" s="3183" t="s">
        <v>2546</v>
      </c>
      <c r="J6" s="3184"/>
      <c r="K6" s="610" t="s">
        <v>2547</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2548</v>
      </c>
      <c r="B7" s="409"/>
      <c r="C7" s="410">
        <f>'数据-取费表'!B2</f>
        <v>43661</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73" t="s">
        <v>2549</v>
      </c>
      <c r="Q7" s="3201"/>
      <c r="R7" s="770" t="s">
        <v>17</v>
      </c>
      <c r="S7" s="771">
        <f t="shared" ref="S7:S14" si="0">F7</f>
        <v>0</v>
      </c>
      <c r="T7" s="770" t="s">
        <v>17</v>
      </c>
      <c r="U7" s="771">
        <f t="shared" ref="U7:U14" si="1">H7</f>
        <v>0</v>
      </c>
      <c r="V7" s="770" t="s">
        <v>17</v>
      </c>
      <c r="W7" s="771">
        <f t="shared" ref="W7:W14" si="2">J7</f>
        <v>0</v>
      </c>
      <c r="X7" s="772"/>
      <c r="Y7" s="3173" t="s">
        <v>2549</v>
      </c>
      <c r="Z7" s="3174"/>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2555</v>
      </c>
      <c r="Q9" s="1795"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2560</v>
      </c>
      <c r="Q14" s="1810" t="str">
        <f t="shared" si="6"/>
        <v>交通便捷度</v>
      </c>
      <c r="R14" s="774" t="s">
        <v>17</v>
      </c>
      <c r="S14" s="775">
        <f t="shared" si="0"/>
        <v>100</v>
      </c>
      <c r="T14" s="774" t="s">
        <v>17</v>
      </c>
      <c r="U14" s="775">
        <f t="shared" si="1"/>
        <v>100</v>
      </c>
      <c r="V14" s="774" t="s">
        <v>17</v>
      </c>
      <c r="W14" s="775">
        <f t="shared" si="2"/>
        <v>100</v>
      </c>
      <c r="X14" s="1813"/>
      <c r="Y14" s="3207"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1"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2565</v>
      </c>
      <c r="Q32" s="1810">
        <f t="shared" si="11"/>
        <v>111</v>
      </c>
      <c r="R32" s="774" t="s">
        <v>17</v>
      </c>
      <c r="S32" s="775">
        <f t="shared" si="12"/>
        <v>100</v>
      </c>
      <c r="T32" s="774" t="s">
        <v>17</v>
      </c>
      <c r="U32" s="775">
        <f t="shared" si="13"/>
        <v>100</v>
      </c>
      <c r="V32" s="774" t="s">
        <v>17</v>
      </c>
      <c r="W32" s="775">
        <f t="shared" si="14"/>
        <v>100</v>
      </c>
      <c r="X32" s="1813"/>
      <c r="Y32" s="3212" t="s">
        <v>2565</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171" t="s">
        <v>2648</v>
      </c>
      <c r="AC4" s="3170" t="s">
        <v>2649</v>
      </c>
    </row>
    <row r="5" spans="1:30"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171"/>
      <c r="AC5" s="3171"/>
    </row>
    <row r="6" spans="1:30" ht="15.75" thickBot="1">
      <c r="A6" s="406"/>
      <c r="B6" s="407"/>
      <c r="C6" s="3183" t="s">
        <v>2546</v>
      </c>
      <c r="D6" s="3184"/>
      <c r="E6" s="3185" t="s">
        <v>2546</v>
      </c>
      <c r="F6" s="3186"/>
      <c r="G6" s="3183" t="s">
        <v>2546</v>
      </c>
      <c r="H6" s="3184"/>
      <c r="I6" s="3183" t="s">
        <v>2546</v>
      </c>
      <c r="J6" s="3184"/>
      <c r="K6" s="610" t="s">
        <v>2547</v>
      </c>
      <c r="L6" s="1130"/>
      <c r="M6" s="1131"/>
      <c r="N6" s="1131"/>
      <c r="O6" s="1131"/>
      <c r="P6" s="3196"/>
      <c r="Q6" s="3197"/>
      <c r="R6" s="3177"/>
      <c r="S6" s="3178"/>
      <c r="T6" s="3198"/>
      <c r="U6" s="3199"/>
      <c r="V6" s="3200"/>
      <c r="W6" s="3200"/>
      <c r="X6" s="1813"/>
      <c r="Y6" s="3198"/>
      <c r="Z6" s="3199"/>
      <c r="AA6" s="3172"/>
      <c r="AB6" s="3172"/>
      <c r="AC6" s="3172"/>
    </row>
    <row r="7" spans="1:30" s="117" customFormat="1" ht="15.75" thickBot="1">
      <c r="A7" s="408" t="s">
        <v>2548</v>
      </c>
      <c r="B7" s="409"/>
      <c r="C7" s="410">
        <f>'数据-取费表'!B2</f>
        <v>43661</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73" t="s">
        <v>2549</v>
      </c>
      <c r="Q7" s="3201"/>
      <c r="R7" s="770" t="s">
        <v>17</v>
      </c>
      <c r="S7" s="771">
        <f t="shared" ref="S7:S15" si="0">F7</f>
        <v>0</v>
      </c>
      <c r="T7" s="770" t="s">
        <v>17</v>
      </c>
      <c r="U7" s="771">
        <f t="shared" ref="U7:U15" si="1">H7</f>
        <v>0</v>
      </c>
      <c r="V7" s="770" t="s">
        <v>17</v>
      </c>
      <c r="W7" s="771">
        <f t="shared" ref="W7:W15" si="2">J7</f>
        <v>0</v>
      </c>
      <c r="X7" s="772"/>
      <c r="Y7" s="3173" t="s">
        <v>2549</v>
      </c>
      <c r="Z7" s="3174"/>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45" si="3">D8/F8</f>
        <v>#DIV/0!</v>
      </c>
      <c r="AB8" s="773" t="e">
        <f t="shared" ref="AB8:AB45" si="4">D8/H8</f>
        <v>#DIV/0!</v>
      </c>
      <c r="AC8" s="773" t="e">
        <f t="shared" ref="AC8:AC45" si="5">D8/J8</f>
        <v>#DIV/0!</v>
      </c>
    </row>
    <row r="9" spans="1:30" s="117" customFormat="1">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05"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128</v>
      </c>
      <c r="G10" s="463"/>
      <c r="H10" s="136">
        <f>ROUND(100/'数据-取费表'!G16,0)</f>
        <v>128</v>
      </c>
      <c r="I10" s="463"/>
      <c r="J10" s="136">
        <f>ROUND(100/'数据-取费表'!G16,0)</f>
        <v>128</v>
      </c>
      <c r="K10" s="672"/>
      <c r="L10" s="1135"/>
      <c r="M10" s="1136"/>
      <c r="N10" s="1136"/>
      <c r="O10" s="1137"/>
      <c r="P10" s="3205"/>
      <c r="Q10" s="1795" t="str">
        <f t="shared" si="6"/>
        <v>土地使用年限（年）</v>
      </c>
      <c r="R10" s="770" t="s">
        <v>17</v>
      </c>
      <c r="S10" s="771">
        <f t="shared" si="0"/>
        <v>128</v>
      </c>
      <c r="T10" s="770" t="s">
        <v>17</v>
      </c>
      <c r="U10" s="771">
        <f t="shared" si="1"/>
        <v>128</v>
      </c>
      <c r="V10" s="770" t="s">
        <v>17</v>
      </c>
      <c r="W10" s="771">
        <f t="shared" si="2"/>
        <v>128</v>
      </c>
      <c r="X10" s="772"/>
      <c r="Y10" s="3020"/>
      <c r="Z10" s="55" t="str">
        <f t="shared" si="7"/>
        <v>土地使用年限（年）</v>
      </c>
      <c r="AA10" s="773">
        <f t="shared" si="3"/>
        <v>0.78125</v>
      </c>
      <c r="AB10" s="773">
        <f t="shared" si="4"/>
        <v>0.78125</v>
      </c>
      <c r="AC10" s="773">
        <f t="shared" si="5"/>
        <v>0.78125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2560</v>
      </c>
      <c r="Q15" s="1810" t="str">
        <f t="shared" si="6"/>
        <v>居住社区成熟度</v>
      </c>
      <c r="R15" s="774" t="s">
        <v>17</v>
      </c>
      <c r="S15" s="775">
        <f t="shared" si="0"/>
        <v>100</v>
      </c>
      <c r="T15" s="774" t="s">
        <v>17</v>
      </c>
      <c r="U15" s="775">
        <f t="shared" si="1"/>
        <v>100</v>
      </c>
      <c r="V15" s="774" t="s">
        <v>17</v>
      </c>
      <c r="W15" s="775">
        <f t="shared" si="2"/>
        <v>100</v>
      </c>
      <c r="X15" s="1813"/>
      <c r="Y15" s="3207" t="s">
        <v>2560</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2565</v>
      </c>
      <c r="Q36" s="1810">
        <f t="shared" si="8"/>
        <v>111</v>
      </c>
      <c r="R36" s="774" t="s">
        <v>17</v>
      </c>
      <c r="S36" s="775">
        <f t="shared" si="10"/>
        <v>100</v>
      </c>
      <c r="T36" s="774" t="s">
        <v>17</v>
      </c>
      <c r="U36" s="775">
        <f t="shared" si="11"/>
        <v>100</v>
      </c>
      <c r="V36" s="774" t="s">
        <v>17</v>
      </c>
      <c r="W36" s="775">
        <f t="shared" si="12"/>
        <v>100</v>
      </c>
      <c r="X36" s="1813"/>
      <c r="Y36" s="3212"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12" t="s">
        <v>2565</v>
      </c>
      <c r="Q42" s="1810" t="str">
        <f t="shared" si="14"/>
        <v>工程地质条件</v>
      </c>
      <c r="R42" s="774" t="s">
        <v>17</v>
      </c>
      <c r="S42" s="775">
        <f t="shared" si="10"/>
        <v>100</v>
      </c>
      <c r="T42" s="774" t="s">
        <v>17</v>
      </c>
      <c r="U42" s="775">
        <f t="shared" si="11"/>
        <v>100</v>
      </c>
      <c r="V42" s="774" t="s">
        <v>17</v>
      </c>
      <c r="W42" s="775">
        <f t="shared" si="12"/>
        <v>100</v>
      </c>
      <c r="X42" s="1813"/>
      <c r="Y42" s="3212"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2720</v>
      </c>
      <c r="B46" s="2708" t="s">
        <v>2756</v>
      </c>
      <c r="C46" s="682" t="s">
        <v>1</v>
      </c>
      <c r="D46" s="481"/>
      <c r="E46" s="482"/>
      <c r="F46" s="483"/>
      <c r="G46" s="484"/>
      <c r="H46" s="485"/>
      <c r="I46" s="482"/>
      <c r="J46" s="485"/>
      <c r="K46" s="783"/>
      <c r="L46" s="1143"/>
      <c r="M46" s="1144"/>
      <c r="N46" s="1131"/>
      <c r="O46" s="1144"/>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188" t="s">
        <v>2764</v>
      </c>
      <c r="H55" s="3234"/>
      <c r="I55" s="144" t="s">
        <v>2765</v>
      </c>
      <c r="J55" s="2711">
        <f>项目基本情况!F35</f>
        <v>0</v>
      </c>
      <c r="K55" s="2712" t="s">
        <v>2766</v>
      </c>
      <c r="L55" s="1106"/>
      <c r="M55" s="1144"/>
      <c r="N55" s="1144"/>
      <c r="O55" s="1144"/>
    </row>
    <row r="56" spans="1:15" s="692" customFormat="1">
      <c r="A56" s="688" t="s">
        <v>2767</v>
      </c>
      <c r="B56" s="689" t="e">
        <f>C48</f>
        <v>#DIV/0!</v>
      </c>
      <c r="C56" s="690">
        <v>1</v>
      </c>
      <c r="D56" s="1163">
        <v>1</v>
      </c>
      <c r="E56" s="690">
        <f>'数据-汇总表'!E8+'数据-汇总表'!E9</f>
        <v>83329.149999999994</v>
      </c>
      <c r="F56" s="1103" t="e">
        <f t="shared" ref="F56:F65" si="15">ROUND(B56*E56/10000,0)</f>
        <v>#DIV/0!</v>
      </c>
      <c r="G56" s="3187"/>
      <c r="H56" s="3205"/>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5"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3"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83329.149999999994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6"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8" t="s">
        <v>2646</v>
      </c>
      <c r="D4" s="3189"/>
      <c r="E4" s="3190" t="s">
        <v>2647</v>
      </c>
      <c r="F4" s="3191"/>
      <c r="G4" s="3188" t="s">
        <v>2648</v>
      </c>
      <c r="H4" s="3189"/>
      <c r="I4" s="3188" t="s">
        <v>2649</v>
      </c>
      <c r="J4" s="3189"/>
      <c r="K4" s="610" t="s">
        <v>2650</v>
      </c>
      <c r="L4" s="1130"/>
      <c r="M4" s="1131"/>
      <c r="N4" s="1131"/>
      <c r="O4" s="1131"/>
      <c r="P4" s="3192" t="s">
        <v>2651</v>
      </c>
      <c r="Q4" s="3193"/>
      <c r="R4" s="3175" t="s">
        <v>2647</v>
      </c>
      <c r="S4" s="3176"/>
      <c r="T4" s="3175" t="s">
        <v>2648</v>
      </c>
      <c r="U4" s="3176"/>
      <c r="V4" s="3200" t="s">
        <v>2649</v>
      </c>
      <c r="W4" s="3200"/>
      <c r="X4" s="1813"/>
      <c r="Y4" s="3175" t="s">
        <v>2651</v>
      </c>
      <c r="Z4" s="3176"/>
      <c r="AA4" s="3170" t="s">
        <v>2647</v>
      </c>
      <c r="AB4" s="3171" t="s">
        <v>2648</v>
      </c>
      <c r="AC4" s="3170" t="s">
        <v>2649</v>
      </c>
    </row>
    <row r="5" spans="1:29" ht="15">
      <c r="A5" s="404"/>
      <c r="B5" s="405"/>
      <c r="C5" s="3181" t="s">
        <v>2542</v>
      </c>
      <c r="D5" s="3182"/>
      <c r="E5" s="3179" t="s">
        <v>2543</v>
      </c>
      <c r="F5" s="3180"/>
      <c r="G5" s="3181" t="s">
        <v>2544</v>
      </c>
      <c r="H5" s="3182"/>
      <c r="I5" s="3181" t="s">
        <v>2545</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236" t="s">
        <v>2797</v>
      </c>
      <c r="D6" s="3237"/>
      <c r="E6" s="3238" t="s">
        <v>2797</v>
      </c>
      <c r="F6" s="3239"/>
      <c r="G6" s="3236" t="s">
        <v>2797</v>
      </c>
      <c r="H6" s="3237"/>
      <c r="I6" s="3236" t="s">
        <v>2797</v>
      </c>
      <c r="J6" s="3237"/>
      <c r="K6" s="610" t="s">
        <v>2547</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2548</v>
      </c>
      <c r="B7" s="409"/>
      <c r="C7" s="410">
        <f>'数据-取费表'!B2</f>
        <v>43661</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73" t="s">
        <v>2549</v>
      </c>
      <c r="Q7" s="3201"/>
      <c r="R7" s="770" t="s">
        <v>17</v>
      </c>
      <c r="S7" s="771">
        <f t="shared" ref="S7:S15" si="0">F7</f>
        <v>0</v>
      </c>
      <c r="T7" s="770" t="s">
        <v>17</v>
      </c>
      <c r="U7" s="771">
        <f t="shared" ref="U7:U15" si="1">H7</f>
        <v>0</v>
      </c>
      <c r="V7" s="770" t="s">
        <v>17</v>
      </c>
      <c r="W7" s="771">
        <f t="shared" ref="W7:W15" si="2">J7</f>
        <v>0</v>
      </c>
      <c r="X7" s="772"/>
      <c r="Y7" s="3173" t="s">
        <v>2549</v>
      </c>
      <c r="Z7" s="3174"/>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3" t="s">
        <v>2552</v>
      </c>
      <c r="Q8" s="3174"/>
      <c r="R8" s="770" t="s">
        <v>17</v>
      </c>
      <c r="S8" s="771">
        <f t="shared" si="0"/>
        <v>0</v>
      </c>
      <c r="T8" s="770" t="s">
        <v>17</v>
      </c>
      <c r="U8" s="771">
        <f t="shared" si="1"/>
        <v>0</v>
      </c>
      <c r="V8" s="770" t="s">
        <v>17</v>
      </c>
      <c r="W8" s="771">
        <f t="shared" si="2"/>
        <v>0</v>
      </c>
      <c r="X8" s="772"/>
      <c r="Y8" s="3173" t="s">
        <v>2552</v>
      </c>
      <c r="Z8" s="3174"/>
      <c r="AA8" s="773" t="e">
        <f t="shared" ref="AA8:AA40" si="3">D8/F8</f>
        <v>#DIV/0!</v>
      </c>
      <c r="AB8" s="773" t="e">
        <f t="shared" ref="AB8:AB40" si="4">D8/H8</f>
        <v>#DIV/0!</v>
      </c>
      <c r="AC8" s="773" t="e">
        <f t="shared" ref="AC8:AC40" si="5">D8/J8</f>
        <v>#DIV/0!</v>
      </c>
    </row>
    <row r="9" spans="1:29" s="117" customFormat="1">
      <c r="A9" s="415" t="s">
        <v>2553</v>
      </c>
      <c r="B9" s="71" t="s">
        <v>2554</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05"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128</v>
      </c>
      <c r="G10" s="432"/>
      <c r="H10" s="136">
        <f>ROUND(100/'数据-取费表'!G16,0)</f>
        <v>128</v>
      </c>
      <c r="I10" s="432"/>
      <c r="J10" s="136">
        <f>ROUND(100/'数据-取费表'!G16,0)</f>
        <v>128</v>
      </c>
      <c r="K10" s="672"/>
      <c r="L10" s="1135"/>
      <c r="M10" s="1136"/>
      <c r="N10" s="1136"/>
      <c r="O10" s="1137"/>
      <c r="P10" s="3205"/>
      <c r="Q10" s="1795" t="str">
        <f t="shared" si="6"/>
        <v>土地使用年限（年）</v>
      </c>
      <c r="R10" s="770" t="s">
        <v>17</v>
      </c>
      <c r="S10" s="771">
        <f t="shared" si="0"/>
        <v>128</v>
      </c>
      <c r="T10" s="770" t="s">
        <v>17</v>
      </c>
      <c r="U10" s="771">
        <f t="shared" si="1"/>
        <v>128</v>
      </c>
      <c r="V10" s="770" t="s">
        <v>17</v>
      </c>
      <c r="W10" s="771">
        <f t="shared" si="2"/>
        <v>128</v>
      </c>
      <c r="X10" s="772"/>
      <c r="Y10" s="3020"/>
      <c r="Z10" s="55" t="str">
        <f t="shared" si="7"/>
        <v>土地使用年限（年）</v>
      </c>
      <c r="AA10" s="773">
        <f t="shared" si="3"/>
        <v>0.78125</v>
      </c>
      <c r="AB10" s="773">
        <f t="shared" si="4"/>
        <v>0.78125</v>
      </c>
      <c r="AC10" s="773">
        <f t="shared" si="5"/>
        <v>0.78125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2560</v>
      </c>
      <c r="Q15" s="1810" t="str">
        <f t="shared" si="6"/>
        <v>产业集聚程度</v>
      </c>
      <c r="R15" s="774" t="s">
        <v>17</v>
      </c>
      <c r="S15" s="775">
        <f t="shared" si="0"/>
        <v>100</v>
      </c>
      <c r="T15" s="774" t="s">
        <v>17</v>
      </c>
      <c r="U15" s="775">
        <f t="shared" si="1"/>
        <v>100</v>
      </c>
      <c r="V15" s="774" t="s">
        <v>17</v>
      </c>
      <c r="W15" s="775">
        <f t="shared" si="2"/>
        <v>100</v>
      </c>
      <c r="X15" s="1813"/>
      <c r="Y15" s="3207" t="s">
        <v>2560</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2748</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2565</v>
      </c>
      <c r="Q32" s="1810">
        <f t="shared" si="8"/>
        <v>111</v>
      </c>
      <c r="R32" s="774" t="s">
        <v>17</v>
      </c>
      <c r="S32" s="775">
        <f t="shared" si="10"/>
        <v>100</v>
      </c>
      <c r="T32" s="774" t="s">
        <v>17</v>
      </c>
      <c r="U32" s="775">
        <f t="shared" si="11"/>
        <v>100</v>
      </c>
      <c r="V32" s="774" t="s">
        <v>17</v>
      </c>
      <c r="W32" s="775">
        <f t="shared" si="12"/>
        <v>100</v>
      </c>
      <c r="X32" s="1813"/>
      <c r="Y32" s="3212" t="s">
        <v>2565</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2752</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2754</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2755</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12" t="s">
        <v>2565</v>
      </c>
      <c r="Q37" s="1810" t="str">
        <f t="shared" si="14"/>
        <v>工程地质条件</v>
      </c>
      <c r="R37" s="774" t="s">
        <v>17</v>
      </c>
      <c r="S37" s="775">
        <f t="shared" si="10"/>
        <v>100</v>
      </c>
      <c r="T37" s="774" t="s">
        <v>17</v>
      </c>
      <c r="U37" s="775">
        <f t="shared" si="11"/>
        <v>100</v>
      </c>
      <c r="V37" s="774" t="s">
        <v>17</v>
      </c>
      <c r="W37" s="775">
        <f t="shared" si="12"/>
        <v>100</v>
      </c>
      <c r="X37" s="1813"/>
      <c r="Y37" s="3212"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2720</v>
      </c>
      <c r="B41" s="2708" t="s">
        <v>2800</v>
      </c>
      <c r="C41" s="682" t="s">
        <v>1</v>
      </c>
      <c r="D41" s="481"/>
      <c r="E41" s="482"/>
      <c r="F41" s="483"/>
      <c r="G41" s="484"/>
      <c r="H41" s="485"/>
      <c r="I41" s="482"/>
      <c r="J41" s="485"/>
      <c r="K41" s="783"/>
      <c r="L41" s="1143"/>
      <c r="M41" s="1131"/>
      <c r="N41" s="1131"/>
      <c r="O41" s="1144"/>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188" t="s">
        <v>2764</v>
      </c>
      <c r="H50" s="3234"/>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83329.149999999994</v>
      </c>
      <c r="F51" s="691" t="e">
        <f t="shared" ref="F51:F60" si="15">ROUND(B51*E51/10000,0)</f>
        <v>#DIV/0!</v>
      </c>
      <c r="G51" s="3187"/>
      <c r="H51" s="3205"/>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77043.08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3002</v>
      </c>
    </row>
    <row r="2" spans="1:5" ht="15.75">
      <c r="A2" s="2906" t="s">
        <v>2994</v>
      </c>
      <c r="B2" s="2907">
        <f ca="1">SUMIF(B6:B13,"&lt;&gt;#ref!",B6:B13)</f>
        <v>6391</v>
      </c>
      <c r="C2" s="2906" t="s">
        <v>2995</v>
      </c>
      <c r="D2" s="2906" t="s">
        <v>2996</v>
      </c>
      <c r="E2" s="2907">
        <f ca="1">SUMIF(E6:E13,"&lt;&gt;#ref!",E6:E13)</f>
        <v>83329.149999999994</v>
      </c>
    </row>
    <row r="3" spans="1:5" ht="15.75">
      <c r="A3" s="2906" t="s">
        <v>2997</v>
      </c>
      <c r="B3" s="2907">
        <f ca="1">ROUND(B2*10000/E2,0)</f>
        <v>767</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f ca="1">SUMIF(INDIRECT("'"&amp;A6&amp;"'"&amp;"!A:A"),"总价",INDIRECT("'"&amp;A6&amp;"'"&amp;"!B:B"))</f>
        <v>6391</v>
      </c>
      <c r="C6" s="2906" t="s">
        <v>2995</v>
      </c>
      <c r="D6" s="2908"/>
      <c r="E6" s="2579">
        <f ca="1">SUMIF(INDIRECT("'"&amp;A6&amp;"'"&amp;"!C:C"),"建筑面积",INDIRECT("'"&amp;A6&amp;"'"&amp;"!D:D"))</f>
        <v>83329.149999999994</v>
      </c>
    </row>
    <row r="7" spans="1:5" ht="15.75">
      <c r="A7" s="2911"/>
      <c r="B7" s="2907" t="e">
        <f ca="1">SUMIF(INDIRECT("'"&amp;A7&amp;"'"&amp;"!A:A"),"总价",INDIRECT("'"&amp;A7&amp;"'"&amp;"!B:B"))</f>
        <v>#REF!</v>
      </c>
      <c r="C7" s="2906" t="s">
        <v>2995</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9" t="e">
        <f t="shared" ca="1" si="0"/>
        <v>#REF!</v>
      </c>
    </row>
    <row r="9" spans="1:5" ht="15.75">
      <c r="A9" s="2911"/>
      <c r="B9" s="2907" t="e">
        <f t="shared" ca="1" si="1"/>
        <v>#REF!</v>
      </c>
      <c r="C9" s="2906" t="s">
        <v>2995</v>
      </c>
      <c r="D9" s="2908"/>
      <c r="E9" s="2579" t="e">
        <f t="shared" ca="1" si="0"/>
        <v>#REF!</v>
      </c>
    </row>
    <row r="10" spans="1:5" ht="15.75">
      <c r="A10" s="2911"/>
      <c r="B10" s="2907" t="e">
        <f t="shared" ca="1" si="1"/>
        <v>#REF!</v>
      </c>
      <c r="C10" s="2906" t="s">
        <v>2995</v>
      </c>
      <c r="D10" s="2908"/>
      <c r="E10" s="2579" t="e">
        <f t="shared" ca="1" si="0"/>
        <v>#REF!</v>
      </c>
    </row>
    <row r="11" spans="1:5" ht="15.75">
      <c r="A11" s="2911"/>
      <c r="B11" s="2907" t="e">
        <f t="shared" ca="1" si="1"/>
        <v>#REF!</v>
      </c>
      <c r="C11" s="2906" t="s">
        <v>2995</v>
      </c>
      <c r="D11" s="2908"/>
      <c r="E11" s="2579" t="e">
        <f t="shared" ca="1" si="0"/>
        <v>#REF!</v>
      </c>
    </row>
    <row r="12" spans="1:5" ht="15.75">
      <c r="A12" s="2911"/>
      <c r="B12" s="2907" t="e">
        <f t="shared" ca="1" si="1"/>
        <v>#REF!</v>
      </c>
      <c r="C12" s="2906" t="s">
        <v>2995</v>
      </c>
      <c r="D12" s="2908"/>
      <c r="E12" s="2579" t="e">
        <f t="shared" ca="1" si="0"/>
        <v>#REF!</v>
      </c>
    </row>
    <row r="13" spans="1:5" ht="15.75">
      <c r="A13" s="2911"/>
      <c r="B13" s="2907" t="e">
        <f t="shared" ca="1" si="1"/>
        <v>#REF!</v>
      </c>
      <c r="C13" s="2906" t="s">
        <v>2995</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Z5" sqref="Z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5" t="s">
        <v>1147</v>
      </c>
      <c r="H1" s="3265"/>
      <c r="I1" s="3265"/>
      <c r="J1" s="3265"/>
      <c r="K1" s="3265"/>
      <c r="L1" s="3265"/>
      <c r="N1" s="3265" t="s">
        <v>1148</v>
      </c>
      <c r="O1" s="3265"/>
      <c r="P1" s="3265"/>
      <c r="Q1" s="3265"/>
      <c r="R1" s="1446"/>
      <c r="S1" s="3265" t="s">
        <v>1149</v>
      </c>
      <c r="T1" s="3265"/>
      <c r="U1" s="3265"/>
      <c r="V1" s="3265"/>
      <c r="X1" s="3264" t="s">
        <v>1150</v>
      </c>
      <c r="Y1" s="3265"/>
      <c r="Z1" s="3265"/>
      <c r="AA1" s="3265"/>
      <c r="AB1" s="3265"/>
      <c r="AD1" s="3264" t="s">
        <v>1151</v>
      </c>
      <c r="AE1" s="3265"/>
      <c r="AF1" s="3265"/>
      <c r="AG1" s="3265"/>
      <c r="AH1" s="326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3037</v>
      </c>
      <c r="B3" s="2923"/>
      <c r="C3" s="2923"/>
      <c r="D3" s="2924"/>
      <c r="E3" s="2924"/>
      <c r="F3" s="2923"/>
      <c r="G3" s="2925"/>
      <c r="H3" s="2926"/>
      <c r="I3" s="2927">
        <f>ROUND(AVERAGE($I4:$I27),2)</f>
        <v>2.04</v>
      </c>
      <c r="J3" s="2927">
        <f>ROUND(AVERAGE($J4:$J27),2)</f>
        <v>1.44</v>
      </c>
      <c r="K3" s="2927">
        <f>ROUND(AVERAGE($K4:$K27),2)</f>
        <v>2.23</v>
      </c>
      <c r="L3" s="2927">
        <f>ROUND(AVERAGE($L4:$L27),2)</f>
        <v>1.4</v>
      </c>
      <c r="N3" s="2925"/>
      <c r="O3" s="2928"/>
      <c r="P3" s="2928"/>
      <c r="Q3" s="2928"/>
      <c r="R3" s="2928"/>
      <c r="S3" s="2925"/>
      <c r="T3" s="2928"/>
      <c r="U3" s="2928"/>
      <c r="V3" s="2928"/>
      <c r="W3" s="2920"/>
      <c r="X3" s="2929">
        <f>ROUND(SUMPRODUCT(PRODUCT(1+N3:N$26)),4)</f>
        <v>1.5422</v>
      </c>
      <c r="Y3" s="2929">
        <f>ROUND(SUMPRODUCT(PRODUCT(1+O3:O$26)),4)</f>
        <v>1.3557999999999999</v>
      </c>
      <c r="Z3" s="2929">
        <f t="shared" ref="Z3:Z24" si="0">Y3</f>
        <v>1.3557999999999999</v>
      </c>
      <c r="AA3" s="2929">
        <f>ROUND(SUMPRODUCT(PRODUCT(1+P3:P$26)),4)</f>
        <v>1.6036999999999999</v>
      </c>
      <c r="AB3" s="2929">
        <f>ROUND(SUMPRODUCT(PRODUCT(1+Q3:Q$26)),4)</f>
        <v>1.3573</v>
      </c>
      <c r="AD3" s="2930">
        <f>ROUND(AVERAGE(I3:I$27)/100,4)</f>
        <v>2.0400000000000001E-2</v>
      </c>
      <c r="AE3" s="2930">
        <f>ROUND(AVERAGE(J3:J$27)/100,4)</f>
        <v>1.44E-2</v>
      </c>
      <c r="AF3" s="2930">
        <f t="shared" ref="AF3:AF25" si="1">AE3</f>
        <v>1.44E-2</v>
      </c>
      <c r="AG3" s="2930">
        <f>ROUND(AVERAGE(K3:K$27)/100,4)</f>
        <v>2.23E-2</v>
      </c>
      <c r="AH3" s="2930">
        <f>ROUND(AVERAGE(L3:L$27)/100,4)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1">
        <v>2019</v>
      </c>
      <c r="H5" s="1730">
        <v>3</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1">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5">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2">
        <f t="shared" ref="B8" si="35">B9*(1+N8)</f>
        <v>464.37293017158942</v>
      </c>
      <c r="C8" s="2952">
        <f t="shared" ref="C8" si="36">C9*(1+O8)</f>
        <v>344.73679941385956</v>
      </c>
      <c r="D8" s="2952">
        <f t="shared" ref="D8" si="37">C8</f>
        <v>344.73679941385956</v>
      </c>
      <c r="E8" s="2952">
        <f t="shared" ref="E8" si="38">E9*(1+P8)</f>
        <v>663.2377795103107</v>
      </c>
      <c r="F8" s="2953">
        <f t="shared" ref="F8" si="39">F9*(1+Q8)</f>
        <v>304.75936311478398</v>
      </c>
      <c r="G8" s="326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6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6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6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6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6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6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6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6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6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6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6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6" t="s">
        <v>3005</v>
      </c>
      <c r="D1" s="3277"/>
      <c r="E1" s="3277"/>
      <c r="F1" s="3277"/>
      <c r="G1" s="3277"/>
      <c r="H1" s="3277"/>
      <c r="I1" s="3277"/>
      <c r="J1" s="3277"/>
      <c r="K1" s="3277"/>
      <c r="L1" s="3277"/>
      <c r="M1" s="3277"/>
      <c r="N1" s="3277"/>
      <c r="O1" s="3277"/>
      <c r="P1" s="3277"/>
      <c r="Q1" s="3277"/>
      <c r="R1" s="3277"/>
      <c r="S1" s="3278"/>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3014</v>
      </c>
      <c r="B17" s="2913"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5" t="s">
        <v>3018</v>
      </c>
      <c r="E20" s="1793"/>
      <c r="F20" s="1204" t="e">
        <f ca="1">SUMIF(INDIRECT("'"&amp;H20&amp;"'"&amp;"!A:A"),"承租人权益价值",INDIRECT("'"&amp;H20&amp;"'"&amp;"!c:c"))</f>
        <v>#REF!</v>
      </c>
      <c r="G20" s="1204" t="s">
        <v>3019</v>
      </c>
      <c r="H20" s="2916"/>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5" t="s">
        <v>33</v>
      </c>
      <c r="D22" s="3056"/>
      <c r="E22" s="3056"/>
      <c r="F22" s="3056"/>
      <c r="G22" s="3056"/>
      <c r="H22" s="3056"/>
      <c r="I22" s="3056"/>
      <c r="J22" s="3056"/>
      <c r="K22" s="3056"/>
      <c r="L22" s="3056"/>
      <c r="M22" s="3056"/>
      <c r="N22" s="3056"/>
      <c r="O22" s="3056"/>
      <c r="P22" s="3056"/>
      <c r="Q22" s="3275"/>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1"/>
      <c r="B4" s="2958" t="s">
        <v>1625</v>
      </c>
      <c r="C4" s="2958"/>
      <c r="D4" s="2958"/>
      <c r="E4" s="1961"/>
    </row>
    <row r="5" spans="1:5" ht="16.5" thickTop="1">
      <c r="A5" s="1959"/>
      <c r="B5" s="2956" t="s">
        <v>1617</v>
      </c>
      <c r="C5" s="1962" t="s">
        <v>1618</v>
      </c>
      <c r="D5" s="1040">
        <f ca="1">结果表!H101</f>
        <v>30140</v>
      </c>
      <c r="E5" s="1959"/>
    </row>
    <row r="6" spans="1:5" ht="15.75">
      <c r="A6" s="1959"/>
      <c r="B6" s="2956"/>
      <c r="C6" s="1962" t="s">
        <v>1619</v>
      </c>
      <c r="D6" s="1040" t="str">
        <f ca="1">NUMBERSTRING(INT(D5*10000),2)&amp;"元整"</f>
        <v>叁亿零壹佰肆拾万元整</v>
      </c>
      <c r="E6" s="1959"/>
    </row>
    <row r="7" spans="1:5" ht="15.75">
      <c r="A7" s="1959"/>
      <c r="B7" s="2961"/>
      <c r="C7" s="1963" t="s">
        <v>1620</v>
      </c>
      <c r="D7" s="1041">
        <f ca="1">结果表!H102</f>
        <v>3617</v>
      </c>
      <c r="E7" s="1959"/>
    </row>
    <row r="8" spans="1:5" ht="15.75">
      <c r="A8" s="1959"/>
      <c r="B8" s="2962" t="str">
        <f>结果表!E103</f>
        <v>2.估价师知悉的法定优先受偿款</v>
      </c>
      <c r="C8" s="1964" t="s">
        <v>1621</v>
      </c>
      <c r="D8" s="1041">
        <f>结果表!H103</f>
        <v>0</v>
      </c>
      <c r="E8" s="1959"/>
    </row>
    <row r="9" spans="1:5" ht="15.75">
      <c r="A9" s="1959"/>
      <c r="B9" s="2964"/>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55" t="str">
        <f>结果表!E107</f>
        <v>3.房地产抵押价值</v>
      </c>
      <c r="C13" s="1967" t="s">
        <v>1618</v>
      </c>
      <c r="D13" s="1043">
        <f ca="1">结果表!H107</f>
        <v>30140</v>
      </c>
      <c r="E13" s="1959"/>
    </row>
    <row r="14" spans="1:5" ht="15.75">
      <c r="A14" s="1959"/>
      <c r="B14" s="2956"/>
      <c r="C14" s="1962" t="s">
        <v>1619</v>
      </c>
      <c r="D14" s="1040" t="str">
        <f ca="1">NUMBERSTRING(INT(D13*10000),2)&amp;"元整"</f>
        <v>叁亿零壹佰肆拾万元整</v>
      </c>
      <c r="E14" s="1959"/>
    </row>
    <row r="15" spans="1:5" ht="15">
      <c r="A15" s="1959"/>
      <c r="B15" s="2961"/>
      <c r="C15" s="1963" t="s">
        <v>1629</v>
      </c>
      <c r="D15" s="1052">
        <f ca="1">结果表!H108</f>
        <v>3617</v>
      </c>
      <c r="E15" s="1959"/>
    </row>
    <row r="16" spans="1:5" ht="15">
      <c r="A16" s="1959"/>
      <c r="B16" s="2962" t="str">
        <f>结果表!E109</f>
        <v>——</v>
      </c>
      <c r="C16" s="1967" t="s">
        <v>1630</v>
      </c>
      <c r="D16" s="1968" t="str">
        <f>结果表!H109</f>
        <v>——</v>
      </c>
      <c r="E16" s="1959"/>
    </row>
    <row r="17" spans="1:5" ht="15.75">
      <c r="A17" s="1959"/>
      <c r="B17" s="2963"/>
      <c r="C17" s="1962" t="s">
        <v>1631</v>
      </c>
      <c r="D17" s="1040" t="e">
        <f>NUMBERSTRING(INT(D16*10000),2)&amp;"元整"</f>
        <v>#VALUE!</v>
      </c>
      <c r="E17" s="1959"/>
    </row>
    <row r="18" spans="1:5" ht="15">
      <c r="A18" s="1959"/>
      <c r="B18" s="2964"/>
      <c r="C18" s="1963" t="s">
        <v>1620</v>
      </c>
      <c r="D18" s="1052" t="str">
        <f>结果表!H110</f>
        <v>——</v>
      </c>
      <c r="E18" s="1959"/>
    </row>
    <row r="19" spans="1:5" ht="15.75">
      <c r="A19" s="1959"/>
      <c r="B19" s="2955" t="str">
        <f>结果表!E111</f>
        <v>——</v>
      </c>
      <c r="C19" s="1967" t="s">
        <v>1618</v>
      </c>
      <c r="D19" s="1041" t="str">
        <f>结果表!H111</f>
        <v>——</v>
      </c>
      <c r="E19" s="1959"/>
    </row>
    <row r="20" spans="1:5" ht="15.75">
      <c r="A20" s="1959"/>
      <c r="B20" s="2956"/>
      <c r="C20" s="1962" t="s">
        <v>1631</v>
      </c>
      <c r="D20" s="1040" t="e">
        <f>NUMBERSTRING(INT(D19*10000),2)&amp;"元整"</f>
        <v>#VALUE!</v>
      </c>
      <c r="E20" s="1959"/>
    </row>
    <row r="21" spans="1:5" ht="15.75" thickBot="1">
      <c r="A21" s="1959"/>
      <c r="B21" s="2957"/>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47628</v>
      </c>
      <c r="C2" s="2" t="s">
        <v>133</v>
      </c>
      <c r="D2" s="243"/>
      <c r="E2" s="243"/>
      <c r="F2" s="243"/>
      <c r="G2" s="243"/>
    </row>
    <row r="3" spans="1:7" s="244" customFormat="1" ht="18" customHeight="1" thickBot="1">
      <c r="A3" s="247" t="s">
        <v>85</v>
      </c>
      <c r="B3" s="248">
        <f ca="1">ROUND(B2*10000/'数据-汇总表'!E3,0)</f>
        <v>5716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1667</v>
      </c>
      <c r="D10" s="1032">
        <f>'数据-汇总表'!E6</f>
        <v>83329.149999999994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1667</v>
      </c>
      <c r="D19" s="1036">
        <f>'数据-汇总表'!E3</f>
        <v>83329.149999999994</v>
      </c>
      <c r="E19" s="255">
        <f>'数据-取费表'!B31</f>
        <v>200</v>
      </c>
      <c r="F19" s="275"/>
      <c r="G19" s="1" t="s">
        <v>1071</v>
      </c>
    </row>
    <row r="20" spans="1:7" s="258" customFormat="1" ht="13.5" customHeight="1">
      <c r="A20" s="948" t="s">
        <v>1054</v>
      </c>
      <c r="B20" s="254" t="s">
        <v>104</v>
      </c>
      <c r="C20" s="276">
        <f>ROUND((C5+C19)*F20,0)</f>
        <v>223</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975</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73</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2250</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2250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27472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18332</v>
      </c>
      <c r="D34" s="261"/>
      <c r="E34" s="264"/>
      <c r="F34" s="301">
        <f>IF('数据-取费表'!B24=0,1,'数据-取费表'!N16)</f>
        <v>1</v>
      </c>
      <c r="G34" s="263" t="s">
        <v>116</v>
      </c>
    </row>
    <row r="35" spans="1:7" ht="13.5" customHeight="1">
      <c r="A35" s="951" t="s">
        <v>796</v>
      </c>
      <c r="B35" s="259" t="s">
        <v>60</v>
      </c>
      <c r="C35" s="264">
        <f>ROUND(C34*F35,0)</f>
        <v>550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1667</v>
      </c>
      <c r="D37" s="261">
        <f>'数据-汇总表'!E3</f>
        <v>83329.149999999994</v>
      </c>
      <c r="E37" s="293">
        <f>'数据-取费表'!B35</f>
        <v>200</v>
      </c>
      <c r="F37" s="303"/>
      <c r="G37" s="305" t="s">
        <v>119</v>
      </c>
    </row>
    <row r="38" spans="1:7" ht="13.5" customHeight="1">
      <c r="A38" s="951" t="s">
        <v>799</v>
      </c>
      <c r="B38" s="259" t="s">
        <v>63</v>
      </c>
      <c r="C38" s="264">
        <f>ROUND(C34*F38,0)</f>
        <v>275</v>
      </c>
      <c r="D38" s="264"/>
      <c r="E38" s="264"/>
      <c r="F38" s="303">
        <f>'数据-取费表'!B36</f>
        <v>1.4999999999999999E-2</v>
      </c>
      <c r="G38" s="263" t="s">
        <v>117</v>
      </c>
    </row>
    <row r="39" spans="1:7" s="258" customFormat="1" ht="13.5" customHeight="1">
      <c r="A39" s="948" t="s">
        <v>783</v>
      </c>
      <c r="B39" s="254" t="s">
        <v>104</v>
      </c>
      <c r="C39" s="276">
        <f>ROUND(C33*F20,0)</f>
        <v>208</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458</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453</v>
      </c>
      <c r="D42" s="282"/>
      <c r="E42" s="282"/>
      <c r="F42" s="283"/>
      <c r="G42" s="3140" t="s">
        <v>121</v>
      </c>
    </row>
    <row r="43" spans="1:7" ht="13.5" customHeight="1">
      <c r="A43" s="951" t="s">
        <v>792</v>
      </c>
      <c r="B43" s="259" t="s">
        <v>1061</v>
      </c>
      <c r="C43" s="282">
        <f ca="1">ROUND(IF('数据-取费表'!B22&lt;=1,C39*F22*'数据-取费表'!B21/2,C39*(POWER((1+F22),'数据-取费表'!B21/2)-1)),0)</f>
        <v>5</v>
      </c>
      <c r="D43" s="282"/>
      <c r="E43" s="282"/>
      <c r="F43" s="283"/>
      <c r="G43" s="3141"/>
    </row>
    <row r="44" spans="1:7" ht="13.5" customHeight="1">
      <c r="A44" s="951" t="s">
        <v>793</v>
      </c>
      <c r="B44" s="259" t="s">
        <v>1063</v>
      </c>
      <c r="C44" s="282">
        <f ca="1">ROUND(IF('数据-取费表'!B22&lt;=1,C40*F22*'数据-取费表'!B21/2,C40*(POWER((1+F22),'数据-取费表'!B21/2)-1)),4)</f>
        <v>2.0000000000000001E-4</v>
      </c>
      <c r="D44" s="282"/>
      <c r="E44" s="282"/>
      <c r="F44" s="283"/>
      <c r="G44" s="3142"/>
    </row>
    <row r="45" spans="1:7" s="258" customFormat="1" ht="13.5" customHeight="1">
      <c r="A45" s="948" t="s">
        <v>786</v>
      </c>
      <c r="B45" s="288" t="s">
        <v>112</v>
      </c>
      <c r="C45" s="289">
        <f>C46</f>
        <v>2103</v>
      </c>
      <c r="D45" s="279">
        <f>C47</f>
        <v>1E-3</v>
      </c>
      <c r="E45" s="280" t="s">
        <v>129</v>
      </c>
      <c r="F45" s="290"/>
      <c r="G45" s="291" t="s">
        <v>1069</v>
      </c>
    </row>
    <row r="46" spans="1:7" s="258" customFormat="1" ht="13.5" customHeight="1">
      <c r="A46" s="951" t="s">
        <v>794</v>
      </c>
      <c r="B46" s="292" t="s">
        <v>1062</v>
      </c>
      <c r="C46" s="293">
        <f>ROUND((C33+C39)*F27,0)</f>
        <v>2103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25195</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20156</v>
      </c>
      <c r="D51" s="276"/>
      <c r="E51" s="276"/>
      <c r="F51" s="308"/>
      <c r="G51" s="278" t="s">
        <v>64</v>
      </c>
    </row>
    <row r="52" spans="1:7" s="252" customFormat="1" ht="16.5" thickBot="1">
      <c r="A52" s="309" t="s">
        <v>65</v>
      </c>
      <c r="B52" s="310"/>
      <c r="C52" s="311">
        <f ca="1">C31+C51</f>
        <v>47628</v>
      </c>
      <c r="D52" s="310"/>
      <c r="E52" s="310"/>
      <c r="F52" s="310"/>
      <c r="G52" s="312"/>
    </row>
    <row r="55" spans="1:7" ht="15">
      <c r="B55" s="314" t="s">
        <v>66</v>
      </c>
      <c r="C55" s="315"/>
    </row>
    <row r="56" spans="1:7">
      <c r="B56" s="317" t="s">
        <v>67</v>
      </c>
      <c r="C56" s="318">
        <f ca="1">ROUND(C51/C52,3)</f>
        <v>0.42299999999999999</v>
      </c>
    </row>
    <row r="57" spans="1:7">
      <c r="B57" s="317" t="s">
        <v>68</v>
      </c>
      <c r="C57" s="319">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43661</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3"/>
  <sheetViews>
    <sheetView topLeftCell="I25" workbookViewId="0">
      <selection activeCell="M43" sqref="M43"/>
    </sheetView>
  </sheetViews>
  <sheetFormatPr defaultRowHeight="12"/>
  <cols>
    <col min="1" max="1" width="2.625" style="3293" customWidth="1"/>
    <col min="2" max="4" width="12.625" style="3293" customWidth="1"/>
    <col min="5" max="8" width="10.625" style="3293" customWidth="1"/>
    <col min="9" max="9" width="12.625" style="3293" customWidth="1"/>
    <col min="10" max="10" width="10.625" style="3350" customWidth="1"/>
    <col min="11" max="11" width="10.625" style="3351" customWidth="1"/>
    <col min="12" max="12" width="26.625" style="3352" customWidth="1"/>
    <col min="13" max="13" width="20.625" style="3293" customWidth="1"/>
    <col min="14" max="14" width="12.625" style="3293" customWidth="1"/>
    <col min="15" max="15" width="9" style="3293"/>
    <col min="16" max="18" width="12.125" style="3294" customWidth="1"/>
    <col min="19" max="19" width="9" style="3293"/>
    <col min="20" max="20" width="10.75" style="3293" bestFit="1" customWidth="1"/>
    <col min="21" max="21" width="13.875" style="3293" bestFit="1" customWidth="1"/>
    <col min="22" max="22" width="11.625" style="3293" bestFit="1" customWidth="1"/>
    <col min="23" max="23" width="12.75" style="3293" bestFit="1" customWidth="1"/>
    <col min="24" max="16384" width="9" style="3293"/>
  </cols>
  <sheetData>
    <row r="1" spans="2:23" s="3285" customFormat="1" ht="30" customHeight="1">
      <c r="B1" s="3284" t="s">
        <v>3075</v>
      </c>
      <c r="C1" s="3284"/>
      <c r="D1" s="3284"/>
      <c r="E1" s="3284"/>
      <c r="F1" s="3284"/>
      <c r="G1" s="3284"/>
      <c r="H1" s="3284"/>
      <c r="I1" s="3284"/>
      <c r="J1" s="3284"/>
      <c r="K1" s="3284"/>
      <c r="L1" s="3284"/>
      <c r="M1" s="3284"/>
      <c r="N1" s="3284"/>
      <c r="P1" s="3286"/>
      <c r="Q1" s="3286"/>
      <c r="R1" s="3286"/>
    </row>
    <row r="2" spans="2:23" ht="20.100000000000001" customHeight="1" thickBot="1">
      <c r="B2" s="3287" t="s">
        <v>3076</v>
      </c>
      <c r="C2" s="3288"/>
      <c r="D2" s="3288"/>
      <c r="E2" s="3288"/>
      <c r="F2" s="3288"/>
      <c r="G2" s="3288"/>
      <c r="H2" s="3288"/>
      <c r="I2" s="3289">
        <v>43586</v>
      </c>
      <c r="J2" s="3290"/>
      <c r="K2" s="3291"/>
      <c r="L2" s="3292"/>
      <c r="M2" s="3288"/>
      <c r="N2" s="3288"/>
    </row>
    <row r="3" spans="2:23" ht="24.95" customHeight="1" thickTop="1">
      <c r="B3" s="3295" t="s">
        <v>3077</v>
      </c>
      <c r="C3" s="3296" t="s">
        <v>3078</v>
      </c>
      <c r="D3" s="3297" t="s">
        <v>3079</v>
      </c>
      <c r="E3" s="3297"/>
      <c r="F3" s="3297"/>
      <c r="G3" s="3297"/>
      <c r="H3" s="3297"/>
      <c r="I3" s="3297"/>
      <c r="J3" s="3298" t="s">
        <v>3080</v>
      </c>
      <c r="K3" s="3298" t="s">
        <v>3081</v>
      </c>
      <c r="L3" s="3299" t="s">
        <v>3082</v>
      </c>
      <c r="M3" s="3300" t="s">
        <v>3083</v>
      </c>
      <c r="N3" s="3301" t="s">
        <v>3084</v>
      </c>
      <c r="P3" s="3296" t="s">
        <v>3085</v>
      </c>
      <c r="Q3" s="3296" t="s">
        <v>3086</v>
      </c>
      <c r="R3" s="3296" t="s">
        <v>3087</v>
      </c>
      <c r="S3" s="3301" t="s">
        <v>3084</v>
      </c>
    </row>
    <row r="4" spans="2:23" ht="24.95" customHeight="1">
      <c r="B4" s="3302"/>
      <c r="C4" s="3303"/>
      <c r="D4" s="3304" t="s">
        <v>3088</v>
      </c>
      <c r="E4" s="3304" t="s">
        <v>3089</v>
      </c>
      <c r="F4" s="3304" t="s">
        <v>3090</v>
      </c>
      <c r="G4" s="3304" t="s">
        <v>3091</v>
      </c>
      <c r="H4" s="3304" t="s">
        <v>3092</v>
      </c>
      <c r="I4" s="3304" t="s">
        <v>3093</v>
      </c>
      <c r="J4" s="3305"/>
      <c r="K4" s="3305"/>
      <c r="L4" s="3306"/>
      <c r="M4" s="3307"/>
      <c r="N4" s="3308"/>
      <c r="P4" s="3303"/>
      <c r="Q4" s="3303"/>
      <c r="R4" s="3303"/>
      <c r="S4" s="3308"/>
    </row>
    <row r="5" spans="2:23" ht="24.95" customHeight="1">
      <c r="B5" s="3309" t="s">
        <v>3094</v>
      </c>
      <c r="C5" s="3310">
        <v>4525.71</v>
      </c>
      <c r="D5" s="3311">
        <v>3280.89</v>
      </c>
      <c r="E5" s="3311">
        <v>547.66</v>
      </c>
      <c r="F5" s="3310"/>
      <c r="G5" s="3311">
        <v>697.16</v>
      </c>
      <c r="H5" s="3310"/>
      <c r="I5" s="3310">
        <v>4525.71</v>
      </c>
      <c r="J5" s="3312">
        <v>1</v>
      </c>
      <c r="K5" s="3313">
        <v>0.95122848685626715</v>
      </c>
      <c r="L5" s="3314" t="s">
        <v>3095</v>
      </c>
      <c r="M5" s="3315" t="s">
        <v>3096</v>
      </c>
      <c r="N5" s="3316"/>
      <c r="P5" s="3317">
        <v>1</v>
      </c>
      <c r="Q5" s="3317">
        <v>0.42</v>
      </c>
      <c r="R5" s="3317">
        <v>1.42</v>
      </c>
      <c r="S5" s="3318"/>
      <c r="T5" s="3294">
        <f>P5*I5*365/10000</f>
        <v>165.18841499999999</v>
      </c>
      <c r="U5" s="3294">
        <f>Q5*I5*365/10000</f>
        <v>69.379134300000004</v>
      </c>
      <c r="V5" s="3294"/>
      <c r="W5" s="3294"/>
    </row>
    <row r="6" spans="2:23" ht="24.95" customHeight="1">
      <c r="B6" s="3309" t="s">
        <v>3097</v>
      </c>
      <c r="C6" s="3310">
        <v>4259.95</v>
      </c>
      <c r="D6" s="3310"/>
      <c r="E6" s="3310"/>
      <c r="F6" s="3310"/>
      <c r="G6" s="3310"/>
      <c r="H6" s="3310"/>
      <c r="I6" s="3310">
        <v>0</v>
      </c>
      <c r="J6" s="3312">
        <v>0</v>
      </c>
      <c r="K6" s="3313"/>
      <c r="L6" s="3314"/>
      <c r="M6" s="3315"/>
      <c r="N6" s="3316"/>
      <c r="P6" s="3317" t="s">
        <v>3098</v>
      </c>
      <c r="Q6" s="3317" t="s">
        <v>3098</v>
      </c>
      <c r="R6" s="3317" t="s">
        <v>3098</v>
      </c>
      <c r="S6" s="3318"/>
      <c r="T6" s="3294"/>
      <c r="U6" s="3294"/>
      <c r="V6" s="3294"/>
      <c r="W6" s="3294"/>
    </row>
    <row r="7" spans="2:23" ht="24.95" customHeight="1">
      <c r="B7" s="3309" t="s">
        <v>3099</v>
      </c>
      <c r="C7" s="3310">
        <v>4219.32</v>
      </c>
      <c r="D7" s="3310">
        <v>3569.76</v>
      </c>
      <c r="E7" s="3310"/>
      <c r="F7" s="3310"/>
      <c r="G7" s="3310">
        <v>649.55999999999995</v>
      </c>
      <c r="H7" s="3310"/>
      <c r="I7" s="3310">
        <v>4219.32</v>
      </c>
      <c r="J7" s="3312">
        <v>1</v>
      </c>
      <c r="K7" s="3313"/>
      <c r="L7" s="3314" t="s">
        <v>3100</v>
      </c>
      <c r="M7" s="3315" t="s">
        <v>3101</v>
      </c>
      <c r="N7" s="3316"/>
      <c r="P7" s="3317">
        <v>1.03</v>
      </c>
      <c r="Q7" s="3317">
        <v>0.44</v>
      </c>
      <c r="R7" s="3317">
        <v>1.47</v>
      </c>
      <c r="S7" s="3318"/>
      <c r="T7" s="3294">
        <f>P7*I7*365/10000</f>
        <v>158.62533539999998</v>
      </c>
      <c r="U7" s="3294">
        <f>Q7*I7*365/10000</f>
        <v>67.762279199999995</v>
      </c>
      <c r="V7" s="3294"/>
      <c r="W7" s="3294"/>
    </row>
    <row r="8" spans="2:23" ht="24.95" customHeight="1">
      <c r="B8" s="3319" t="s">
        <v>3102</v>
      </c>
      <c r="C8" s="3320">
        <v>3999.95</v>
      </c>
      <c r="D8" s="3321">
        <v>3264.23</v>
      </c>
      <c r="E8" s="3321">
        <v>547.66</v>
      </c>
      <c r="F8" s="3321">
        <v>171.4</v>
      </c>
      <c r="G8" s="3321"/>
      <c r="H8" s="3321"/>
      <c r="I8" s="3321">
        <v>3983.29</v>
      </c>
      <c r="J8" s="3322">
        <v>0.99583494793684924</v>
      </c>
      <c r="K8" s="3313"/>
      <c r="L8" s="3314" t="s">
        <v>3103</v>
      </c>
      <c r="M8" s="3315" t="s">
        <v>3104</v>
      </c>
      <c r="N8" s="3323"/>
      <c r="P8" s="3317">
        <v>0.4</v>
      </c>
      <c r="Q8" s="3317">
        <v>0.13</v>
      </c>
      <c r="R8" s="3317">
        <v>0.53</v>
      </c>
      <c r="S8" s="3318"/>
      <c r="T8" s="3294">
        <f t="shared" ref="T8:T29" si="0">P8*I8*365/10000</f>
        <v>58.156033999999998</v>
      </c>
      <c r="U8" s="3294">
        <f t="shared" ref="U8:U29" si="1">Q8*I8*365/10000</f>
        <v>18.900711050000002</v>
      </c>
      <c r="V8" s="3294"/>
      <c r="W8" s="3294"/>
    </row>
    <row r="9" spans="2:23" ht="24.95" customHeight="1">
      <c r="B9" s="3319" t="s">
        <v>3105</v>
      </c>
      <c r="C9" s="3321">
        <v>3764.6</v>
      </c>
      <c r="D9" s="3321">
        <v>3574.95</v>
      </c>
      <c r="E9" s="3321"/>
      <c r="F9" s="3321">
        <v>171.4</v>
      </c>
      <c r="G9" s="3321"/>
      <c r="H9" s="3321"/>
      <c r="I9" s="3321">
        <v>3746.35</v>
      </c>
      <c r="J9" s="3322">
        <v>0.99515220740583332</v>
      </c>
      <c r="K9" s="3313"/>
      <c r="L9" s="3314" t="s">
        <v>3103</v>
      </c>
      <c r="M9" s="3315" t="s">
        <v>3104</v>
      </c>
      <c r="N9" s="3323"/>
      <c r="P9" s="3317">
        <v>0.4</v>
      </c>
      <c r="Q9" s="3317">
        <v>0.13</v>
      </c>
      <c r="R9" s="3317">
        <v>0.53</v>
      </c>
      <c r="S9" s="3318"/>
      <c r="T9" s="3294">
        <f t="shared" si="0"/>
        <v>54.696709999999996</v>
      </c>
      <c r="U9" s="3294">
        <f t="shared" si="1"/>
        <v>17.776430749999999</v>
      </c>
      <c r="V9" s="3294"/>
      <c r="W9" s="3294"/>
    </row>
    <row r="10" spans="2:23" ht="24.95" customHeight="1">
      <c r="B10" s="3319" t="s">
        <v>3106</v>
      </c>
      <c r="C10" s="3321">
        <v>3752.08</v>
      </c>
      <c r="D10" s="3321">
        <v>3562.5</v>
      </c>
      <c r="E10" s="3321"/>
      <c r="F10" s="3321">
        <v>171.4</v>
      </c>
      <c r="G10" s="3321"/>
      <c r="H10" s="3321"/>
      <c r="I10" s="3321">
        <v>3733.9</v>
      </c>
      <c r="J10" s="3322">
        <v>0.99515468753331493</v>
      </c>
      <c r="K10" s="3313"/>
      <c r="L10" s="3314" t="s">
        <v>3103</v>
      </c>
      <c r="M10" s="3315" t="s">
        <v>3104</v>
      </c>
      <c r="N10" s="3323"/>
      <c r="P10" s="3317">
        <v>0.4</v>
      </c>
      <c r="Q10" s="3317">
        <v>0.13</v>
      </c>
      <c r="R10" s="3317">
        <v>0.53</v>
      </c>
      <c r="S10" s="3318"/>
      <c r="T10" s="3294">
        <f t="shared" si="0"/>
        <v>54.514940000000003</v>
      </c>
      <c r="U10" s="3294">
        <f t="shared" si="1"/>
        <v>17.717355500000004</v>
      </c>
      <c r="V10" s="3294"/>
      <c r="W10" s="3294"/>
    </row>
    <row r="11" spans="2:23" s="3330" customFormat="1" ht="24.95" customHeight="1">
      <c r="B11" s="3324" t="s">
        <v>3107</v>
      </c>
      <c r="C11" s="3325">
        <v>4222.04</v>
      </c>
      <c r="D11" s="3325">
        <v>3572.51</v>
      </c>
      <c r="E11" s="3325"/>
      <c r="F11" s="3325"/>
      <c r="G11" s="3325">
        <v>649.53</v>
      </c>
      <c r="H11" s="3325"/>
      <c r="I11" s="3325">
        <v>4222.04</v>
      </c>
      <c r="J11" s="3326">
        <v>1</v>
      </c>
      <c r="K11" s="3313"/>
      <c r="L11" s="3327" t="s">
        <v>3108</v>
      </c>
      <c r="M11" s="3328" t="s">
        <v>3109</v>
      </c>
      <c r="N11" s="3329"/>
      <c r="P11" s="3317">
        <v>0.38</v>
      </c>
      <c r="Q11" s="3317">
        <v>0.32</v>
      </c>
      <c r="R11" s="3317">
        <v>0.7</v>
      </c>
      <c r="S11" s="3331"/>
      <c r="T11" s="3294">
        <f t="shared" si="0"/>
        <v>58.559694799999995</v>
      </c>
      <c r="U11" s="3294">
        <f t="shared" si="1"/>
        <v>49.3134272</v>
      </c>
      <c r="V11" s="3332"/>
      <c r="W11" s="3332"/>
    </row>
    <row r="12" spans="2:23" s="3330" customFormat="1" ht="24.95" customHeight="1">
      <c r="B12" s="3324" t="s">
        <v>3110</v>
      </c>
      <c r="C12" s="3325">
        <v>3419.78</v>
      </c>
      <c r="D12" s="3325">
        <v>2893.67</v>
      </c>
      <c r="E12" s="3325"/>
      <c r="F12" s="3333"/>
      <c r="G12" s="3325">
        <v>526.11</v>
      </c>
      <c r="H12" s="3325"/>
      <c r="I12" s="3325">
        <v>3419.78</v>
      </c>
      <c r="J12" s="3326">
        <v>1</v>
      </c>
      <c r="K12" s="3313"/>
      <c r="L12" s="3327" t="s">
        <v>3108</v>
      </c>
      <c r="M12" s="3328" t="s">
        <v>3109</v>
      </c>
      <c r="N12" s="3329"/>
      <c r="P12" s="3317">
        <v>0.38</v>
      </c>
      <c r="Q12" s="3317">
        <v>0.32</v>
      </c>
      <c r="R12" s="3317">
        <v>0.7</v>
      </c>
      <c r="S12" s="3331"/>
      <c r="T12" s="3294">
        <f t="shared" si="0"/>
        <v>47.432348600000012</v>
      </c>
      <c r="U12" s="3294">
        <f t="shared" si="1"/>
        <v>39.943030399999998</v>
      </c>
      <c r="V12" s="3332"/>
      <c r="W12" s="3332"/>
    </row>
    <row r="13" spans="2:23" s="3330" customFormat="1" ht="24.95" customHeight="1">
      <c r="B13" s="3324" t="s">
        <v>3111</v>
      </c>
      <c r="C13" s="3325">
        <v>4528.21</v>
      </c>
      <c r="D13" s="3325">
        <v>3283.42</v>
      </c>
      <c r="E13" s="3325">
        <v>547.66</v>
      </c>
      <c r="F13" s="3325"/>
      <c r="G13" s="3325">
        <v>697.13</v>
      </c>
      <c r="H13" s="3325"/>
      <c r="I13" s="3325">
        <v>4528.21</v>
      </c>
      <c r="J13" s="3326">
        <v>1</v>
      </c>
      <c r="K13" s="3313"/>
      <c r="L13" s="3327" t="s">
        <v>3108</v>
      </c>
      <c r="M13" s="3328" t="s">
        <v>3109</v>
      </c>
      <c r="N13" s="3329"/>
      <c r="P13" s="3317">
        <v>0.38</v>
      </c>
      <c r="Q13" s="3317">
        <v>0.32</v>
      </c>
      <c r="R13" s="3317">
        <v>0.7</v>
      </c>
      <c r="S13" s="3331"/>
      <c r="T13" s="3294">
        <f t="shared" si="0"/>
        <v>62.806272700000008</v>
      </c>
      <c r="U13" s="3294">
        <f t="shared" si="1"/>
        <v>52.889492799999992</v>
      </c>
      <c r="V13" s="3332"/>
      <c r="W13" s="3332"/>
    </row>
    <row r="14" spans="2:23" s="3330" customFormat="1" ht="24.95" customHeight="1">
      <c r="B14" s="3334" t="s">
        <v>3112</v>
      </c>
      <c r="C14" s="3335">
        <v>3754.8799999999997</v>
      </c>
      <c r="D14" s="3335">
        <v>3562.5</v>
      </c>
      <c r="E14" s="3335"/>
      <c r="F14" s="3335">
        <v>171.43</v>
      </c>
      <c r="G14" s="3335"/>
      <c r="H14" s="3335"/>
      <c r="I14" s="3335">
        <v>3733.93</v>
      </c>
      <c r="J14" s="3336">
        <v>0.99442059400034089</v>
      </c>
      <c r="K14" s="3313"/>
      <c r="L14" s="3327" t="s">
        <v>3103</v>
      </c>
      <c r="M14" s="3328" t="s">
        <v>3113</v>
      </c>
      <c r="N14" s="3329"/>
      <c r="P14" s="3317">
        <v>0.4</v>
      </c>
      <c r="Q14" s="3317">
        <v>0.13</v>
      </c>
      <c r="R14" s="3317">
        <v>0.53</v>
      </c>
      <c r="S14" s="3331"/>
      <c r="T14" s="3294">
        <f t="shared" si="0"/>
        <v>54.515378000000005</v>
      </c>
      <c r="U14" s="3294">
        <f t="shared" si="1"/>
        <v>17.717497850000001</v>
      </c>
      <c r="V14" s="3332"/>
      <c r="W14" s="3332"/>
    </row>
    <row r="15" spans="2:23" s="3330" customFormat="1" ht="24.95" customHeight="1">
      <c r="B15" s="3334" t="s">
        <v>3114</v>
      </c>
      <c r="C15" s="3335">
        <v>3019.87</v>
      </c>
      <c r="D15" s="3335">
        <v>2882.72</v>
      </c>
      <c r="E15" s="3335"/>
      <c r="F15" s="3335"/>
      <c r="G15" s="3335">
        <v>137.15</v>
      </c>
      <c r="H15" s="3335"/>
      <c r="I15" s="3335">
        <v>3019.87</v>
      </c>
      <c r="J15" s="3336">
        <v>1</v>
      </c>
      <c r="K15" s="3313"/>
      <c r="L15" s="3327" t="s">
        <v>3115</v>
      </c>
      <c r="M15" s="3328" t="s">
        <v>3116</v>
      </c>
      <c r="N15" s="3329"/>
      <c r="P15" s="3317">
        <v>0.99</v>
      </c>
      <c r="Q15" s="3317">
        <v>7.0000000000000007E-2</v>
      </c>
      <c r="R15" s="3317">
        <v>1.06</v>
      </c>
      <c r="S15" s="3331"/>
      <c r="T15" s="3294">
        <f t="shared" si="0"/>
        <v>109.12300245</v>
      </c>
      <c r="U15" s="3294">
        <f t="shared" si="1"/>
        <v>7.7157678500000006</v>
      </c>
      <c r="V15" s="3332"/>
      <c r="W15" s="3332"/>
    </row>
    <row r="16" spans="2:23" s="3330" customFormat="1" ht="24.95" customHeight="1">
      <c r="B16" s="3334" t="s">
        <v>3117</v>
      </c>
      <c r="C16" s="3335">
        <v>4002.5099999999998</v>
      </c>
      <c r="D16" s="3335">
        <v>3283.42</v>
      </c>
      <c r="E16" s="3335">
        <v>547.66</v>
      </c>
      <c r="F16" s="3335"/>
      <c r="G16" s="3335">
        <v>171.43</v>
      </c>
      <c r="H16" s="3335"/>
      <c r="I16" s="3335">
        <v>4002.5099999999998</v>
      </c>
      <c r="J16" s="3336">
        <v>1</v>
      </c>
      <c r="K16" s="3313"/>
      <c r="L16" s="3327" t="s">
        <v>3115</v>
      </c>
      <c r="M16" s="3328" t="s">
        <v>3116</v>
      </c>
      <c r="N16" s="3329"/>
      <c r="P16" s="3317">
        <v>0.99</v>
      </c>
      <c r="Q16" s="3317">
        <v>7.0000000000000007E-2</v>
      </c>
      <c r="R16" s="3317">
        <v>1.06</v>
      </c>
      <c r="S16" s="3331"/>
      <c r="T16" s="3294">
        <f t="shared" si="0"/>
        <v>144.63069884999999</v>
      </c>
      <c r="U16" s="3294">
        <f t="shared" si="1"/>
        <v>10.22641305</v>
      </c>
      <c r="V16" s="3332"/>
      <c r="W16" s="3332"/>
    </row>
    <row r="17" spans="1:23" ht="24.95" customHeight="1">
      <c r="B17" s="3309" t="s">
        <v>3118</v>
      </c>
      <c r="C17" s="3310">
        <v>3354.66</v>
      </c>
      <c r="D17" s="3310">
        <v>2842.95</v>
      </c>
      <c r="E17" s="3310"/>
      <c r="F17" s="3310"/>
      <c r="G17" s="3310">
        <v>511.7</v>
      </c>
      <c r="H17" s="3310"/>
      <c r="I17" s="3310">
        <v>3354.6499999999996</v>
      </c>
      <c r="J17" s="3312">
        <v>0.99999701907197747</v>
      </c>
      <c r="K17" s="3313"/>
      <c r="L17" s="3314" t="s">
        <v>3119</v>
      </c>
      <c r="M17" s="3315" t="s">
        <v>3120</v>
      </c>
      <c r="N17" s="3323"/>
      <c r="P17" s="3317">
        <v>1.03</v>
      </c>
      <c r="Q17" s="3317">
        <v>0.44</v>
      </c>
      <c r="R17" s="3317">
        <v>1.47</v>
      </c>
      <c r="S17" s="3318"/>
      <c r="T17" s="3294">
        <f t="shared" si="0"/>
        <v>126.11806675</v>
      </c>
      <c r="U17" s="3294">
        <f t="shared" si="1"/>
        <v>53.875678999999991</v>
      </c>
      <c r="V17" s="3294"/>
      <c r="W17" s="3294"/>
    </row>
    <row r="18" spans="1:23" ht="24.95" customHeight="1">
      <c r="B18" s="3309" t="s">
        <v>3121</v>
      </c>
      <c r="C18" s="3310">
        <v>4273.95</v>
      </c>
      <c r="D18" s="3310">
        <v>3622.02</v>
      </c>
      <c r="E18" s="3310"/>
      <c r="F18" s="3310"/>
      <c r="G18" s="3310">
        <v>651.92999999999995</v>
      </c>
      <c r="H18" s="3310"/>
      <c r="I18" s="3310">
        <v>4273.95</v>
      </c>
      <c r="J18" s="3312">
        <v>1</v>
      </c>
      <c r="K18" s="3313"/>
      <c r="L18" s="3314" t="s">
        <v>3119</v>
      </c>
      <c r="M18" s="3315" t="s">
        <v>3120</v>
      </c>
      <c r="N18" s="3323"/>
      <c r="P18" s="3317">
        <v>1.03</v>
      </c>
      <c r="Q18" s="3317">
        <v>0.44</v>
      </c>
      <c r="R18" s="3317">
        <v>1.47</v>
      </c>
      <c r="S18" s="3318"/>
      <c r="T18" s="3294">
        <f t="shared" si="0"/>
        <v>160.67915024999999</v>
      </c>
      <c r="U18" s="3294">
        <f t="shared" si="1"/>
        <v>68.639636999999993</v>
      </c>
      <c r="V18" s="3294"/>
      <c r="W18" s="3294"/>
    </row>
    <row r="19" spans="1:23" ht="24.95" customHeight="1">
      <c r="B19" s="3309" t="s">
        <v>3122</v>
      </c>
      <c r="C19" s="3310">
        <v>4540.82</v>
      </c>
      <c r="D19" s="3310">
        <v>3325.81</v>
      </c>
      <c r="E19" s="3310">
        <v>521.57000000000005</v>
      </c>
      <c r="F19" s="3310"/>
      <c r="G19" s="3310">
        <v>693.44</v>
      </c>
      <c r="H19" s="3310"/>
      <c r="I19" s="3310">
        <v>4540.82</v>
      </c>
      <c r="J19" s="3312">
        <v>1</v>
      </c>
      <c r="K19" s="3313"/>
      <c r="L19" s="3314" t="s">
        <v>3119</v>
      </c>
      <c r="M19" s="3315" t="s">
        <v>3120</v>
      </c>
      <c r="N19" s="3323"/>
      <c r="P19" s="3317">
        <v>1.03</v>
      </c>
      <c r="Q19" s="3317">
        <v>0.44</v>
      </c>
      <c r="R19" s="3317">
        <v>1.47</v>
      </c>
      <c r="S19" s="3318"/>
      <c r="T19" s="3294">
        <f t="shared" si="0"/>
        <v>170.71212790000001</v>
      </c>
      <c r="U19" s="3294">
        <f t="shared" si="1"/>
        <v>72.925569199999998</v>
      </c>
      <c r="V19" s="3294"/>
      <c r="W19" s="3294"/>
    </row>
    <row r="20" spans="1:23" ht="24.95" customHeight="1">
      <c r="B20" s="3319" t="s">
        <v>3123</v>
      </c>
      <c r="C20" s="3321">
        <v>2980.0899999999997</v>
      </c>
      <c r="D20" s="3321">
        <v>2814.55</v>
      </c>
      <c r="E20" s="3321"/>
      <c r="F20" s="3321">
        <v>137.13999999999999</v>
      </c>
      <c r="G20" s="3321"/>
      <c r="H20" s="3321"/>
      <c r="I20" s="3321">
        <v>2951.69</v>
      </c>
      <c r="J20" s="3322">
        <v>0.99047008647389856</v>
      </c>
      <c r="K20" s="3313"/>
      <c r="L20" s="3314" t="s">
        <v>3103</v>
      </c>
      <c r="M20" s="3315" t="s">
        <v>3104</v>
      </c>
      <c r="N20" s="3323"/>
      <c r="P20" s="3317">
        <v>0.4</v>
      </c>
      <c r="Q20" s="3317">
        <v>0.13</v>
      </c>
      <c r="R20" s="3317">
        <v>0.53</v>
      </c>
      <c r="S20" s="3318"/>
      <c r="T20" s="3294">
        <f t="shared" si="0"/>
        <v>43.094674000000005</v>
      </c>
      <c r="U20" s="3294">
        <f t="shared" si="1"/>
        <v>14.005769050000003</v>
      </c>
      <c r="V20" s="3294"/>
      <c r="W20" s="3294"/>
    </row>
    <row r="21" spans="1:23" ht="24.95" customHeight="1">
      <c r="B21" s="3319" t="s">
        <v>3124</v>
      </c>
      <c r="C21" s="3321">
        <v>3782.45</v>
      </c>
      <c r="D21" s="3321">
        <v>3574.94</v>
      </c>
      <c r="E21" s="3321"/>
      <c r="F21" s="3321">
        <v>171.43</v>
      </c>
      <c r="G21" s="3321"/>
      <c r="H21" s="3321"/>
      <c r="I21" s="3321">
        <v>3746.37</v>
      </c>
      <c r="J21" s="3322">
        <v>0.99046120900474566</v>
      </c>
      <c r="K21" s="3313"/>
      <c r="L21" s="3314" t="s">
        <v>3103</v>
      </c>
      <c r="M21" s="3315" t="s">
        <v>3104</v>
      </c>
      <c r="N21" s="3323"/>
      <c r="P21" s="3317">
        <v>0.4</v>
      </c>
      <c r="Q21" s="3317">
        <v>0.13</v>
      </c>
      <c r="R21" s="3317">
        <v>0.53</v>
      </c>
      <c r="S21" s="3318"/>
      <c r="T21" s="3294">
        <f t="shared" si="0"/>
        <v>54.697002000000005</v>
      </c>
      <c r="U21" s="3294">
        <f t="shared" si="1"/>
        <v>17.77652565</v>
      </c>
      <c r="V21" s="3294"/>
      <c r="W21" s="3294"/>
    </row>
    <row r="22" spans="1:23" ht="24.95" customHeight="1">
      <c r="B22" s="3319" t="s">
        <v>3125</v>
      </c>
      <c r="C22" s="3321">
        <v>3767.28</v>
      </c>
      <c r="D22" s="3321">
        <v>3303.46</v>
      </c>
      <c r="E22" s="3321">
        <v>259.05</v>
      </c>
      <c r="F22" s="3321">
        <v>171.43</v>
      </c>
      <c r="G22" s="3321"/>
      <c r="H22" s="3321"/>
      <c r="I22" s="3321">
        <v>3733.94</v>
      </c>
      <c r="J22" s="3322">
        <v>0.99115011360981919</v>
      </c>
      <c r="K22" s="3313"/>
      <c r="L22" s="3314" t="s">
        <v>3103</v>
      </c>
      <c r="M22" s="3315" t="s">
        <v>3104</v>
      </c>
      <c r="N22" s="3323"/>
      <c r="P22" s="3317">
        <v>0.4</v>
      </c>
      <c r="Q22" s="3317">
        <v>0.13</v>
      </c>
      <c r="R22" s="3317">
        <v>0.53</v>
      </c>
      <c r="S22" s="3318"/>
      <c r="T22" s="3294">
        <f t="shared" si="0"/>
        <v>54.515523999999999</v>
      </c>
      <c r="U22" s="3294">
        <f t="shared" si="1"/>
        <v>17.717545300000001</v>
      </c>
      <c r="V22" s="3294"/>
      <c r="W22" s="3294"/>
    </row>
    <row r="23" spans="1:23" s="3359" customFormat="1" ht="24.95" customHeight="1">
      <c r="B23" s="3360" t="s">
        <v>3126</v>
      </c>
      <c r="C23" s="3361">
        <v>4515.9900000000007</v>
      </c>
      <c r="D23" s="3361">
        <v>3297.24</v>
      </c>
      <c r="E23" s="3361">
        <v>521.57000000000005</v>
      </c>
      <c r="F23" s="3361">
        <v>684.14</v>
      </c>
      <c r="G23" s="3361"/>
      <c r="H23" s="3361"/>
      <c r="I23" s="3361">
        <v>4502.95</v>
      </c>
      <c r="J23" s="3362">
        <v>0.99711248253428353</v>
      </c>
      <c r="K23" s="3313"/>
      <c r="L23" s="3363" t="s">
        <v>3127</v>
      </c>
      <c r="M23" s="3364" t="s">
        <v>3128</v>
      </c>
      <c r="N23" s="3369"/>
      <c r="P23" s="3366">
        <v>0.91</v>
      </c>
      <c r="Q23" s="3366">
        <v>0.06</v>
      </c>
      <c r="R23" s="3366">
        <v>0.97</v>
      </c>
      <c r="S23" s="3367"/>
      <c r="T23" s="3368">
        <f t="shared" si="0"/>
        <v>149.56548425</v>
      </c>
      <c r="U23" s="3368">
        <f t="shared" si="1"/>
        <v>9.861460499999998</v>
      </c>
      <c r="V23" s="3368"/>
      <c r="W23" s="3368"/>
    </row>
    <row r="24" spans="1:23" s="3359" customFormat="1" ht="24.95" customHeight="1">
      <c r="B24" s="3360" t="s">
        <v>3129</v>
      </c>
      <c r="C24" s="3361">
        <v>3397.9799999999996</v>
      </c>
      <c r="D24" s="3361">
        <v>2872.09</v>
      </c>
      <c r="E24" s="3361"/>
      <c r="F24" s="3361">
        <v>514.53</v>
      </c>
      <c r="G24" s="3361"/>
      <c r="H24" s="3361"/>
      <c r="I24" s="3361">
        <v>3386.62</v>
      </c>
      <c r="J24" s="3362">
        <v>0.99665683729745325</v>
      </c>
      <c r="K24" s="3313"/>
      <c r="L24" s="3363" t="s">
        <v>3127</v>
      </c>
      <c r="M24" s="3364" t="s">
        <v>3128</v>
      </c>
      <c r="N24" s="3369"/>
      <c r="P24" s="3366">
        <v>0.91</v>
      </c>
      <c r="Q24" s="3366">
        <v>0.06</v>
      </c>
      <c r="R24" s="3366">
        <v>0.97</v>
      </c>
      <c r="S24" s="3367"/>
      <c r="T24" s="3368">
        <f t="shared" si="0"/>
        <v>112.48658330000001</v>
      </c>
      <c r="U24" s="3368">
        <f t="shared" si="1"/>
        <v>7.4166977999999988</v>
      </c>
      <c r="V24" s="3368"/>
      <c r="W24" s="3368"/>
    </row>
    <row r="25" spans="1:23" s="3359" customFormat="1" ht="24.95" customHeight="1">
      <c r="B25" s="3360" t="s">
        <v>3130</v>
      </c>
      <c r="C25" s="3361">
        <v>3934.7799999999997</v>
      </c>
      <c r="D25" s="3361">
        <v>3276.24</v>
      </c>
      <c r="E25" s="3361"/>
      <c r="F25" s="3361">
        <v>645.58000000000004</v>
      </c>
      <c r="G25" s="3361"/>
      <c r="H25" s="3361"/>
      <c r="I25" s="3361">
        <v>3921.8199999999997</v>
      </c>
      <c r="J25" s="3362">
        <v>0.99670629615887041</v>
      </c>
      <c r="K25" s="3313"/>
      <c r="L25" s="3363" t="s">
        <v>3127</v>
      </c>
      <c r="M25" s="3364" t="s">
        <v>3128</v>
      </c>
      <c r="N25" s="3370" t="s">
        <v>3131</v>
      </c>
      <c r="P25" s="3366">
        <v>0.91</v>
      </c>
      <c r="Q25" s="3366">
        <v>0.06</v>
      </c>
      <c r="R25" s="3366">
        <v>0.97</v>
      </c>
      <c r="S25" s="3367"/>
      <c r="T25" s="3368">
        <f t="shared" si="0"/>
        <v>130.26325129999998</v>
      </c>
      <c r="U25" s="3368">
        <f t="shared" si="1"/>
        <v>8.5887858000000001</v>
      </c>
      <c r="V25" s="3368"/>
      <c r="W25" s="3368"/>
    </row>
    <row r="26" spans="1:23" s="3359" customFormat="1" ht="24.95" customHeight="1">
      <c r="B26" s="3360" t="s">
        <v>3132</v>
      </c>
      <c r="C26" s="3361">
        <v>3747.01</v>
      </c>
      <c r="D26" s="3361">
        <v>3303.46</v>
      </c>
      <c r="E26" s="3361">
        <v>259.05</v>
      </c>
      <c r="F26" s="3361">
        <v>171.43</v>
      </c>
      <c r="G26" s="3361"/>
      <c r="H26" s="3361"/>
      <c r="I26" s="3361">
        <v>3733.94</v>
      </c>
      <c r="J26" s="3362">
        <v>0.99651188547668668</v>
      </c>
      <c r="K26" s="3313"/>
      <c r="L26" s="3363" t="s">
        <v>3133</v>
      </c>
      <c r="M26" s="3364" t="s">
        <v>3134</v>
      </c>
      <c r="N26" s="3365"/>
      <c r="P26" s="3366">
        <v>1.05</v>
      </c>
      <c r="Q26" s="3366">
        <v>7.0000000000000007E-2</v>
      </c>
      <c r="R26" s="3366">
        <v>1.1200000000000001</v>
      </c>
      <c r="S26" s="3367"/>
      <c r="T26" s="3368">
        <f t="shared" si="0"/>
        <v>143.1032505</v>
      </c>
      <c r="U26" s="3368">
        <f t="shared" si="1"/>
        <v>9.540216700000002</v>
      </c>
      <c r="V26" s="3368"/>
      <c r="W26" s="3368"/>
    </row>
    <row r="27" spans="1:23" s="3359" customFormat="1" ht="24.95" customHeight="1">
      <c r="B27" s="3360" t="s">
        <v>3135</v>
      </c>
      <c r="C27" s="3361">
        <v>3014.35</v>
      </c>
      <c r="D27" s="3361">
        <v>2865.87</v>
      </c>
      <c r="E27" s="3361">
        <v>0</v>
      </c>
      <c r="F27" s="3361">
        <v>137.15</v>
      </c>
      <c r="G27" s="3361"/>
      <c r="H27" s="3361"/>
      <c r="I27" s="3361">
        <v>3003.02</v>
      </c>
      <c r="J27" s="3362">
        <v>0.99624131238907232</v>
      </c>
      <c r="K27" s="3313"/>
      <c r="L27" s="3363" t="s">
        <v>3133</v>
      </c>
      <c r="M27" s="3364" t="s">
        <v>3134</v>
      </c>
      <c r="N27" s="3365"/>
      <c r="P27" s="3366">
        <v>1.05</v>
      </c>
      <c r="Q27" s="3366">
        <v>7.0000000000000007E-2</v>
      </c>
      <c r="R27" s="3366">
        <v>1.1200000000000001</v>
      </c>
      <c r="S27" s="3367"/>
      <c r="T27" s="3368">
        <f t="shared" si="0"/>
        <v>115.09074150000001</v>
      </c>
      <c r="U27" s="3368">
        <f t="shared" si="1"/>
        <v>7.6727161000000006</v>
      </c>
      <c r="V27" s="3368"/>
      <c r="W27" s="3368"/>
    </row>
    <row r="28" spans="1:23" s="3359" customFormat="1" ht="24.95" customHeight="1">
      <c r="B28" s="3360" t="s">
        <v>3136</v>
      </c>
      <c r="C28" s="3361">
        <v>3622.8099999999995</v>
      </c>
      <c r="D28" s="3361">
        <v>3276.24</v>
      </c>
      <c r="E28" s="3361">
        <v>162.18</v>
      </c>
      <c r="F28" s="3361">
        <v>171.43</v>
      </c>
      <c r="G28" s="3361"/>
      <c r="H28" s="3361"/>
      <c r="I28" s="3361">
        <v>3609.8499999999995</v>
      </c>
      <c r="J28" s="3362">
        <v>0.99642266638327703</v>
      </c>
      <c r="K28" s="3313"/>
      <c r="L28" s="3363" t="s">
        <v>3133</v>
      </c>
      <c r="M28" s="3364" t="s">
        <v>3134</v>
      </c>
      <c r="N28" s="3365"/>
      <c r="P28" s="3366">
        <v>1.05</v>
      </c>
      <c r="Q28" s="3366">
        <v>7.0000000000000007E-2</v>
      </c>
      <c r="R28" s="3366">
        <v>1.1200000000000001</v>
      </c>
      <c r="S28" s="3367"/>
      <c r="T28" s="3368">
        <f t="shared" si="0"/>
        <v>138.34750124999999</v>
      </c>
      <c r="U28" s="3368">
        <f t="shared" si="1"/>
        <v>9.223166749999999</v>
      </c>
      <c r="V28" s="3368"/>
      <c r="W28" s="3368"/>
    </row>
    <row r="29" spans="1:23" ht="24.95" customHeight="1">
      <c r="B29" s="3309" t="s">
        <v>3137</v>
      </c>
      <c r="C29" s="3310"/>
      <c r="D29" s="3310"/>
      <c r="E29" s="3310"/>
      <c r="F29" s="3310"/>
      <c r="G29" s="3310"/>
      <c r="H29" s="3310"/>
      <c r="I29" s="3310"/>
      <c r="J29" s="3312"/>
      <c r="K29" s="3312"/>
      <c r="L29" s="3337" t="s">
        <v>3138</v>
      </c>
      <c r="M29" s="3338" t="s">
        <v>3139</v>
      </c>
      <c r="N29" s="3339"/>
      <c r="P29" s="3340"/>
      <c r="Q29" s="3340"/>
      <c r="R29" s="3340"/>
      <c r="S29" s="3341"/>
      <c r="T29" s="3294">
        <f t="shared" si="0"/>
        <v>0</v>
      </c>
      <c r="U29" s="3294">
        <f t="shared" si="1"/>
        <v>0</v>
      </c>
    </row>
    <row r="30" spans="1:23" ht="24.95" customHeight="1" thickBot="1">
      <c r="B30" s="3342" t="s">
        <v>3093</v>
      </c>
      <c r="C30" s="3343">
        <v>92401.07</v>
      </c>
      <c r="D30" s="3343">
        <f>SUM(D5:D29)</f>
        <v>75105.440000000002</v>
      </c>
      <c r="E30" s="3343">
        <f t="shared" ref="E30:G30" si="2">SUM(E5:E29)</f>
        <v>3914.0600000000004</v>
      </c>
      <c r="F30" s="3343">
        <f t="shared" si="2"/>
        <v>3489.89</v>
      </c>
      <c r="G30" s="3343">
        <f t="shared" si="2"/>
        <v>5385.1399999999994</v>
      </c>
      <c r="H30" s="3343">
        <v>0</v>
      </c>
      <c r="I30" s="3343">
        <v>87894.530000000013</v>
      </c>
      <c r="J30" s="3344"/>
      <c r="K30" s="3345"/>
      <c r="L30" s="3346"/>
      <c r="M30" s="3347"/>
      <c r="N30" s="3348"/>
      <c r="P30" s="3349"/>
      <c r="Q30" s="3349"/>
      <c r="R30" s="3349">
        <v>0.95</v>
      </c>
      <c r="S30" s="3348"/>
    </row>
    <row r="31" spans="1:23" ht="24.95" customHeight="1" thickTop="1">
      <c r="I31" s="3294">
        <f>SUM(D30:G30)</f>
        <v>87894.53</v>
      </c>
      <c r="T31" s="3294">
        <f>SUM(T5:T30)</f>
        <v>2366.9221868</v>
      </c>
      <c r="U31" s="3294">
        <f>SUM(U5:U30)</f>
        <v>666.58530880000001</v>
      </c>
      <c r="V31" s="3294">
        <f>T31+U31</f>
        <v>3033.5074955999999</v>
      </c>
    </row>
    <row r="32" spans="1:23" ht="24.95" customHeight="1">
      <c r="A32" s="3353"/>
      <c r="B32" s="3354"/>
      <c r="C32" s="3355"/>
      <c r="D32" s="3355"/>
      <c r="E32" s="3355"/>
      <c r="F32" s="3355"/>
      <c r="G32" s="3355"/>
      <c r="H32" s="3355"/>
      <c r="I32" s="3355"/>
      <c r="J32" s="3356"/>
      <c r="K32" s="3353"/>
      <c r="M32" s="3353"/>
      <c r="T32" s="3293">
        <f>R30*C30*365/10000</f>
        <v>3204.0071022500001</v>
      </c>
      <c r="U32" s="3293">
        <f>R30*I30*365/10000</f>
        <v>3047.7428277500003</v>
      </c>
    </row>
    <row r="33" spans="1:14" s="3293" customFormat="1">
      <c r="A33" s="3353"/>
      <c r="B33" s="3354"/>
      <c r="C33" s="3355"/>
      <c r="D33" s="3355"/>
      <c r="E33" s="3355"/>
      <c r="F33" s="3355"/>
      <c r="G33" s="3355">
        <f>C30-G30-F30</f>
        <v>83526.040000000008</v>
      </c>
      <c r="H33" s="3355"/>
      <c r="I33" s="3355"/>
      <c r="J33" s="3356"/>
      <c r="K33" s="3353"/>
      <c r="L33" s="3352"/>
      <c r="M33" s="3353"/>
    </row>
    <row r="34" spans="1:14" s="3293" customFormat="1">
      <c r="J34" s="3350"/>
      <c r="K34" s="3351"/>
      <c r="L34" s="3352"/>
    </row>
    <row r="35" spans="1:14" s="3293" customFormat="1">
      <c r="J35" s="3357"/>
      <c r="K35" s="3358"/>
      <c r="L35" s="3352"/>
    </row>
    <row r="36" spans="1:14" s="3293" customFormat="1">
      <c r="I36" s="3294"/>
      <c r="J36" s="3357"/>
      <c r="K36" s="3358"/>
      <c r="L36" s="3352"/>
      <c r="M36" s="3293" t="s">
        <v>3140</v>
      </c>
      <c r="N36" s="3371">
        <v>45412</v>
      </c>
    </row>
    <row r="37" spans="1:14" s="3293" customFormat="1">
      <c r="I37" s="3294"/>
      <c r="J37" s="3357"/>
      <c r="K37" s="3358"/>
      <c r="L37" s="3352"/>
      <c r="M37" s="3293" t="s">
        <v>3141</v>
      </c>
      <c r="N37" s="3293">
        <v>4.79</v>
      </c>
    </row>
    <row r="38" spans="1:14" s="3293" customFormat="1">
      <c r="I38" s="3294"/>
      <c r="J38" s="3357"/>
      <c r="K38" s="3358"/>
      <c r="L38" s="3352"/>
      <c r="M38" s="3293" t="s">
        <v>3143</v>
      </c>
      <c r="N38" s="3293">
        <v>1</v>
      </c>
    </row>
    <row r="39" spans="1:14" s="3293" customFormat="1">
      <c r="I39" s="3294"/>
      <c r="J39" s="3357"/>
      <c r="K39" s="3358"/>
      <c r="L39" s="3352"/>
      <c r="M39" s="3293" t="s">
        <v>3144</v>
      </c>
      <c r="N39" s="3351">
        <v>1.4999999999999999E-2</v>
      </c>
    </row>
    <row r="40" spans="1:14" s="3293" customFormat="1">
      <c r="I40" s="3294"/>
      <c r="J40" s="3357"/>
      <c r="K40" s="3358"/>
      <c r="L40" s="3352"/>
      <c r="M40" s="3293" t="s">
        <v>3145</v>
      </c>
      <c r="N40" s="3293">
        <f>ROUND(N38*(1+N39)^N37,2)</f>
        <v>1.07</v>
      </c>
    </row>
    <row r="41" spans="1:14" s="3293" customFormat="1">
      <c r="I41" s="3294"/>
      <c r="J41" s="3357"/>
      <c r="K41" s="3358"/>
      <c r="L41" s="3352"/>
    </row>
    <row r="42" spans="1:14" s="3293" customFormat="1">
      <c r="J42" s="3350"/>
      <c r="K42" s="3351"/>
      <c r="L42" s="3352"/>
      <c r="M42" s="3293">
        <f>ROUND(N38*(1+N39),2)</f>
        <v>1.02</v>
      </c>
    </row>
    <row r="43" spans="1:14" s="3293" customFormat="1">
      <c r="J43" s="3350"/>
      <c r="K43" s="3351"/>
      <c r="L43" s="3352"/>
      <c r="M43" s="3293">
        <f>ROUND(M42*(1+N39),2)</f>
        <v>1.04</v>
      </c>
    </row>
  </sheetData>
  <mergeCells count="14">
    <mergeCell ref="P3:P4"/>
    <mergeCell ref="Q3:Q4"/>
    <mergeCell ref="R3:R4"/>
    <mergeCell ref="S3:S4"/>
    <mergeCell ref="K5:K28"/>
    <mergeCell ref="B1:N1"/>
    <mergeCell ref="B3:B4"/>
    <mergeCell ref="C3:C4"/>
    <mergeCell ref="D3:I3"/>
    <mergeCell ref="J3:J4"/>
    <mergeCell ref="K3:K4"/>
    <mergeCell ref="L3:L4"/>
    <mergeCell ref="M3:M4"/>
    <mergeCell ref="N3:N4"/>
  </mergeCells>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1636</v>
      </c>
      <c r="B2" s="2966" t="s">
        <v>1637</v>
      </c>
      <c r="C2" s="2966" t="s">
        <v>1638</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44" t="s">
        <v>1633</v>
      </c>
      <c r="E3" s="1044" t="s">
        <v>1639</v>
      </c>
      <c r="F3" s="1044" t="s">
        <v>1633</v>
      </c>
      <c r="G3" s="1044" t="s">
        <v>1634</v>
      </c>
      <c r="H3" s="1044" t="s">
        <v>1633</v>
      </c>
      <c r="I3" s="1044" t="s">
        <v>1634</v>
      </c>
    </row>
    <row r="4" spans="1:9" ht="30">
      <c r="A4" s="1973" t="str">
        <f>项目基本情况!S2</f>
        <v>出让国有建设用地使用权及在建建筑物房地产</v>
      </c>
      <c r="B4" s="1044">
        <f>项目基本情况!C17</f>
        <v>83329.149999999994</v>
      </c>
      <c r="C4" s="1044">
        <f>项目基本情况!C18</f>
        <v>77043.08</v>
      </c>
      <c r="D4" s="1044">
        <f ca="1">结果表!D118</f>
        <v>10127</v>
      </c>
      <c r="E4" s="1044">
        <f ca="1">结果表!E118</f>
        <v>1215</v>
      </c>
      <c r="F4" s="1044">
        <f ca="1">结果表!F118</f>
        <v>20013</v>
      </c>
      <c r="G4" s="1044">
        <f ca="1">结果表!G118</f>
        <v>2402</v>
      </c>
      <c r="H4" s="1044">
        <f ca="1">结果表!H118</f>
        <v>30140</v>
      </c>
      <c r="I4" s="1044">
        <f ca="1">结果表!I118</f>
        <v>3617</v>
      </c>
    </row>
    <row r="5" spans="1:9" ht="30" customHeight="1">
      <c r="A5" s="2967" t="s">
        <v>1635</v>
      </c>
      <c r="B5" s="2967"/>
      <c r="C5" s="2967"/>
      <c r="D5" s="2968" t="str">
        <f ca="1">结果表!D119</f>
        <v>壹亿零壹佰贰拾柒万元整</v>
      </c>
      <c r="E5" s="2968"/>
      <c r="F5" s="2968" t="str">
        <f ca="1">结果表!F119</f>
        <v>贰亿零壹拾叁万元整</v>
      </c>
      <c r="G5" s="2968"/>
      <c r="H5" s="2968" t="str">
        <f ca="1">结果表!H119</f>
        <v>叁亿零壹佰肆拾万元整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1635</v>
      </c>
      <c r="B7" s="2967"/>
      <c r="C7" s="2967"/>
      <c r="D7" s="2970" t="str">
        <f>结果表!D121</f>
        <v>零元整</v>
      </c>
      <c r="E7" s="2971"/>
      <c r="F7" s="2971"/>
      <c r="G7" s="2971"/>
      <c r="H7" s="2971"/>
      <c r="I7" s="2972"/>
    </row>
    <row r="8" spans="1:9" ht="15.75">
      <c r="A8" s="2969" t="str">
        <f>结果表!A122</f>
        <v>房地产抵押价值</v>
      </c>
      <c r="B8" s="2969"/>
      <c r="C8" s="2969"/>
      <c r="D8" s="2969">
        <f ca="1">结果表!D122</f>
        <v>30140</v>
      </c>
      <c r="E8" s="2969"/>
      <c r="F8" s="2969"/>
      <c r="G8" s="2969"/>
      <c r="H8" s="2969"/>
      <c r="I8" s="2969"/>
    </row>
    <row r="9" spans="1:9" ht="15">
      <c r="A9" s="2967" t="s">
        <v>1635</v>
      </c>
      <c r="B9" s="2967"/>
      <c r="C9" s="2967"/>
      <c r="D9" s="2968" t="str">
        <f ca="1">结果表!D123</f>
        <v>叁亿零壹佰肆拾万元整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1635</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6" t="s">
        <v>1657</v>
      </c>
      <c r="B1" s="2976"/>
      <c r="C1" s="2976"/>
      <c r="D1" s="2976"/>
    </row>
    <row r="2" spans="1:4" ht="18">
      <c r="A2" s="2977" t="s">
        <v>1641</v>
      </c>
      <c r="B2" s="2977"/>
      <c r="C2" s="2977"/>
      <c r="D2" s="2977"/>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77" t="s">
        <v>1647</v>
      </c>
      <c r="B6" s="2977"/>
      <c r="C6" s="2977"/>
      <c r="D6" s="2977"/>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78"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9" t="str">
        <f>IF(项目基本情况!B8="抵押","3.抵押双方在办理抵押登记手续时，应使用本公司出具的正式《房地产评估报告》，特提醒报告使用者注意。","——")</f>
        <v>——</v>
      </c>
      <c r="B13" s="2980"/>
      <c r="C13" s="2980"/>
      <c r="D13" s="2980"/>
    </row>
    <row r="14" spans="1:4" ht="15.75" customHeight="1">
      <c r="A14" s="2979" t="str">
        <f>IF(项目基本情况!B8="抵押","4.本次评估估价师所知悉的法定优先受偿款情况说明如下：","——")</f>
        <v>——</v>
      </c>
      <c r="B14" s="2980"/>
      <c r="C14" s="2980"/>
      <c r="D14" s="2980"/>
    </row>
    <row r="15" spans="1:4" ht="42" customHeight="1">
      <c r="A15" s="2979" t="str">
        <f>IF(项目基本情况!B8="抵押","（1）"&amp;CONCATENATE(项目基本情况!L20,项目基本情况!L21,项目基本情况!L22),"——")</f>
        <v>——</v>
      </c>
      <c r="B15" s="2979"/>
      <c r="C15" s="2979"/>
      <c r="D15" s="2979"/>
    </row>
    <row r="16" spans="1:4" ht="30" customHeight="1">
      <c r="A16" s="2982" t="s">
        <v>1651</v>
      </c>
      <c r="B16" s="2982"/>
      <c r="C16" s="2982"/>
      <c r="D16" s="2982"/>
    </row>
    <row r="17" spans="1:4" ht="144" customHeight="1">
      <c r="A17" s="2982" t="s">
        <v>1652</v>
      </c>
      <c r="B17" s="2982"/>
      <c r="C17" s="2982"/>
      <c r="D17" s="2982"/>
    </row>
    <row r="18" spans="1:4" ht="15.75" customHeight="1">
      <c r="A18" s="2979" t="str">
        <f>IF(项目基本情况!B8="抵押",结果表!K120,"——")</f>
        <v>——</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1653</v>
      </c>
      <c r="B22" s="2984"/>
      <c r="C22" s="2984"/>
      <c r="D22" s="2984"/>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0" t="s">
        <v>1664</v>
      </c>
      <c r="B15" s="2985" t="s">
        <v>136</v>
      </c>
      <c r="C15" s="2986"/>
    </row>
    <row r="16" spans="1:7" ht="13.5">
      <c r="A16" s="2991"/>
      <c r="B16" s="2985" t="s">
        <v>69</v>
      </c>
      <c r="C16" s="2986"/>
    </row>
    <row r="17" spans="1:3" ht="13.5">
      <c r="A17" s="2991"/>
      <c r="B17" s="2988" t="s">
        <v>1665</v>
      </c>
      <c r="C17" s="2000" t="s">
        <v>1664</v>
      </c>
    </row>
    <row r="18" spans="1:3" ht="13.5">
      <c r="A18" s="2991"/>
      <c r="B18" s="2988"/>
      <c r="C18" s="2000" t="s">
        <v>1666</v>
      </c>
    </row>
    <row r="19" spans="1:3" ht="13.5">
      <c r="A19" s="2991"/>
      <c r="B19" s="2988"/>
      <c r="C19" s="2000" t="s">
        <v>1667</v>
      </c>
    </row>
    <row r="20" spans="1:3" ht="13.5">
      <c r="A20" s="2992"/>
      <c r="B20" s="2987" t="s">
        <v>1668</v>
      </c>
      <c r="C20" s="2986"/>
    </row>
    <row r="21" spans="1:3" ht="13.5">
      <c r="A21" s="2001" t="s">
        <v>1669</v>
      </c>
      <c r="B21" s="2002"/>
      <c r="C21" s="2003"/>
    </row>
    <row r="22" spans="1:3" ht="13.5">
      <c r="A22" s="2989" t="s">
        <v>1670</v>
      </c>
      <c r="B22" s="2987" t="s">
        <v>1671</v>
      </c>
      <c r="C22" s="2986"/>
    </row>
    <row r="23" spans="1:3" ht="13.5">
      <c r="A23" s="2989"/>
      <c r="B23" s="2987" t="s">
        <v>1672</v>
      </c>
      <c r="C23" s="2986"/>
    </row>
    <row r="24" spans="1:3" ht="13.5">
      <c r="A24" s="2989"/>
      <c r="B24" s="2987" t="s">
        <v>1673</v>
      </c>
      <c r="C24" s="2986"/>
    </row>
    <row r="25" spans="1:3" ht="13.5">
      <c r="A25" s="2989"/>
      <c r="B25" s="2988" t="s">
        <v>1674</v>
      </c>
      <c r="C25" s="2000" t="s">
        <v>1675</v>
      </c>
    </row>
    <row r="26" spans="1:3" ht="13.5">
      <c r="A26" s="2989"/>
      <c r="B26" s="2988"/>
      <c r="C26" s="2000" t="s">
        <v>1676</v>
      </c>
    </row>
    <row r="27" spans="1:3" ht="13.5">
      <c r="A27" s="2989"/>
      <c r="B27" s="2988"/>
      <c r="C27" s="2000" t="s">
        <v>1677</v>
      </c>
    </row>
    <row r="28" spans="1:3" ht="13.5">
      <c r="A28" s="2989"/>
      <c r="B28" s="2988"/>
      <c r="C28" s="2000" t="s">
        <v>1678</v>
      </c>
    </row>
    <row r="29" spans="1:3" ht="13.5">
      <c r="A29" s="2989"/>
      <c r="B29" s="2988"/>
      <c r="C29" s="2000" t="s">
        <v>1679</v>
      </c>
    </row>
    <row r="30" spans="1:3" ht="13.5">
      <c r="A30" s="2989"/>
      <c r="B30" s="2988"/>
      <c r="C30" s="2000" t="s">
        <v>1680</v>
      </c>
    </row>
    <row r="31" spans="1:3" ht="13.5">
      <c r="A31" s="2989"/>
      <c r="B31" s="2988"/>
      <c r="C31" s="2000" t="s">
        <v>1681</v>
      </c>
    </row>
    <row r="32" spans="1:3" ht="13.5">
      <c r="A32" s="2989"/>
      <c r="B32" s="2988"/>
      <c r="C32" s="2000" t="s">
        <v>1682</v>
      </c>
    </row>
    <row r="33" spans="1:3" ht="13.5">
      <c r="A33" s="2989"/>
      <c r="B33" s="2988"/>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43661</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3045</v>
      </c>
      <c r="B14" s="1022">
        <f ca="1">IF(C14&lt;B2,"已过期",1120040230)</f>
        <v>1120040230</v>
      </c>
      <c r="C14" s="2349">
        <v>43835</v>
      </c>
      <c r="D14" s="2352" t="s">
        <v>3045</v>
      </c>
      <c r="E14" s="1022">
        <f ca="1">IF(F14&lt;B2,"已过期",98030020)</f>
        <v>98030020</v>
      </c>
      <c r="F14" s="1030">
        <v>47118</v>
      </c>
    </row>
    <row r="15" spans="1:6" ht="24" customHeight="1">
      <c r="A15" s="1703" t="s">
        <v>3046</v>
      </c>
      <c r="B15" s="1022">
        <f ca="1">IF(C15&lt;B2,"已过期",1120070085)</f>
        <v>1120070085</v>
      </c>
      <c r="C15" s="2349">
        <v>43814</v>
      </c>
      <c r="D15" s="2353" t="s">
        <v>3046</v>
      </c>
      <c r="E15" s="1022">
        <f ca="1">IF(F15&lt;B2,"已过期",2004110128)</f>
        <v>2004110128</v>
      </c>
      <c r="F15" s="1023">
        <v>47118</v>
      </c>
    </row>
    <row r="16" spans="1:6" ht="24" customHeight="1">
      <c r="A16" s="1702" t="s">
        <v>3047</v>
      </c>
      <c r="B16" s="1022">
        <f ca="1">IF(C16&lt;B2,"已过期",1120140022)</f>
        <v>1120140022</v>
      </c>
      <c r="C16" s="2932">
        <v>44029</v>
      </c>
      <c r="D16" s="2352" t="s">
        <v>3047</v>
      </c>
      <c r="E16" s="1022">
        <f ca="1">IF(F16&lt;B2,"已过期",2008110059)</f>
        <v>2008110059</v>
      </c>
      <c r="F16" s="1030">
        <v>47177</v>
      </c>
    </row>
    <row r="17" spans="1:7" ht="24" customHeight="1">
      <c r="A17" s="1702"/>
      <c r="B17" s="1022"/>
      <c r="C17" s="2349"/>
      <c r="D17" s="2352" t="s">
        <v>3048</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2019-07-15T09:29:58Z</dcterms:modified>
</cp:coreProperties>
</file>