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出租" sheetId="15" r:id="rId22"/>
    <sheet name="收益法 (元)" sheetId="67" state="hidden" r:id="rId23"/>
    <sheet name="收益法-未出租" sheetId="7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'收益法-出租'!$A$1:$AK$69</definedName>
    <definedName name="_xlnm.Print_Area" localSheetId="23">'收益法-未出租'!$A$1:$AK$69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6" i="1" l="1"/>
  <c r="AD6" i="1"/>
  <c r="D7" i="78"/>
  <c r="D5" i="78"/>
  <c r="J7" i="78"/>
  <c r="I5" i="78"/>
  <c r="I4" i="78"/>
  <c r="I3" i="78"/>
  <c r="J3" i="78" s="1"/>
  <c r="E34" i="78"/>
  <c r="G5" i="78" l="1"/>
  <c r="J5" i="78" s="1"/>
  <c r="G4" i="78"/>
  <c r="J4" i="78" s="1"/>
  <c r="BC51" i="3" l="1"/>
  <c r="U6" i="1" l="1"/>
  <c r="Q72" i="77" l="1"/>
  <c r="Q59" i="77"/>
  <c r="K59" i="77"/>
  <c r="P61" i="77" s="1"/>
  <c r="F59" i="77"/>
  <c r="Q58" i="77"/>
  <c r="Q51" i="77"/>
  <c r="J50" i="77"/>
  <c r="J51" i="77" s="1"/>
  <c r="M47" i="77"/>
  <c r="D46" i="77"/>
  <c r="F33" i="77"/>
  <c r="F61" i="77" s="1"/>
  <c r="F31" i="77"/>
  <c r="F23" i="77"/>
  <c r="D24" i="77" s="1"/>
  <c r="D22" i="77"/>
  <c r="F21" i="77"/>
  <c r="F20" i="77"/>
  <c r="M19" i="77"/>
  <c r="F18" i="77"/>
  <c r="M17" i="77"/>
  <c r="F17" i="77"/>
  <c r="F15" i="77"/>
  <c r="Y6" i="1"/>
  <c r="D23" i="77" l="1"/>
  <c r="P74" i="77"/>
  <c r="B7" i="4" l="1"/>
  <c r="D3" i="4"/>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2" i="76"/>
  <c r="E10" i="76"/>
  <c r="E13" i="76"/>
  <c r="B7" i="76"/>
  <c r="B8" i="76"/>
  <c r="B9" i="76"/>
  <c r="E9" i="76"/>
  <c r="B11" i="76"/>
  <c r="B12" i="76"/>
  <c r="E11" i="76"/>
  <c r="B10" i="76"/>
  <c r="E8" i="76"/>
  <c r="B13"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3" i="73"/>
  <c r="F5" i="73"/>
  <c r="F6" i="73"/>
  <c r="F4" i="73"/>
  <c r="D6" i="73"/>
  <c r="I1" i="73" l="1"/>
  <c r="B39" i="1" s="1"/>
  <c r="D7" i="73"/>
  <c r="D4" i="73"/>
  <c r="D3" i="73"/>
  <c r="D5" i="73"/>
  <c r="M11" i="77" l="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3" i="1"/>
  <c r="AO11"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6" i="1" s="1"/>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H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6" i="78" s="1"/>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W31"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S40"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AB33" i="37" s="1"/>
  <c r="F33" i="37"/>
  <c r="AA33" i="37" s="1"/>
  <c r="U34"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4" i="33"/>
  <c r="J36" i="37"/>
  <c r="AC36" i="37" s="1"/>
  <c r="J10" i="36"/>
  <c r="AC10" i="36" s="1"/>
  <c r="AB30" i="21"/>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BQ511" i="3"/>
  <c r="BL511" i="3" s="1"/>
  <c r="BA509" i="3"/>
  <c r="AC509" i="3"/>
  <c r="BQ509" i="3"/>
  <c r="BL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3" i="36"/>
  <c r="U35" i="35"/>
  <c r="AA12" i="35"/>
  <c r="W23" i="35"/>
  <c r="AB28" i="37"/>
  <c r="AC8" i="37"/>
  <c r="U26" i="37"/>
  <c r="W47" i="34"/>
  <c r="W37" i="34"/>
  <c r="AC36" i="34"/>
  <c r="AA13" i="33"/>
  <c r="AC45" i="33"/>
  <c r="W44" i="33"/>
  <c r="U11" i="33"/>
  <c r="U19" i="21"/>
  <c r="U2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C12" i="43"/>
  <c r="H19" i="40"/>
  <c r="U19" i="40" s="1"/>
  <c r="F88" i="40"/>
  <c r="G88" i="40" s="1"/>
  <c r="F19" i="40"/>
  <c r="S19" i="40" s="1"/>
  <c r="S14"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502" i="3"/>
  <c r="AZ514" i="3"/>
  <c r="AZ522"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AZ171" i="3" s="1"/>
  <c r="BL172" i="3"/>
  <c r="G173" i="3"/>
  <c r="BA175" i="3"/>
  <c r="AZ175" i="3" s="1"/>
  <c r="BL176" i="3"/>
  <c r="G177" i="3"/>
  <c r="BA179" i="3"/>
  <c r="AZ179" i="3" s="1"/>
  <c r="BL180" i="3"/>
  <c r="AZ180" i="3" s="1"/>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78" i="3"/>
  <c r="AZ500" i="3"/>
  <c r="BL303" i="3"/>
  <c r="AZ303" i="3" s="1"/>
  <c r="G304" i="3"/>
  <c r="BA306" i="3"/>
  <c r="BL307" i="3"/>
  <c r="AZ307" i="3" s="1"/>
  <c r="G308" i="3"/>
  <c r="BA310" i="3"/>
  <c r="BL311" i="3"/>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G393" i="3"/>
  <c r="BO5" i="3"/>
  <c r="AZ341" i="3"/>
  <c r="AC5" i="3"/>
  <c r="AZ506" i="3"/>
  <c r="G548" i="3"/>
  <c r="G538" i="3"/>
  <c r="G520" i="3"/>
  <c r="G502" i="3"/>
  <c r="BP5" i="3"/>
  <c r="BG5" i="3"/>
  <c r="G17" i="3"/>
  <c r="AZ364" i="3"/>
  <c r="BR5" i="3"/>
  <c r="AZ509" i="3"/>
  <c r="G509" i="3"/>
  <c r="BL493" i="3"/>
  <c r="AZ493" i="3" s="1"/>
  <c r="U36" i="40"/>
  <c r="N4" i="43"/>
  <c r="F36" i="43"/>
  <c r="F81" i="43"/>
  <c r="H113" i="43"/>
  <c r="F48" i="43"/>
  <c r="N7" i="43"/>
  <c r="F70" i="43"/>
  <c r="M6" i="43"/>
  <c r="M11" i="43"/>
  <c r="E17" i="43"/>
  <c r="F39" i="43"/>
  <c r="I17" i="43"/>
  <c r="F35" i="43"/>
  <c r="J17" i="43"/>
  <c r="U17" i="39"/>
  <c r="S14" i="35"/>
  <c r="U43" i="21"/>
  <c r="U35" i="21"/>
  <c r="AC35" i="21"/>
  <c r="U10" i="21"/>
  <c r="G8" i="1"/>
  <c r="G9" i="1"/>
  <c r="G10" i="1"/>
  <c r="F48" i="9"/>
  <c r="O52" i="9" s="1"/>
  <c r="AZ563" i="3"/>
  <c r="W37" i="37"/>
  <c r="W44" i="34"/>
  <c r="AC44" i="34"/>
  <c r="S15" i="37"/>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U12" i="35" l="1"/>
  <c r="AB12" i="35"/>
  <c r="AC34" i="35"/>
  <c r="W34" i="35"/>
  <c r="AZ335" i="3"/>
  <c r="AZ330" i="3"/>
  <c r="AZ340" i="3"/>
  <c r="G19" i="6"/>
  <c r="I7" i="78"/>
  <c r="BH5" i="3"/>
  <c r="AZ387" i="3"/>
  <c r="AZ379" i="3"/>
  <c r="AZ373" i="3"/>
  <c r="AZ339" i="3"/>
  <c r="AZ334" i="3"/>
  <c r="AZ326" i="3"/>
  <c r="AZ318" i="3"/>
  <c r="AZ320" i="3"/>
  <c r="AZ378" i="3"/>
  <c r="AZ309" i="3"/>
  <c r="AC31" i="33"/>
  <c r="AB13" i="34"/>
  <c r="AC32" i="36"/>
  <c r="AZ495" i="3"/>
  <c r="AZ503" i="3"/>
  <c r="AZ566" i="3"/>
  <c r="AZ574" i="3"/>
  <c r="AZ560" i="3"/>
  <c r="AZ584" i="3"/>
  <c r="AB26" i="33"/>
  <c r="S41" i="33"/>
  <c r="W33" i="37"/>
  <c r="J6" i="78"/>
  <c r="J8" i="78" s="1"/>
  <c r="F8" i="78" s="1"/>
  <c r="F9" i="78" s="1"/>
  <c r="I8" i="78"/>
  <c r="F34" i="35"/>
  <c r="J26" i="37"/>
  <c r="G578" i="3"/>
  <c r="G570" i="3"/>
  <c r="G566" i="3"/>
  <c r="G542" i="3"/>
  <c r="G526" i="3"/>
  <c r="F19" i="6"/>
  <c r="BS5" i="3"/>
  <c r="G402" i="3"/>
  <c r="G404" i="3"/>
  <c r="BA405" i="3"/>
  <c r="BL407" i="3"/>
  <c r="G418" i="3"/>
  <c r="G420" i="3"/>
  <c r="BA421" i="3"/>
  <c r="BL423" i="3"/>
  <c r="BA425" i="3"/>
  <c r="BL429" i="3"/>
  <c r="BA431" i="3"/>
  <c r="G434" i="3"/>
  <c r="G436" i="3"/>
  <c r="BA437" i="3"/>
  <c r="G438" i="3"/>
  <c r="BL439" i="3"/>
  <c r="BA441" i="3"/>
  <c r="G442" i="3"/>
  <c r="BA443"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BA462" i="3"/>
  <c r="G463" i="3"/>
  <c r="BL464" i="3"/>
  <c r="G465" i="3"/>
  <c r="BL466" i="3"/>
  <c r="BA468" i="3"/>
  <c r="G469" i="3"/>
  <c r="BL470" i="3"/>
  <c r="BL472" i="3"/>
  <c r="G477" i="3"/>
  <c r="G481" i="3"/>
  <c r="BL484" i="3"/>
  <c r="BA486" i="3"/>
  <c r="BL488" i="3"/>
  <c r="BA490" i="3"/>
  <c r="BL492" i="3"/>
  <c r="G307" i="3"/>
  <c r="BL308" i="3"/>
  <c r="AZ308" i="3" s="1"/>
  <c r="BL314" i="3"/>
  <c r="AZ314" i="3" s="1"/>
  <c r="BA316" i="3"/>
  <c r="AZ316" i="3" s="1"/>
  <c r="BL316" i="3"/>
  <c r="G323" i="3"/>
  <c r="BL324" i="3"/>
  <c r="AZ324" i="3" s="1"/>
  <c r="BL328" i="3"/>
  <c r="AZ328" i="3" s="1"/>
  <c r="G329" i="3"/>
  <c r="BA331" i="3"/>
  <c r="AZ331" i="3" s="1"/>
  <c r="BL333" i="3"/>
  <c r="G334" i="3"/>
  <c r="BL363" i="3"/>
  <c r="AZ363" i="3" s="1"/>
  <c r="BA367" i="3"/>
  <c r="G380" i="3"/>
  <c r="G382" i="3"/>
  <c r="BL383" i="3"/>
  <c r="AZ383" i="3" s="1"/>
  <c r="BA385" i="3"/>
  <c r="AZ385" i="3" s="1"/>
  <c r="BA395" i="3"/>
  <c r="BL395" i="3"/>
  <c r="BL397" i="3"/>
  <c r="G208" i="3"/>
  <c r="G210" i="3"/>
  <c r="BL211" i="3"/>
  <c r="G212" i="3"/>
  <c r="BL214" i="3"/>
  <c r="G215" i="3"/>
  <c r="BL216" i="3"/>
  <c r="G217" i="3"/>
  <c r="G219" i="3"/>
  <c r="BL220" i="3"/>
  <c r="G221" i="3"/>
  <c r="BA227" i="3"/>
  <c r="BA234" i="3"/>
  <c r="BA238" i="3"/>
  <c r="G259" i="3"/>
  <c r="G263" i="3"/>
  <c r="G267" i="3"/>
  <c r="BL268" i="3"/>
  <c r="BA270" i="3"/>
  <c r="BL272" i="3"/>
  <c r="BA274" i="3"/>
  <c r="BL276" i="3"/>
  <c r="G287" i="3"/>
  <c r="G289" i="3"/>
  <c r="BA290" i="3"/>
  <c r="BL292" i="3"/>
  <c r="BL135" i="3"/>
  <c r="AZ135" i="3" s="1"/>
  <c r="G136" i="3"/>
  <c r="BL139" i="3"/>
  <c r="AZ139" i="3" s="1"/>
  <c r="G140" i="3"/>
  <c r="BL143" i="3"/>
  <c r="AZ143" i="3" s="1"/>
  <c r="G144" i="3"/>
  <c r="G151" i="3"/>
  <c r="G155" i="3"/>
  <c r="G163" i="3"/>
  <c r="G190" i="3"/>
  <c r="BL195" i="3"/>
  <c r="AZ195" i="3" s="1"/>
  <c r="G198" i="3"/>
  <c r="G202" i="3"/>
  <c r="G22" i="3"/>
  <c r="G24" i="3"/>
  <c r="G26" i="3"/>
  <c r="G34" i="3"/>
  <c r="G41" i="3"/>
  <c r="G52" i="3"/>
  <c r="G54" i="3"/>
  <c r="G56" i="3"/>
  <c r="G58" i="3"/>
  <c r="G60" i="3"/>
  <c r="BL61" i="3"/>
  <c r="G68" i="3"/>
  <c r="BL69" i="3"/>
  <c r="G72" i="3"/>
  <c r="BL79" i="3"/>
  <c r="BL81" i="3"/>
  <c r="BL83" i="3"/>
  <c r="G86" i="3"/>
  <c r="BL87" i="3"/>
  <c r="G90" i="3"/>
  <c r="G96" i="3"/>
  <c r="BL97" i="3"/>
  <c r="BL103" i="3"/>
  <c r="G106" i="3"/>
  <c r="G108" i="3"/>
  <c r="BL109" i="3"/>
  <c r="G110" i="3"/>
  <c r="BL111" i="3"/>
  <c r="G112" i="3"/>
  <c r="BL45" i="3"/>
  <c r="BA42" i="3"/>
  <c r="BL57" i="3"/>
  <c r="BL48" i="3"/>
  <c r="BL29" i="3"/>
  <c r="BL28" i="3"/>
  <c r="BL27" i="3"/>
  <c r="BL18" i="3"/>
  <c r="BA32" i="3"/>
  <c r="H5" i="3"/>
  <c r="BM5" i="3"/>
  <c r="BK5" i="3"/>
  <c r="BI5" i="3"/>
  <c r="BN5" i="3"/>
  <c r="C5" i="11"/>
  <c r="AZ140" i="3"/>
  <c r="BA17" i="3"/>
  <c r="BA16" i="3"/>
  <c r="AZ16" i="3" s="1"/>
  <c r="BA15" i="3"/>
  <c r="BC5" i="3"/>
  <c r="BA209" i="3"/>
  <c r="BA211" i="3"/>
  <c r="AZ211" i="3" s="1"/>
  <c r="BA212" i="3"/>
  <c r="AZ212" i="3" s="1"/>
  <c r="BA214" i="3"/>
  <c r="AZ214" i="3" s="1"/>
  <c r="BA218" i="3"/>
  <c r="BA220" i="3"/>
  <c r="AZ220" i="3" s="1"/>
  <c r="BA221" i="3"/>
  <c r="AZ221" i="3" s="1"/>
  <c r="BA224" i="3"/>
  <c r="BA226" i="3"/>
  <c r="AZ226" i="3" s="1"/>
  <c r="BA230" i="3"/>
  <c r="AZ230" i="3" s="1"/>
  <c r="BA231" i="3"/>
  <c r="AZ231" i="3" s="1"/>
  <c r="BA232" i="3"/>
  <c r="AZ232" i="3" s="1"/>
  <c r="BA233" i="3"/>
  <c r="AZ233" i="3" s="1"/>
  <c r="BA235" i="3"/>
  <c r="AZ235" i="3" s="1"/>
  <c r="BA236" i="3"/>
  <c r="AZ236" i="3" s="1"/>
  <c r="BA237" i="3"/>
  <c r="AZ237" i="3" s="1"/>
  <c r="BA243" i="3"/>
  <c r="BA259" i="3"/>
  <c r="BA263" i="3"/>
  <c r="BA125" i="3"/>
  <c r="BA133" i="3"/>
  <c r="AZ133" i="3" s="1"/>
  <c r="BA134" i="3"/>
  <c r="AZ134" i="3" s="1"/>
  <c r="BA137" i="3"/>
  <c r="AZ137" i="3" s="1"/>
  <c r="BA138" i="3"/>
  <c r="AZ138" i="3" s="1"/>
  <c r="BA141" i="3"/>
  <c r="AZ141" i="3" s="1"/>
  <c r="BA142" i="3"/>
  <c r="AZ142" i="3" s="1"/>
  <c r="BA145" i="3"/>
  <c r="AZ145" i="3" s="1"/>
  <c r="BA146" i="3"/>
  <c r="AZ146" i="3" s="1"/>
  <c r="BA148" i="3"/>
  <c r="AZ148" i="3" s="1"/>
  <c r="BA150" i="3"/>
  <c r="BA158" i="3"/>
  <c r="BA193" i="3"/>
  <c r="BA39" i="3"/>
  <c r="BA49" i="3"/>
  <c r="BA51" i="3"/>
  <c r="BA55" i="3"/>
  <c r="BA57" i="3"/>
  <c r="BA77" i="3"/>
  <c r="BA91" i="3"/>
  <c r="BA101" i="3"/>
  <c r="BA111" i="3"/>
  <c r="AZ144" i="3"/>
  <c r="AZ136" i="3"/>
  <c r="BD5" i="3"/>
  <c r="BA19" i="3"/>
  <c r="BA21" i="3"/>
  <c r="BL23" i="3"/>
  <c r="BA27" i="3"/>
  <c r="AZ27" i="3" s="1"/>
  <c r="BA28" i="3"/>
  <c r="AZ28" i="3" s="1"/>
  <c r="BA29" i="3"/>
  <c r="AZ29" i="3" s="1"/>
  <c r="BA30" i="3"/>
  <c r="BA33" i="3"/>
  <c r="BL33" i="3"/>
  <c r="BA35" i="3"/>
  <c r="BL35" i="3"/>
  <c r="BL40" i="3"/>
  <c r="BA43" i="3"/>
  <c r="U23" i="35"/>
  <c r="AB23" i="35"/>
  <c r="I4" i="6"/>
  <c r="G3" i="43" s="1"/>
  <c r="B113" i="43" s="1"/>
  <c r="G27" i="6"/>
  <c r="AZ377" i="3"/>
  <c r="AZ357" i="3"/>
  <c r="AZ338" i="3"/>
  <c r="AZ306" i="3"/>
  <c r="AZ390" i="3"/>
  <c r="AZ382" i="3"/>
  <c r="AZ356" i="3"/>
  <c r="AZ355" i="3"/>
  <c r="AZ347" i="3"/>
  <c r="AZ344" i="3"/>
  <c r="AZ313" i="3"/>
  <c r="AZ325" i="3"/>
  <c r="AZ511" i="3"/>
  <c r="AZ525" i="3"/>
  <c r="AZ529" i="3"/>
  <c r="AZ533" i="3"/>
  <c r="AZ537" i="3"/>
  <c r="AZ541" i="3"/>
  <c r="AZ545" i="3"/>
  <c r="AZ577" i="3"/>
  <c r="AZ510" i="3"/>
  <c r="AZ568" i="3"/>
  <c r="AZ576" i="3"/>
  <c r="W11" i="36"/>
  <c r="W31" i="34"/>
  <c r="AB11" i="35"/>
  <c r="AA44" i="33"/>
  <c r="BA399" i="3"/>
  <c r="G400" i="3"/>
  <c r="BA401" i="3"/>
  <c r="BL401" i="3"/>
  <c r="BA403" i="3"/>
  <c r="BL403" i="3"/>
  <c r="BA404" i="3"/>
  <c r="AZ404" i="3" s="1"/>
  <c r="BA406" i="3"/>
  <c r="BL406" i="3"/>
  <c r="BA407" i="3"/>
  <c r="AZ407" i="3" s="1"/>
  <c r="BL409" i="3"/>
  <c r="G410" i="3"/>
  <c r="BL411" i="3"/>
  <c r="G412" i="3"/>
  <c r="BL413" i="3"/>
  <c r="BA415"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BA434" i="3"/>
  <c r="G435" i="3"/>
  <c r="BL436" i="3"/>
  <c r="G439" i="3"/>
  <c r="BL440" i="3"/>
  <c r="G443" i="3"/>
  <c r="G462" i="3"/>
  <c r="G466" i="3"/>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AZ489" i="3" s="1"/>
  <c r="BA491" i="3"/>
  <c r="BL491" i="3"/>
  <c r="BA492" i="3"/>
  <c r="AZ492" i="3" s="1"/>
  <c r="BA319" i="3"/>
  <c r="AZ319" i="3" s="1"/>
  <c r="BA323" i="3"/>
  <c r="AZ323" i="3" s="1"/>
  <c r="G347" i="3"/>
  <c r="BL348" i="3"/>
  <c r="G349" i="3"/>
  <c r="BA350" i="3"/>
  <c r="AZ350" i="3" s="1"/>
  <c r="BA353" i="3"/>
  <c r="BL353" i="3"/>
  <c r="G358" i="3"/>
  <c r="BL359" i="3"/>
  <c r="AZ359" i="3" s="1"/>
  <c r="G362" i="3"/>
  <c r="BL368" i="3"/>
  <c r="BA370" i="3"/>
  <c r="AZ370" i="3" s="1"/>
  <c r="BA374" i="3"/>
  <c r="AZ374" i="3" s="1"/>
  <c r="G209" i="3"/>
  <c r="G218" i="3"/>
  <c r="BL223" i="3"/>
  <c r="G243" i="3"/>
  <c r="G247" i="3"/>
  <c r="BL248" i="3"/>
  <c r="BA250" i="3"/>
  <c r="G251" i="3"/>
  <c r="BL252" i="3"/>
  <c r="BA254"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BL282" i="3"/>
  <c r="BA284" i="3"/>
  <c r="G285" i="3"/>
  <c r="BA286" i="3"/>
  <c r="BL286" i="3"/>
  <c r="BA288" i="3"/>
  <c r="BL288" i="3"/>
  <c r="BA289" i="3"/>
  <c r="AZ289" i="3" s="1"/>
  <c r="BA291" i="3"/>
  <c r="BL291" i="3"/>
  <c r="BA292" i="3"/>
  <c r="AZ292" i="3" s="1"/>
  <c r="BL294" i="3"/>
  <c r="G295" i="3"/>
  <c r="BL296" i="3"/>
  <c r="G297" i="3"/>
  <c r="BL298" i="3"/>
  <c r="BA300" i="3"/>
  <c r="G301" i="3"/>
  <c r="BL302" i="3"/>
  <c r="BL114" i="3"/>
  <c r="G115" i="3"/>
  <c r="BA116" i="3"/>
  <c r="AZ116" i="3" s="1"/>
  <c r="BL118" i="3"/>
  <c r="BA120" i="3"/>
  <c r="AZ120" i="3" s="1"/>
  <c r="BA122" i="3"/>
  <c r="G123" i="3"/>
  <c r="G150" i="3"/>
  <c r="BA153" i="3"/>
  <c r="G154" i="3"/>
  <c r="BL155" i="3"/>
  <c r="AZ155" i="3" s="1"/>
  <c r="BA157" i="3"/>
  <c r="BL157" i="3"/>
  <c r="BL159" i="3"/>
  <c r="AZ159" i="3" s="1"/>
  <c r="G160" i="3"/>
  <c r="BA162" i="3"/>
  <c r="BL162" i="3"/>
  <c r="BA164" i="3"/>
  <c r="AZ164" i="3" s="1"/>
  <c r="BA166" i="3"/>
  <c r="G167" i="3"/>
  <c r="G171" i="3"/>
  <c r="G182" i="3"/>
  <c r="BA185" i="3"/>
  <c r="G186" i="3"/>
  <c r="BL187" i="3"/>
  <c r="AZ187" i="3" s="1"/>
  <c r="BA189" i="3"/>
  <c r="BL189" i="3"/>
  <c r="BL191" i="3"/>
  <c r="AZ191" i="3" s="1"/>
  <c r="G192" i="3"/>
  <c r="BA194" i="3"/>
  <c r="BL194" i="3"/>
  <c r="BA196" i="3"/>
  <c r="AZ196" i="3" s="1"/>
  <c r="BA198" i="3"/>
  <c r="G199" i="3"/>
  <c r="BA202" i="3"/>
  <c r="G203" i="3"/>
  <c r="G205" i="3"/>
  <c r="BL206" i="3"/>
  <c r="G207" i="3"/>
  <c r="BA18" i="3"/>
  <c r="AZ18" i="3" s="1"/>
  <c r="G21" i="3"/>
  <c r="BL44" i="3"/>
  <c r="BA46" i="3"/>
  <c r="G47" i="3"/>
  <c r="BA48" i="3"/>
  <c r="AZ48" i="3" s="1"/>
  <c r="G51" i="3"/>
  <c r="BL60" i="3"/>
  <c r="BA62" i="3"/>
  <c r="G63" i="3"/>
  <c r="G65" i="3"/>
  <c r="G67" i="3"/>
  <c r="BL68" i="3"/>
  <c r="BA70" i="3"/>
  <c r="G71" i="3"/>
  <c r="BA72" i="3"/>
  <c r="G73" i="3"/>
  <c r="BL74" i="3"/>
  <c r="G75" i="3"/>
  <c r="BA76" i="3"/>
  <c r="BL76" i="3"/>
  <c r="BA78" i="3"/>
  <c r="AZ78" i="3" s="1"/>
  <c r="BA79" i="3"/>
  <c r="AZ79" i="3" s="1"/>
  <c r="BA81" i="3"/>
  <c r="AZ81" i="3" s="1"/>
  <c r="BA82" i="3"/>
  <c r="AZ82" i="3" s="1"/>
  <c r="BA83" i="3"/>
  <c r="AZ83" i="3" s="1"/>
  <c r="BA85" i="3"/>
  <c r="BL85" i="3"/>
  <c r="BA87" i="3"/>
  <c r="AZ87" i="3" s="1"/>
  <c r="BA89" i="3"/>
  <c r="BL89" i="3"/>
  <c r="BA90" i="3"/>
  <c r="AZ90" i="3" s="1"/>
  <c r="BL92" i="3"/>
  <c r="G93" i="3"/>
  <c r="BL94" i="3"/>
  <c r="G95" i="3"/>
  <c r="BL96" i="3"/>
  <c r="BA98" i="3"/>
  <c r="G99" i="3"/>
  <c r="BA100" i="3"/>
  <c r="BL100" i="3"/>
  <c r="BA102" i="3"/>
  <c r="BL102" i="3"/>
  <c r="BA103" i="3"/>
  <c r="AZ103" i="3" s="1"/>
  <c r="BA105" i="3"/>
  <c r="BL105" i="3"/>
  <c r="BL106" i="3"/>
  <c r="G107" i="3"/>
  <c r="AC12" i="36"/>
  <c r="W12" i="36"/>
  <c r="AC24" i="36"/>
  <c r="W24" i="36"/>
  <c r="AZ499" i="3"/>
  <c r="AZ391" i="3"/>
  <c r="AZ380" i="3"/>
  <c r="AZ345" i="3"/>
  <c r="AZ311" i="3"/>
  <c r="AZ389" i="3"/>
  <c r="AZ372" i="3"/>
  <c r="AZ342" i="3"/>
  <c r="AZ337" i="3"/>
  <c r="AZ376" i="3"/>
  <c r="AZ360" i="3"/>
  <c r="AZ343" i="3"/>
  <c r="AZ523" i="3"/>
  <c r="AZ527" i="3"/>
  <c r="AZ531" i="3"/>
  <c r="AZ535" i="3"/>
  <c r="AZ539" i="3"/>
  <c r="AZ543" i="3"/>
  <c r="AZ547" i="3"/>
  <c r="AZ559" i="3"/>
  <c r="AZ579" i="3"/>
  <c r="AZ496" i="3"/>
  <c r="AZ504" i="3"/>
  <c r="AZ508" i="3"/>
  <c r="AZ516" i="3"/>
  <c r="AZ524" i="3"/>
  <c r="AZ528" i="3"/>
  <c r="AZ532" i="3"/>
  <c r="AZ536" i="3"/>
  <c r="AZ544" i="3"/>
  <c r="AZ554" i="3"/>
  <c r="AZ558" i="3"/>
  <c r="AZ582" i="3"/>
  <c r="AZ494" i="3"/>
  <c r="AZ530" i="3"/>
  <c r="AA14" i="37"/>
  <c r="U31" i="34"/>
  <c r="F9" i="36"/>
  <c r="AA9" i="36" s="1"/>
  <c r="H24" i="36"/>
  <c r="AB24" i="36" s="1"/>
  <c r="M20" i="15"/>
  <c r="F34" i="77"/>
  <c r="F62" i="77" s="1"/>
  <c r="M20" i="77"/>
  <c r="BA222" i="3"/>
  <c r="AZ222" i="3" s="1"/>
  <c r="BA223" i="3"/>
  <c r="AZ223" i="3" s="1"/>
  <c r="BL225" i="3"/>
  <c r="G226" i="3"/>
  <c r="G228" i="3"/>
  <c r="BL229" i="3"/>
  <c r="G230" i="3"/>
  <c r="G235" i="3"/>
  <c r="G239" i="3"/>
  <c r="BL240" i="3"/>
  <c r="G241" i="3"/>
  <c r="BA242" i="3"/>
  <c r="BL242" i="3"/>
  <c r="BL244" i="3"/>
  <c r="G245" i="3"/>
  <c r="BA246" i="3"/>
  <c r="BL246" i="3"/>
  <c r="BA247" i="3"/>
  <c r="AZ247" i="3" s="1"/>
  <c r="BA248" i="3"/>
  <c r="AZ248" i="3" s="1"/>
  <c r="BA249" i="3"/>
  <c r="AZ249" i="3" s="1"/>
  <c r="BA251" i="3"/>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582" i="3"/>
  <c r="G556" i="3"/>
  <c r="G552" i="3"/>
  <c r="G551" i="3"/>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BL170" i="3"/>
  <c r="BA172" i="3"/>
  <c r="AZ172" i="3" s="1"/>
  <c r="G175" i="3"/>
  <c r="G178" i="3"/>
  <c r="BA181" i="3"/>
  <c r="BL181" i="3"/>
  <c r="BL183" i="3"/>
  <c r="AZ183" i="3" s="1"/>
  <c r="G184" i="3"/>
  <c r="BA186" i="3"/>
  <c r="BL186" i="3"/>
  <c r="BA188" i="3"/>
  <c r="AZ188" i="3" s="1"/>
  <c r="G191" i="3"/>
  <c r="G194" i="3"/>
  <c r="BA197" i="3"/>
  <c r="BL197" i="3"/>
  <c r="BL199" i="3"/>
  <c r="AZ199" i="3" s="1"/>
  <c r="G200" i="3"/>
  <c r="BA201" i="3"/>
  <c r="BL201" i="3"/>
  <c r="BL203" i="3"/>
  <c r="AZ203" i="3" s="1"/>
  <c r="G204" i="3"/>
  <c r="BL205" i="3"/>
  <c r="G206" i="3"/>
  <c r="BA207" i="3"/>
  <c r="BL207" i="3"/>
  <c r="G18" i="3"/>
  <c r="G20" i="3"/>
  <c r="BL22" i="3"/>
  <c r="G23" i="3"/>
  <c r="BA24" i="3"/>
  <c r="G25" i="3"/>
  <c r="BA26" i="3"/>
  <c r="BL26" i="3"/>
  <c r="G27" i="3"/>
  <c r="G32" i="3"/>
  <c r="G33" i="3"/>
  <c r="G35" i="3"/>
  <c r="G37" i="3"/>
  <c r="G39" i="3"/>
  <c r="G40" i="3"/>
  <c r="G42" i="3"/>
  <c r="G43" i="3"/>
  <c r="BA44" i="3"/>
  <c r="AZ44" i="3" s="1"/>
  <c r="BA45" i="3"/>
  <c r="AZ45" i="3" s="1"/>
  <c r="BA47" i="3"/>
  <c r="BL47" i="3"/>
  <c r="G48" i="3"/>
  <c r="G50" i="3"/>
  <c r="BL52" i="3"/>
  <c r="G53" i="3"/>
  <c r="BA54" i="3"/>
  <c r="BL54" i="3"/>
  <c r="G55" i="3"/>
  <c r="G57" i="3"/>
  <c r="BA58" i="3"/>
  <c r="G59" i="3"/>
  <c r="BA61" i="3"/>
  <c r="AZ61" i="3" s="1"/>
  <c r="BA63" i="3"/>
  <c r="BL63" i="3"/>
  <c r="G64" i="3"/>
  <c r="BA65" i="3"/>
  <c r="BL65" i="3"/>
  <c r="G66"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77"/>
  <c r="K100" i="43"/>
  <c r="G7" i="1"/>
  <c r="BL64" i="3"/>
  <c r="BA66" i="3"/>
  <c r="BL56" i="3"/>
  <c r="BL59" i="3"/>
  <c r="BA50" i="3"/>
  <c r="BL50" i="3"/>
  <c r="BL53" i="3"/>
  <c r="BA41" i="3"/>
  <c r="BL41" i="3"/>
  <c r="BL43" i="3"/>
  <c r="BL34" i="3"/>
  <c r="BL36" i="3"/>
  <c r="BL38" i="3"/>
  <c r="BL37" i="3"/>
  <c r="BA31" i="3"/>
  <c r="BL31" i="3"/>
  <c r="BL25" i="3"/>
  <c r="BL20" i="3"/>
  <c r="BJ5" i="3"/>
  <c r="BF5" i="3"/>
  <c r="BB5" i="3"/>
  <c r="E8" i="6" s="1"/>
  <c r="F27" i="6" s="1"/>
  <c r="BT5" i="3"/>
  <c r="G28" i="6" s="1"/>
  <c r="BE5" i="3"/>
  <c r="G14" i="3"/>
  <c r="BA60" i="3"/>
  <c r="AZ60" i="3" s="1"/>
  <c r="BA59" i="3"/>
  <c r="BA38" i="3"/>
  <c r="BA23" i="3"/>
  <c r="AZ23" i="3" s="1"/>
  <c r="BA20" i="3"/>
  <c r="AZ20" i="3" s="1"/>
  <c r="A15" i="62"/>
  <c r="B61" i="72" s="1"/>
  <c r="H73" i="43"/>
  <c r="H75" i="43"/>
  <c r="H52" i="43"/>
  <c r="H50" i="43"/>
  <c r="H48" i="43"/>
  <c r="H83" i="43"/>
  <c r="H82" i="43"/>
  <c r="AZ362" i="3"/>
  <c r="AZ557" i="3"/>
  <c r="S29" i="35"/>
  <c r="AA29" i="35"/>
  <c r="AB33" i="35"/>
  <c r="U33" i="35"/>
  <c r="B74" i="43"/>
  <c r="C27" i="39"/>
  <c r="AB35" i="33"/>
  <c r="U35" i="33"/>
  <c r="AB8" i="35"/>
  <c r="U8" i="35"/>
  <c r="AC28" i="36"/>
  <c r="W28" i="36"/>
  <c r="W16" i="36"/>
  <c r="AC16" i="36"/>
  <c r="S31" i="36"/>
  <c r="AA31" i="36"/>
  <c r="J39" i="37"/>
  <c r="AC39" i="37" s="1"/>
  <c r="F39" i="37"/>
  <c r="H39" i="37"/>
  <c r="AB40" i="40"/>
  <c r="U40" i="40"/>
  <c r="F38" i="40"/>
  <c r="H38" i="40"/>
  <c r="J40" i="40"/>
  <c r="F40" i="40"/>
  <c r="AC11" i="39"/>
  <c r="BQ5" i="3"/>
  <c r="F28" i="6" s="1"/>
  <c r="F29" i="6"/>
  <c r="AZ327" i="3"/>
  <c r="AZ310" i="3"/>
  <c r="AZ371" i="3"/>
  <c r="AZ336" i="3"/>
  <c r="AZ329" i="3"/>
  <c r="AZ321" i="3"/>
  <c r="AZ304" i="3"/>
  <c r="AC13" i="40"/>
  <c r="AA25" i="21"/>
  <c r="AC46" i="21"/>
  <c r="W44" i="21"/>
  <c r="AB37" i="34"/>
  <c r="U33" i="37"/>
  <c r="W14" i="37"/>
  <c r="U43" i="33"/>
  <c r="AA41" i="34"/>
  <c r="AZ507" i="3"/>
  <c r="AZ513" i="3"/>
  <c r="AZ521" i="3"/>
  <c r="AZ553" i="3"/>
  <c r="AZ583" i="3"/>
  <c r="AZ581" i="3"/>
  <c r="AZ518" i="3"/>
  <c r="AZ538" i="3"/>
  <c r="AZ552" i="3"/>
  <c r="S44" i="34"/>
  <c r="U13" i="33"/>
  <c r="AB45" i="33"/>
  <c r="AA14" i="34"/>
  <c r="AB46" i="34"/>
  <c r="AB11" i="36"/>
  <c r="U46" i="33"/>
  <c r="AA13" i="35"/>
  <c r="U23" i="40"/>
  <c r="S8" i="33"/>
  <c r="S38" i="33"/>
  <c r="U34" i="21"/>
  <c r="AB39" i="40"/>
  <c r="U33" i="33"/>
  <c r="AC31" i="36"/>
  <c r="AC41" i="33"/>
  <c r="AC8" i="34"/>
  <c r="W8" i="34"/>
  <c r="S12" i="34"/>
  <c r="AA12" i="34"/>
  <c r="AA35" i="34"/>
  <c r="S35" i="34"/>
  <c r="AB34" i="35"/>
  <c r="U34" i="35"/>
  <c r="J12" i="33"/>
  <c r="AC12" i="33" s="1"/>
  <c r="H12" i="33"/>
  <c r="AC22" i="35"/>
  <c r="W22" i="35"/>
  <c r="U12" i="36"/>
  <c r="AB12" i="36"/>
  <c r="H25" i="37"/>
  <c r="J25" i="37"/>
  <c r="F31" i="39"/>
  <c r="J31" i="39"/>
  <c r="AA34" i="39"/>
  <c r="S34" i="39"/>
  <c r="W9" i="40"/>
  <c r="AC9" i="40"/>
  <c r="AB34" i="40"/>
  <c r="U34" i="40"/>
  <c r="BA551" i="3"/>
  <c r="BL550" i="3"/>
  <c r="BA550" i="3"/>
  <c r="BL548" i="3"/>
  <c r="AZ548" i="3" s="1"/>
  <c r="BL586" i="3"/>
  <c r="AZ586" i="3" s="1"/>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AZ427" i="3" s="1"/>
  <c r="G430" i="3"/>
  <c r="G431" i="3"/>
  <c r="BL431" i="3"/>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G456" i="3"/>
  <c r="G457" i="3"/>
  <c r="BL457" i="3"/>
  <c r="AZ457" i="3" s="1"/>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AZ490" i="3" s="1"/>
  <c r="G311" i="3"/>
  <c r="G315" i="3"/>
  <c r="BA317" i="3"/>
  <c r="AZ317" i="3" s="1"/>
  <c r="G327" i="3"/>
  <c r="G331" i="3"/>
  <c r="BA333" i="3"/>
  <c r="AZ333" i="3" s="1"/>
  <c r="G343" i="3"/>
  <c r="BA348" i="3"/>
  <c r="AZ348" i="3" s="1"/>
  <c r="BA349" i="3"/>
  <c r="AZ349" i="3" s="1"/>
  <c r="G351" i="3"/>
  <c r="BA354" i="3"/>
  <c r="AZ354" i="3" s="1"/>
  <c r="G364" i="3"/>
  <c r="BA366" i="3"/>
  <c r="AZ366" i="3" s="1"/>
  <c r="BL367" i="3"/>
  <c r="AZ367" i="3" s="1"/>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AZ238" i="3" s="1"/>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L15" i="3"/>
  <c r="AZ15" i="3" s="1"/>
  <c r="AZ403" i="3"/>
  <c r="AZ406" i="3"/>
  <c r="AZ419" i="3"/>
  <c r="AZ422" i="3"/>
  <c r="AZ425" i="3"/>
  <c r="AZ431" i="3"/>
  <c r="AZ435" i="3"/>
  <c r="AZ438" i="3"/>
  <c r="AZ442" i="3"/>
  <c r="AZ451" i="3"/>
  <c r="AZ453" i="3"/>
  <c r="AZ454" i="3"/>
  <c r="AZ458" i="3"/>
  <c r="AZ468" i="3"/>
  <c r="AZ469" i="3"/>
  <c r="AZ486" i="3"/>
  <c r="AZ487" i="3"/>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AZ274" i="3"/>
  <c r="AZ277" i="3"/>
  <c r="AZ284" i="3"/>
  <c r="AZ290" i="3"/>
  <c r="AZ293" i="3"/>
  <c r="AZ300" i="3"/>
  <c r="AZ122" i="3"/>
  <c r="AZ125" i="3"/>
  <c r="AZ153" i="3"/>
  <c r="AZ161" i="3"/>
  <c r="AZ169" i="3"/>
  <c r="AZ177" i="3"/>
  <c r="AZ185" i="3"/>
  <c r="AZ193" i="3"/>
  <c r="G100" i="4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BA36" i="3"/>
  <c r="BA37" i="3"/>
  <c r="AZ37" i="3" s="1"/>
  <c r="BL39" i="3"/>
  <c r="AZ39" i="3" s="1"/>
  <c r="BA40" i="3"/>
  <c r="AZ40" i="3" s="1"/>
  <c r="BL42" i="3"/>
  <c r="AZ42" i="3" s="1"/>
  <c r="G45" i="3"/>
  <c r="G46" i="3"/>
  <c r="BL46" i="3"/>
  <c r="G49" i="3"/>
  <c r="BL49" i="3"/>
  <c r="AZ49" i="3" s="1"/>
  <c r="BL51" i="3"/>
  <c r="BA52" i="3"/>
  <c r="AZ52" i="3" s="1"/>
  <c r="BA53" i="3"/>
  <c r="AZ53" i="3" s="1"/>
  <c r="BL55" i="3"/>
  <c r="AZ55" i="3" s="1"/>
  <c r="BA56" i="3"/>
  <c r="AZ56" i="3" s="1"/>
  <c r="BL58" i="3"/>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AZ80" i="3" s="1"/>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G29" i="6"/>
  <c r="AC26" i="33"/>
  <c r="W26" i="33"/>
  <c r="W27" i="34"/>
  <c r="AC27" i="34"/>
  <c r="AB34" i="36"/>
  <c r="U34" i="36"/>
  <c r="AB33" i="36"/>
  <c r="U33" i="36"/>
  <c r="AC12" i="39"/>
  <c r="W12" i="39"/>
  <c r="AC39" i="40"/>
  <c r="W39" i="40"/>
  <c r="AZ401" i="3"/>
  <c r="AZ412" i="3"/>
  <c r="AZ417" i="3"/>
  <c r="AZ428" i="3"/>
  <c r="AZ433" i="3"/>
  <c r="AZ465" i="3"/>
  <c r="W12" i="33"/>
  <c r="AA32" i="36"/>
  <c r="S32" i="36"/>
  <c r="AZ551" i="3"/>
  <c r="AZ408" i="3"/>
  <c r="AZ441" i="3"/>
  <c r="AZ473" i="3"/>
  <c r="AA39" i="34"/>
  <c r="BL14" i="3"/>
  <c r="AZ266" i="3"/>
  <c r="U30" i="33"/>
  <c r="AC13" i="34"/>
  <c r="AA47" i="34"/>
  <c r="W28" i="37"/>
  <c r="S19" i="39"/>
  <c r="F12" i="33"/>
  <c r="H12" i="39"/>
  <c r="AB12" i="39" s="1"/>
  <c r="F39" i="40"/>
  <c r="BA14" i="3"/>
  <c r="AZ14" i="3" s="1"/>
  <c r="AZ213" i="3"/>
  <c r="AZ224" i="3"/>
  <c r="AZ234" i="3"/>
  <c r="AZ250" i="3"/>
  <c r="AZ254" i="3"/>
  <c r="AZ281" i="3"/>
  <c r="AZ286" i="3"/>
  <c r="AZ297" i="3"/>
  <c r="AZ149" i="3"/>
  <c r="AZ157" i="3"/>
  <c r="AZ165" i="3"/>
  <c r="AZ173" i="3"/>
  <c r="AZ181" i="3"/>
  <c r="AZ189" i="3"/>
  <c r="AZ197" i="3"/>
  <c r="AZ19" i="3"/>
  <c r="AZ26" i="3"/>
  <c r="AZ35" i="3"/>
  <c r="S12" i="1"/>
  <c r="AQ12" i="1" s="1"/>
  <c r="R12" i="1"/>
  <c r="B12" i="1"/>
  <c r="E12" i="1" s="1"/>
  <c r="S10" i="1"/>
  <c r="AQ10" i="1" s="1"/>
  <c r="R10" i="1"/>
  <c r="B10" i="1"/>
  <c r="E10" i="1" s="1"/>
  <c r="D1" i="66"/>
  <c r="E10" i="66" s="1"/>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L17" i="3"/>
  <c r="AZ17" i="3" s="1"/>
  <c r="BL13" i="3"/>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C10" i="15" s="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2" i="67"/>
  <c r="M29" i="67"/>
  <c r="M24" i="15"/>
  <c r="F16" i="15"/>
  <c r="M28" i="67"/>
  <c r="F36" i="15"/>
  <c r="L47" i="15"/>
  <c r="F37" i="15"/>
  <c r="J15" i="67"/>
  <c r="F26" i="67"/>
  <c r="F43" i="67"/>
  <c r="F13" i="67"/>
  <c r="F38" i="15"/>
  <c r="F36" i="67"/>
  <c r="L48" i="15"/>
  <c r="M23" i="67"/>
  <c r="F8" i="67"/>
  <c r="L48" i="67"/>
  <c r="L47" i="67"/>
  <c r="F40" i="67"/>
  <c r="F37" i="67"/>
  <c r="M9" i="15"/>
  <c r="F40" i="15"/>
  <c r="F9" i="15"/>
  <c r="M24" i="67"/>
  <c r="G1" i="73"/>
  <c r="AZ41" i="3" l="1"/>
  <c r="AZ246" i="3"/>
  <c r="AZ242" i="3"/>
  <c r="AZ102" i="3"/>
  <c r="AZ100" i="3"/>
  <c r="AZ89" i="3"/>
  <c r="AZ76" i="3"/>
  <c r="AZ288" i="3"/>
  <c r="AZ275" i="3"/>
  <c r="AZ271" i="3"/>
  <c r="AZ353" i="3"/>
  <c r="AA34" i="35"/>
  <c r="S34" i="35"/>
  <c r="AZ395" i="3"/>
  <c r="AC26" i="37"/>
  <c r="W26" i="37"/>
  <c r="AZ51" i="3"/>
  <c r="AZ36" i="3"/>
  <c r="AZ46" i="3"/>
  <c r="AZ43" i="3"/>
  <c r="AZ57" i="3"/>
  <c r="E51" i="40"/>
  <c r="E56" i="39"/>
  <c r="AE11" i="43"/>
  <c r="AE13" i="43" s="1"/>
  <c r="AZ58" i="3"/>
  <c r="AA11" i="43"/>
  <c r="AA13" i="43" s="1"/>
  <c r="AI11" i="43"/>
  <c r="AI13" i="43" s="1"/>
  <c r="Z7" i="43"/>
  <c r="AF11" i="43"/>
  <c r="AF13" i="43" s="1"/>
  <c r="H101" i="43"/>
  <c r="AH11" i="43"/>
  <c r="AH13" i="43" s="1"/>
  <c r="L101" i="43"/>
  <c r="L109" i="43" s="1"/>
  <c r="H22" i="43"/>
  <c r="AB11" i="43"/>
  <c r="AB13" i="43" s="1"/>
  <c r="AD11" i="43"/>
  <c r="AD13" i="43" s="1"/>
  <c r="G22" i="43"/>
  <c r="AC11" i="43"/>
  <c r="AC13" i="43" s="1"/>
  <c r="AJ11" i="43"/>
  <c r="AJ13" i="43" s="1"/>
  <c r="E101" i="43"/>
  <c r="E102" i="43" s="1"/>
  <c r="AG11" i="43"/>
  <c r="AG13" i="43" s="1"/>
  <c r="I101" i="43"/>
  <c r="S5" i="43"/>
  <c r="M101" i="43"/>
  <c r="M109" i="43" s="1"/>
  <c r="Y11" i="43"/>
  <c r="Y13" i="43" s="1"/>
  <c r="Z11" i="43"/>
  <c r="Z13" i="43" s="1"/>
  <c r="D101" i="43"/>
  <c r="D109" i="43" s="1"/>
  <c r="E29" i="6"/>
  <c r="K15" i="1" s="1"/>
  <c r="E11" i="6"/>
  <c r="E61" i="39" s="1"/>
  <c r="AR10" i="1"/>
  <c r="E14" i="6"/>
  <c r="E64" i="39" s="1"/>
  <c r="AZ33" i="3"/>
  <c r="F22" i="43"/>
  <c r="J101" i="43"/>
  <c r="J104" i="43" s="1"/>
  <c r="N101" i="43"/>
  <c r="N107" i="43" s="1"/>
  <c r="G101" i="43"/>
  <c r="G105" i="43" s="1"/>
  <c r="K101" i="43"/>
  <c r="K103" i="43" s="1"/>
  <c r="B115" i="43"/>
  <c r="C115" i="43" s="1"/>
  <c r="B118" i="43"/>
  <c r="C118" i="43" s="1"/>
  <c r="I115" i="43"/>
  <c r="J115" i="43" s="1"/>
  <c r="K115" i="43" s="1"/>
  <c r="L115" i="43" s="1"/>
  <c r="M115" i="43" s="1"/>
  <c r="N104" i="46"/>
  <c r="C101" i="43"/>
  <c r="C102" i="43" s="1"/>
  <c r="S2" i="43" s="1"/>
  <c r="E22" i="43"/>
  <c r="F101" i="43"/>
  <c r="F105" i="43" s="1"/>
  <c r="AZ550" i="3"/>
  <c r="AZ65" i="3"/>
  <c r="AZ54" i="3"/>
  <c r="AZ47" i="3"/>
  <c r="AZ186" i="3"/>
  <c r="AZ154" i="3"/>
  <c r="AZ217" i="3"/>
  <c r="AZ208" i="3"/>
  <c r="AZ332" i="3"/>
  <c r="AZ461" i="3"/>
  <c r="AA29" i="21"/>
  <c r="AZ105" i="3"/>
  <c r="AZ85" i="3"/>
  <c r="AZ194" i="3"/>
  <c r="AZ162" i="3"/>
  <c r="AZ291" i="3"/>
  <c r="AZ262" i="3"/>
  <c r="AZ258" i="3"/>
  <c r="AZ491" i="3"/>
  <c r="AR12" i="1"/>
  <c r="I116" i="43"/>
  <c r="J116" i="43" s="1"/>
  <c r="K116" i="43" s="1"/>
  <c r="L116" i="43" s="1"/>
  <c r="M116" i="43" s="1"/>
  <c r="D116" i="43"/>
  <c r="E116" i="43" s="1"/>
  <c r="F116" i="43" s="1"/>
  <c r="G116" i="43" s="1"/>
  <c r="H116" i="43" s="1"/>
  <c r="D117" i="43"/>
  <c r="E117" i="43" s="1"/>
  <c r="F117" i="43" s="1"/>
  <c r="G117" i="43" s="1"/>
  <c r="H117" i="43" s="1"/>
  <c r="E28" i="6"/>
  <c r="E30" i="6" s="1"/>
  <c r="AZ59" i="3"/>
  <c r="AZ31" i="3"/>
  <c r="AZ50" i="3"/>
  <c r="AZ95" i="3"/>
  <c r="AZ71" i="3"/>
  <c r="AZ67" i="3"/>
  <c r="AZ63" i="3"/>
  <c r="AZ207" i="3"/>
  <c r="AZ201" i="3"/>
  <c r="AZ170" i="3"/>
  <c r="AZ117" i="3"/>
  <c r="AZ480" i="3"/>
  <c r="AZ476" i="3"/>
  <c r="AZ251" i="3"/>
  <c r="E19" i="6"/>
  <c r="K6" i="1" s="1"/>
  <c r="M6" i="1" s="1"/>
  <c r="O6" i="1" s="1"/>
  <c r="P6" i="1" s="1"/>
  <c r="F53" i="9"/>
  <c r="M18" i="77"/>
  <c r="F32" i="77"/>
  <c r="F28" i="77"/>
  <c r="C28" i="77" s="1"/>
  <c r="E13" i="6"/>
  <c r="E58" i="40" s="1"/>
  <c r="AZ34" i="3"/>
  <c r="AZ38" i="3"/>
  <c r="E12" i="6"/>
  <c r="E62" i="39" s="1"/>
  <c r="F30" i="6"/>
  <c r="F31" i="6" s="1"/>
  <c r="E15" i="6"/>
  <c r="E60" i="40" s="1"/>
  <c r="T10" i="1"/>
  <c r="G118" i="43"/>
  <c r="H118" i="43" s="1"/>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T12" i="1"/>
  <c r="C4" i="4"/>
  <c r="B4" i="62" s="1"/>
  <c r="B71" i="72" s="1"/>
  <c r="E4" i="4"/>
  <c r="AA31" i="39"/>
  <c r="S31" i="39"/>
  <c r="U25" i="37"/>
  <c r="AB25" i="37"/>
  <c r="AA40" i="40"/>
  <c r="S40" i="40"/>
  <c r="AB38" i="40"/>
  <c r="U38" i="40"/>
  <c r="AB39" i="37"/>
  <c r="U39" i="37"/>
  <c r="BA5" i="3"/>
  <c r="W17" i="21"/>
  <c r="N109" i="43"/>
  <c r="C7" i="43"/>
  <c r="J109" i="43"/>
  <c r="N106" i="43"/>
  <c r="N103" i="43"/>
  <c r="I109" i="43"/>
  <c r="G30" i="6"/>
  <c r="G31" i="6" s="1"/>
  <c r="G5" i="3"/>
  <c r="B3" i="3" s="1"/>
  <c r="AC25" i="37"/>
  <c r="W25" i="37"/>
  <c r="U12" i="33"/>
  <c r="AB12" i="33"/>
  <c r="W40" i="40"/>
  <c r="AC40" i="40"/>
  <c r="AA38" i="40"/>
  <c r="S38" i="40"/>
  <c r="S39" i="37"/>
  <c r="AA39" i="37"/>
  <c r="L58" i="67"/>
  <c r="L58" i="15"/>
  <c r="Q73" i="15" s="1"/>
  <c r="N59" i="67"/>
  <c r="L59" i="67" s="1"/>
  <c r="M59" i="67"/>
  <c r="M59" i="15"/>
  <c r="J53" i="67"/>
  <c r="I54" i="67"/>
  <c r="N59" i="15"/>
  <c r="I54" i="15"/>
  <c r="J53" i="15"/>
  <c r="L56" i="15" s="1"/>
  <c r="AQ13" i="1"/>
  <c r="AZ13" i="3"/>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D68" i="39"/>
  <c r="D70" i="39" s="1"/>
  <c r="T9" i="1"/>
  <c r="T13" i="1"/>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BL5" i="3"/>
  <c r="C19" i="43"/>
  <c r="J59" i="9"/>
  <c r="J61" i="9" s="1"/>
  <c r="M102" i="43"/>
  <c r="M104" i="43"/>
  <c r="M106" i="43"/>
  <c r="M107" i="43"/>
  <c r="M103" i="43"/>
  <c r="M105" i="43"/>
  <c r="H102" i="43"/>
  <c r="H107" i="43"/>
  <c r="H103" i="43"/>
  <c r="H106" i="43"/>
  <c r="H104" i="43"/>
  <c r="H105" i="43"/>
  <c r="H109" i="43"/>
  <c r="I102" i="43"/>
  <c r="I104" i="43"/>
  <c r="I106" i="43"/>
  <c r="I107" i="43"/>
  <c r="I103" i="43"/>
  <c r="I105" i="43"/>
  <c r="D103" i="43"/>
  <c r="D105" i="43"/>
  <c r="D104" i="43"/>
  <c r="D106" i="43"/>
  <c r="D107" i="43"/>
  <c r="D102" i="43"/>
  <c r="AR8" i="1"/>
  <c r="AQ8" i="1"/>
  <c r="T8"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51" i="67"/>
  <c r="F68" i="67"/>
  <c r="F71" i="67"/>
  <c r="F64" i="67"/>
  <c r="F65" i="67"/>
  <c r="F64" i="15"/>
  <c r="F65" i="15"/>
  <c r="J57" i="15"/>
  <c r="J55" i="15" s="1"/>
  <c r="J58" i="15" s="1"/>
  <c r="Q50" i="15" s="1"/>
  <c r="F68" i="15"/>
  <c r="F66" i="15"/>
  <c r="C10" i="67"/>
  <c r="AP7" i="1"/>
  <c r="C36" i="69" s="1"/>
  <c r="M7" i="1"/>
  <c r="O7" i="1" s="1"/>
  <c r="AB45" i="21"/>
  <c r="AC33" i="21"/>
  <c r="W33" i="21"/>
  <c r="S33" i="21"/>
  <c r="AA33" i="21"/>
  <c r="W32" i="21"/>
  <c r="AC32" i="21"/>
  <c r="AB9" i="21"/>
  <c r="U9" i="21"/>
  <c r="AA32" i="21"/>
  <c r="S32" i="21"/>
  <c r="W9" i="21"/>
  <c r="AC9" i="21"/>
  <c r="AB32" i="21"/>
  <c r="U32" i="21"/>
  <c r="AA10" i="21"/>
  <c r="S10" i="21"/>
  <c r="F31" i="15"/>
  <c r="F31" i="67"/>
  <c r="J15" i="77"/>
  <c r="M29" i="15"/>
  <c r="C16" i="15"/>
  <c r="F43" i="15"/>
  <c r="M28" i="77"/>
  <c r="F16" i="77"/>
  <c r="M8" i="77"/>
  <c r="F7" i="67"/>
  <c r="F7" i="77"/>
  <c r="F40" i="77"/>
  <c r="F13" i="15"/>
  <c r="F8" i="77"/>
  <c r="C76" i="77"/>
  <c r="F36" i="77"/>
  <c r="F7" i="15"/>
  <c r="F42" i="67"/>
  <c r="C76" i="67"/>
  <c r="F26" i="77"/>
  <c r="F42" i="15"/>
  <c r="L47" i="77"/>
  <c r="F8" i="15"/>
  <c r="M9" i="77"/>
  <c r="F6" i="15"/>
  <c r="F9" i="67"/>
  <c r="M8" i="67"/>
  <c r="M23" i="77"/>
  <c r="M6" i="67"/>
  <c r="M6" i="77"/>
  <c r="M23" i="15"/>
  <c r="F38" i="77"/>
  <c r="M9" i="67"/>
  <c r="M26" i="15"/>
  <c r="F16" i="67"/>
  <c r="F37" i="77"/>
  <c r="M22" i="77"/>
  <c r="J15" i="15"/>
  <c r="C76" i="15"/>
  <c r="F9" i="77"/>
  <c r="M8" i="15"/>
  <c r="F38" i="67"/>
  <c r="M26" i="67"/>
  <c r="M28" i="15"/>
  <c r="F6" i="67"/>
  <c r="M27" i="77"/>
  <c r="L48" i="77"/>
  <c r="F43" i="77"/>
  <c r="M24" i="77"/>
  <c r="F6" i="77"/>
  <c r="F13" i="77"/>
  <c r="M29" i="77"/>
  <c r="M26" i="77"/>
  <c r="F42" i="77"/>
  <c r="E53" i="3" l="1"/>
  <c r="B31" i="3"/>
  <c r="F10" i="78"/>
  <c r="G10" i="78" s="1"/>
  <c r="E105" i="43"/>
  <c r="E103" i="43"/>
  <c r="K14" i="1"/>
  <c r="M14" i="1" s="1"/>
  <c r="O14" i="1" s="1"/>
  <c r="P14" i="1" s="1"/>
  <c r="E109" i="43"/>
  <c r="E106" i="43"/>
  <c r="E107" i="43"/>
  <c r="E104" i="43"/>
  <c r="L105" i="43"/>
  <c r="L106" i="43"/>
  <c r="L102" i="43"/>
  <c r="L103" i="43"/>
  <c r="L104" i="43"/>
  <c r="L107" i="43"/>
  <c r="K109" i="43"/>
  <c r="G106" i="43"/>
  <c r="G102" i="43"/>
  <c r="J107" i="43"/>
  <c r="J103" i="43"/>
  <c r="F103" i="43"/>
  <c r="E59" i="40"/>
  <c r="G107" i="43"/>
  <c r="K107" i="43"/>
  <c r="D22" i="43"/>
  <c r="J106" i="43"/>
  <c r="C107" i="43"/>
  <c r="F106" i="43"/>
  <c r="C105" i="43"/>
  <c r="K104" i="43"/>
  <c r="K106" i="43"/>
  <c r="E57" i="40"/>
  <c r="N104" i="43"/>
  <c r="E56" i="40"/>
  <c r="K105" i="43"/>
  <c r="D113" i="43"/>
  <c r="J22" i="43" s="1"/>
  <c r="G103" i="43"/>
  <c r="F102" i="43"/>
  <c r="C103" i="43"/>
  <c r="F109" i="43"/>
  <c r="G104" i="43"/>
  <c r="J105" i="43"/>
  <c r="J102" i="43"/>
  <c r="G109" i="43"/>
  <c r="AZ5" i="3"/>
  <c r="AY6" i="3" s="1"/>
  <c r="AY76" i="3" s="1"/>
  <c r="K102" i="43"/>
  <c r="E27" i="6"/>
  <c r="K23" i="6" s="1"/>
  <c r="M23" i="6" s="1"/>
  <c r="I23" i="6" s="1"/>
  <c r="S23" i="6" s="1"/>
  <c r="N102" i="43"/>
  <c r="N105" i="43"/>
  <c r="E123" i="3"/>
  <c r="E326" i="3"/>
  <c r="E315" i="3"/>
  <c r="E113" i="3"/>
  <c r="E79" i="3"/>
  <c r="E106" i="3"/>
  <c r="E83" i="3"/>
  <c r="E287" i="3"/>
  <c r="AF6" i="3"/>
  <c r="E299" i="3"/>
  <c r="E74" i="3"/>
  <c r="E171" i="3"/>
  <c r="E587" i="3"/>
  <c r="E22" i="3"/>
  <c r="E308" i="3"/>
  <c r="E158" i="3"/>
  <c r="E80" i="3"/>
  <c r="E251" i="3"/>
  <c r="AQ6" i="3"/>
  <c r="E137" i="3"/>
  <c r="E409" i="3"/>
  <c r="E362" i="3"/>
  <c r="E214" i="3"/>
  <c r="E146" i="3"/>
  <c r="E468" i="3"/>
  <c r="E437" i="3"/>
  <c r="G16" i="1"/>
  <c r="H10" i="40" s="1"/>
  <c r="U10" i="40" s="1"/>
  <c r="E101" i="3"/>
  <c r="E524" i="3"/>
  <c r="E365" i="3"/>
  <c r="E265" i="3"/>
  <c r="E218" i="3"/>
  <c r="E176" i="3"/>
  <c r="E62" i="3"/>
  <c r="E102" i="3"/>
  <c r="E370" i="3"/>
  <c r="E232" i="3"/>
  <c r="E36" i="3"/>
  <c r="E325" i="3"/>
  <c r="E234" i="3"/>
  <c r="E100" i="3"/>
  <c r="E15" i="3"/>
  <c r="E32" i="3"/>
  <c r="E580" i="3"/>
  <c r="E394" i="3"/>
  <c r="E274" i="3"/>
  <c r="E256" i="3"/>
  <c r="E203" i="3"/>
  <c r="E73" i="3"/>
  <c r="E454" i="3"/>
  <c r="E577" i="3"/>
  <c r="E424" i="3"/>
  <c r="E330" i="3"/>
  <c r="E16" i="6"/>
  <c r="E63" i="39"/>
  <c r="F104" i="43"/>
  <c r="F107" i="43"/>
  <c r="C104" i="43"/>
  <c r="C106" i="43"/>
  <c r="C109" i="43"/>
  <c r="E20" i="3"/>
  <c r="E50" i="3"/>
  <c r="E364" i="3"/>
  <c r="E340" i="3"/>
  <c r="E289" i="3"/>
  <c r="E147" i="3"/>
  <c r="E112" i="3"/>
  <c r="E52" i="3"/>
  <c r="E392" i="3"/>
  <c r="E339" i="3"/>
  <c r="E219" i="3"/>
  <c r="E194" i="3"/>
  <c r="E170" i="3"/>
  <c r="E38" i="3"/>
  <c r="E455" i="3"/>
  <c r="E473" i="3"/>
  <c r="E75" i="3"/>
  <c r="E93" i="3"/>
  <c r="E31" i="3"/>
  <c r="E14" i="3"/>
  <c r="E318" i="3"/>
  <c r="E357" i="3"/>
  <c r="E351" i="3"/>
  <c r="E257" i="3"/>
  <c r="E279" i="3"/>
  <c r="E208" i="3"/>
  <c r="E150" i="3"/>
  <c r="E168" i="3"/>
  <c r="E111" i="3"/>
  <c r="E54" i="3"/>
  <c r="E55" i="3"/>
  <c r="E496" i="3"/>
  <c r="E429" i="3"/>
  <c r="AE6" i="3"/>
  <c r="E344" i="3"/>
  <c r="E481" i="3"/>
  <c r="Q6" i="3"/>
  <c r="E167" i="3"/>
  <c r="H16" i="1"/>
  <c r="C27" i="77"/>
  <c r="F65" i="77"/>
  <c r="N59" i="77"/>
  <c r="L59" i="77"/>
  <c r="L58" i="77"/>
  <c r="M59" i="77"/>
  <c r="M7" i="77"/>
  <c r="J10" i="77" s="1"/>
  <c r="F50" i="77"/>
  <c r="Q71" i="77"/>
  <c r="J53" i="77"/>
  <c r="L56" i="77"/>
  <c r="J57" i="77"/>
  <c r="J55" i="77" s="1"/>
  <c r="J58" i="77" s="1"/>
  <c r="Q50" i="77" s="1"/>
  <c r="I54" i="77"/>
  <c r="C6" i="77"/>
  <c r="C10" i="77"/>
  <c r="F66" i="77"/>
  <c r="F71" i="77"/>
  <c r="F64" i="77"/>
  <c r="F68" i="77"/>
  <c r="F51" i="77"/>
  <c r="C30" i="69"/>
  <c r="E69" i="3"/>
  <c r="F60" i="77"/>
  <c r="C24" i="77"/>
  <c r="E31" i="6"/>
  <c r="E65" i="39"/>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72" i="3"/>
  <c r="E475" i="3"/>
  <c r="E433" i="3"/>
  <c r="E471" i="3"/>
  <c r="E450" i="3"/>
  <c r="E537" i="3"/>
  <c r="E571" i="3"/>
  <c r="W6" i="3"/>
  <c r="E562" i="3"/>
  <c r="E465" i="3"/>
  <c r="E406" i="3"/>
  <c r="E472" i="3"/>
  <c r="E560" i="3"/>
  <c r="K6" i="3"/>
  <c r="E141" i="3"/>
  <c r="E212" i="3"/>
  <c r="E185" i="3"/>
  <c r="E288" i="3"/>
  <c r="E457" i="3"/>
  <c r="E438" i="3"/>
  <c r="E527" i="3"/>
  <c r="E474" i="3"/>
  <c r="E458" i="3"/>
  <c r="E529" i="3"/>
  <c r="E573" i="3"/>
  <c r="E532" i="3"/>
  <c r="E519" i="3"/>
  <c r="E313" i="3"/>
  <c r="E199" i="3"/>
  <c r="E253" i="3"/>
  <c r="E149" i="3"/>
  <c r="E161" i="3"/>
  <c r="E231"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7" i="3"/>
  <c r="E164" i="3"/>
  <c r="E145" i="3"/>
  <c r="E204" i="3"/>
  <c r="E271" i="3"/>
  <c r="E77" i="3"/>
  <c r="E135" i="3"/>
  <c r="E216" i="3"/>
  <c r="E439" i="3"/>
  <c r="E380" i="3"/>
  <c r="E506" i="3"/>
  <c r="E117" i="3"/>
  <c r="E290" i="3"/>
  <c r="E61" i="3"/>
  <c r="E169" i="3"/>
  <c r="E298" i="3"/>
  <c r="E321" i="3"/>
  <c r="E338" i="3"/>
  <c r="E418" i="3"/>
  <c r="E523" i="3"/>
  <c r="E538" i="3"/>
  <c r="E561" i="3"/>
  <c r="E533" i="3"/>
  <c r="AR6" i="3"/>
  <c r="E270" i="3"/>
  <c r="S6" i="3"/>
  <c r="E390" i="3"/>
  <c r="E124" i="3"/>
  <c r="E252" i="3"/>
  <c r="E207" i="3"/>
  <c r="E180" i="3"/>
  <c r="E221" i="3"/>
  <c r="E91" i="3"/>
  <c r="E254" i="3"/>
  <c r="E134" i="3"/>
  <c r="E130" i="3"/>
  <c r="E189" i="3"/>
  <c r="E230" i="3"/>
  <c r="E215" i="3"/>
  <c r="E294" i="3"/>
  <c r="E335" i="3"/>
  <c r="E320" i="3"/>
  <c r="E387" i="3"/>
  <c r="E407" i="3"/>
  <c r="AB6" i="3"/>
  <c r="V6" i="3"/>
  <c r="M6" i="3"/>
  <c r="E551" i="3"/>
  <c r="E570" i="3"/>
  <c r="E559" i="3"/>
  <c r="E514" i="3"/>
  <c r="E358" i="3"/>
  <c r="E311" i="3"/>
  <c r="E336" i="3"/>
  <c r="E293" i="3"/>
  <c r="E246" i="3"/>
  <c r="X6" i="3"/>
  <c r="E280" i="3"/>
  <c r="E399" i="3"/>
  <c r="E583" i="3"/>
  <c r="AA6" i="3"/>
  <c r="E347" i="3"/>
  <c r="E445" i="3"/>
  <c r="E128" i="3"/>
  <c r="E165" i="3"/>
  <c r="E205" i="3"/>
  <c r="E227" i="3"/>
  <c r="E352" i="3"/>
  <c r="E461" i="3"/>
  <c r="E510" i="3"/>
  <c r="E567" i="3"/>
  <c r="E545" i="3"/>
  <c r="E539" i="3"/>
  <c r="E329" i="3"/>
  <c r="E563" i="3"/>
  <c r="E535" i="3"/>
  <c r="E172" i="3"/>
  <c r="E278" i="3"/>
  <c r="E550" i="3"/>
  <c r="E260" i="3"/>
  <c r="E395" i="3"/>
  <c r="E415" i="3"/>
  <c r="E114" i="3"/>
  <c r="E302" i="3"/>
  <c r="E503" i="3"/>
  <c r="E17" i="3"/>
  <c r="E361" i="3"/>
  <c r="E213" i="3"/>
  <c r="E183" i="3"/>
  <c r="E565" i="3"/>
  <c r="E528" i="3"/>
  <c r="E304" i="3"/>
  <c r="E261" i="3"/>
  <c r="E237" i="3"/>
  <c r="K4" i="4"/>
  <c r="B46" i="48" s="1"/>
  <c r="B4" i="72" s="1"/>
  <c r="K16" i="1"/>
  <c r="Z6" i="1" s="1"/>
  <c r="B5" i="62"/>
  <c r="B73" i="72" s="1"/>
  <c r="F50" i="15"/>
  <c r="M7" i="15"/>
  <c r="F71" i="15"/>
  <c r="C6" i="15"/>
  <c r="C6" i="67"/>
  <c r="C5" i="67" s="1"/>
  <c r="C32" i="67" s="1"/>
  <c r="M7" i="67"/>
  <c r="J6" i="67" s="1"/>
  <c r="F50" i="67"/>
  <c r="C49" i="67" s="1"/>
  <c r="Q71" i="15"/>
  <c r="F51" i="15"/>
  <c r="C49" i="15" s="1"/>
  <c r="F66" i="67"/>
  <c r="Q71" i="67"/>
  <c r="F70" i="67"/>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62" i="3"/>
  <c r="E441" i="3"/>
  <c r="E540" i="3"/>
  <c r="E480" i="3"/>
  <c r="E59" i="3"/>
  <c r="E29" i="3"/>
  <c r="E110" i="3"/>
  <c r="E109" i="3"/>
  <c r="E76" i="3"/>
  <c r="E44" i="3"/>
  <c r="E58" i="3"/>
  <c r="E30" i="3"/>
  <c r="E544" i="3"/>
  <c r="AM6" i="3"/>
  <c r="E504" i="3"/>
  <c r="E572" i="3"/>
  <c r="E389" i="3"/>
  <c r="E384" i="3"/>
  <c r="E375" i="3"/>
  <c r="E334" i="3"/>
  <c r="E349" i="3"/>
  <c r="E317" i="3"/>
  <c r="E378" i="3"/>
  <c r="E377" i="3"/>
  <c r="E363" i="3"/>
  <c r="E331" i="3"/>
  <c r="E348" i="3"/>
  <c r="E316" i="3"/>
  <c r="E292" i="3"/>
  <c r="E291"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90" i="3"/>
  <c r="E88" i="3"/>
  <c r="E56" i="3"/>
  <c r="E71" i="3"/>
  <c r="E39" i="3"/>
  <c r="E28" i="3"/>
  <c r="E479" i="3"/>
  <c r="E447" i="3"/>
  <c r="E436" i="3"/>
  <c r="E404" i="3"/>
  <c r="E417" i="3"/>
  <c r="E546" i="3"/>
  <c r="E520" i="3"/>
  <c r="E489" i="3"/>
  <c r="E491" i="3"/>
  <c r="E476" i="3"/>
  <c r="E460" i="3"/>
  <c r="E444" i="3"/>
  <c r="E435" i="3"/>
  <c r="E403" i="3"/>
  <c r="E413" i="3"/>
  <c r="E531" i="3"/>
  <c r="E517" i="3"/>
  <c r="AS6" i="3"/>
  <c r="E582" i="3"/>
  <c r="E581" i="3"/>
  <c r="E554" i="3"/>
  <c r="E547" i="3"/>
  <c r="E500" i="3"/>
  <c r="E557" i="3"/>
  <c r="AP6" i="3"/>
  <c r="E505" i="3"/>
  <c r="E566" i="3"/>
  <c r="E558" i="3"/>
  <c r="I3" i="6"/>
  <c r="E367" i="3"/>
  <c r="E374" i="3"/>
  <c r="E345" i="3"/>
  <c r="E255" i="3"/>
  <c r="E477" i="3"/>
  <c r="E459" i="3"/>
  <c r="E443" i="3"/>
  <c r="E449" i="3"/>
  <c r="E432" i="3"/>
  <c r="E416" i="3"/>
  <c r="E400" i="3"/>
  <c r="E430" i="3"/>
  <c r="E414" i="3"/>
  <c r="E398" i="3"/>
  <c r="P6" i="3"/>
  <c r="E541" i="3"/>
  <c r="E548" i="3"/>
  <c r="E487" i="3"/>
  <c r="E485" i="3"/>
  <c r="E466" i="3"/>
  <c r="E478" i="3"/>
  <c r="E464" i="3"/>
  <c r="E448" i="3"/>
  <c r="E442" i="3"/>
  <c r="E411" i="3"/>
  <c r="E421" i="3"/>
  <c r="AO6" i="3"/>
  <c r="E502" i="3"/>
  <c r="E515" i="3"/>
  <c r="E552" i="3"/>
  <c r="AG6" i="3"/>
  <c r="R6" i="3"/>
  <c r="U6" i="3"/>
  <c r="E542" i="3"/>
  <c r="Z6" i="3"/>
  <c r="E499" i="3"/>
  <c r="E585" i="3"/>
  <c r="AD6" i="3"/>
  <c r="E576" i="3"/>
  <c r="E575" i="3"/>
  <c r="E379" i="3"/>
  <c r="E312" i="3"/>
  <c r="E327" i="3"/>
  <c r="E286" i="3"/>
  <c r="E105" i="3"/>
  <c r="E133" i="3"/>
  <c r="E173" i="3"/>
  <c r="E193" i="3"/>
  <c r="E116" i="3"/>
  <c r="E177" i="3"/>
  <c r="E197" i="3"/>
  <c r="E224" i="3"/>
  <c r="E238" i="3"/>
  <c r="E277" i="3"/>
  <c r="E223" i="3"/>
  <c r="E45" i="3"/>
  <c r="E85" i="3"/>
  <c r="E120" i="3"/>
  <c r="E140" i="3"/>
  <c r="K22" i="6"/>
  <c r="M22" i="6" s="1"/>
  <c r="I22" i="6" s="1"/>
  <c r="S22" i="6" s="1"/>
  <c r="E89" i="3"/>
  <c r="E157" i="3"/>
  <c r="E122" i="3"/>
  <c r="E181" i="3"/>
  <c r="E269" i="3"/>
  <c r="E228" i="3"/>
  <c r="E148" i="3"/>
  <c r="E188" i="3"/>
  <c r="E236" i="3"/>
  <c r="E99" i="3"/>
  <c r="E156" i="3"/>
  <c r="E191" i="3"/>
  <c r="E136" i="3"/>
  <c r="E159" i="3"/>
  <c r="E196" i="3"/>
  <c r="E245" i="3"/>
  <c r="E262" i="3"/>
  <c r="E301" i="3"/>
  <c r="E244" i="3"/>
  <c r="E263" i="3"/>
  <c r="E296" i="3"/>
  <c r="E303" i="3"/>
  <c r="E368" i="3"/>
  <c r="E382" i="3"/>
  <c r="E306" i="3"/>
  <c r="E350" i="3"/>
  <c r="E453" i="3"/>
  <c r="E423" i="3"/>
  <c r="E434" i="3"/>
  <c r="E402" i="3"/>
  <c r="E549" i="3"/>
  <c r="E578" i="3"/>
  <c r="AK6" i="3"/>
  <c r="E586" i="3"/>
  <c r="E536" i="3"/>
  <c r="AI6" i="3"/>
  <c r="E16" i="3"/>
  <c r="AN6" i="3"/>
  <c r="I6" i="3"/>
  <c r="E518" i="3"/>
  <c r="E511" i="3"/>
  <c r="E495" i="3"/>
  <c r="E568" i="3"/>
  <c r="E385" i="3"/>
  <c r="E314" i="3"/>
  <c r="E353" i="3"/>
  <c r="E397" i="3"/>
  <c r="K21" i="6"/>
  <c r="M21" i="6" s="1"/>
  <c r="I21" i="6" s="1"/>
  <c r="S21" i="6" s="1"/>
  <c r="E151" i="3"/>
  <c r="E97" i="3"/>
  <c r="E201" i="3"/>
  <c r="E143" i="3"/>
  <c r="E229" i="3"/>
  <c r="E285" i="3"/>
  <c r="E247" i="3"/>
  <c r="E337" i="3"/>
  <c r="E396" i="3"/>
  <c r="E359" i="3"/>
  <c r="E431" i="3"/>
  <c r="E410" i="3"/>
  <c r="E569" i="3"/>
  <c r="E574" i="3"/>
  <c r="E579" i="3"/>
  <c r="E555" i="3"/>
  <c r="E516" i="3"/>
  <c r="O6" i="3"/>
  <c r="E509" i="3"/>
  <c r="E388" i="3"/>
  <c r="E239" i="3"/>
  <c r="C48" i="68"/>
  <c r="E328" i="3"/>
  <c r="AJ6" i="3"/>
  <c r="E508" i="3"/>
  <c r="N6" i="3"/>
  <c r="E426" i="3"/>
  <c r="E322" i="3"/>
  <c r="E305" i="3"/>
  <c r="E282" i="3"/>
  <c r="E153" i="3"/>
  <c r="E268" i="3"/>
  <c r="E343" i="3"/>
  <c r="E553" i="3"/>
  <c r="E501" i="3"/>
  <c r="E526" i="3"/>
  <c r="E530" i="3"/>
  <c r="E366" i="3"/>
  <c r="E319" i="3"/>
  <c r="E217" i="3"/>
  <c r="E175" i="3"/>
  <c r="E125" i="3"/>
  <c r="L59" i="15"/>
  <c r="Q74" i="15"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M18" i="9"/>
  <c r="B118" i="9" s="1"/>
  <c r="B14" i="74" s="1"/>
  <c r="B1" i="74" s="1"/>
  <c r="AY44" i="3"/>
  <c r="AY554" i="3"/>
  <c r="BJ6" i="3"/>
  <c r="AY488" i="3"/>
  <c r="AY457" i="3"/>
  <c r="AY556" i="3"/>
  <c r="AY496" i="3"/>
  <c r="AY153" i="3"/>
  <c r="AY122" i="3"/>
  <c r="AY396" i="3"/>
  <c r="AY380" i="3"/>
  <c r="AY321" i="3"/>
  <c r="AY305" i="3"/>
  <c r="AY471" i="3"/>
  <c r="AY492" i="3"/>
  <c r="AY434" i="3"/>
  <c r="AY426" i="3"/>
  <c r="AY415" i="3"/>
  <c r="AY407" i="3"/>
  <c r="AY538" i="3"/>
  <c r="AY14" i="3"/>
  <c r="AY515" i="3"/>
  <c r="AY565" i="3"/>
  <c r="AY545" i="3"/>
  <c r="AY570" i="3"/>
  <c r="AY493" i="3"/>
  <c r="AY99" i="3"/>
  <c r="AY62" i="3"/>
  <c r="AY46" i="3"/>
  <c r="AY172" i="3"/>
  <c r="AY156" i="3"/>
  <c r="AY301" i="3"/>
  <c r="AY285" i="3"/>
  <c r="AY248" i="3"/>
  <c r="AY232" i="3"/>
  <c r="AY359" i="3"/>
  <c r="AY362" i="3"/>
  <c r="AY485" i="3"/>
  <c r="AY469" i="3"/>
  <c r="AY408" i="3"/>
  <c r="AY437" i="3"/>
  <c r="AY547" i="3"/>
  <c r="AY560" i="3"/>
  <c r="AY107" i="3"/>
  <c r="AY91" i="3"/>
  <c r="AY54" i="3"/>
  <c r="AY38" i="3"/>
  <c r="AY164" i="3"/>
  <c r="AY148" i="3"/>
  <c r="AY293" i="3"/>
  <c r="AY277" i="3"/>
  <c r="AY240" i="3"/>
  <c r="AY224" i="3"/>
  <c r="AY351" i="3"/>
  <c r="AY354" i="3"/>
  <c r="AY477" i="3"/>
  <c r="AY490" i="3"/>
  <c r="AY400" i="3"/>
  <c r="AY429" i="3"/>
  <c r="AY566" i="3"/>
  <c r="AY511" i="3"/>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0" i="15"/>
  <c r="M16" i="1"/>
  <c r="N16" i="1" s="1"/>
  <c r="Q60" i="67"/>
  <c r="Q73" i="67"/>
  <c r="Q61" i="67"/>
  <c r="Q74" i="67"/>
  <c r="F1" i="67"/>
  <c r="Q52" i="67"/>
  <c r="F59" i="15"/>
  <c r="F59" i="67"/>
  <c r="M17" i="15"/>
  <c r="M17" i="67"/>
  <c r="C14" i="77"/>
  <c r="M6" i="15"/>
  <c r="C16" i="77"/>
  <c r="C16" i="67"/>
  <c r="C17" i="77"/>
  <c r="Q6" i="1" l="1"/>
  <c r="AW31" i="3"/>
  <c r="AY498" i="3"/>
  <c r="AY416" i="3"/>
  <c r="AY367" i="3"/>
  <c r="AY119" i="3"/>
  <c r="AY70" i="3"/>
  <c r="AY517" i="3"/>
  <c r="AY314" i="3"/>
  <c r="AY264" i="3"/>
  <c r="AY78" i="3"/>
  <c r="AY423"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8" i="3"/>
  <c r="AY304" i="3"/>
  <c r="AY337" i="3"/>
  <c r="AY234" i="3"/>
  <c r="AY21" i="3"/>
  <c r="AY543" i="3"/>
  <c r="AY349" i="3"/>
  <c r="AY214"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45" i="3"/>
  <c r="AY312" i="3"/>
  <c r="AY352" i="3"/>
  <c r="AY250" i="3"/>
  <c r="AY32" i="3"/>
  <c r="AY546" i="3"/>
  <c r="AY274" i="3"/>
  <c r="AY263" i="3"/>
  <c r="BT6" i="3"/>
  <c r="AY521" i="3"/>
  <c r="AY443" i="3"/>
  <c r="AY307" i="3"/>
  <c r="AY386" i="3"/>
  <c r="AY257" i="3"/>
  <c r="AY143" i="3"/>
  <c r="AY200" i="3"/>
  <c r="AY71" i="3"/>
  <c r="AY568" i="3"/>
  <c r="AY500" i="3"/>
  <c r="AY451" i="3"/>
  <c r="AY315" i="3"/>
  <c r="AY394" i="3"/>
  <c r="AY265" i="3"/>
  <c r="AY151" i="3"/>
  <c r="AY19" i="3"/>
  <c r="AY79" i="3"/>
  <c r="BP6" i="3"/>
  <c r="AY551" i="3"/>
  <c r="AY522" i="3"/>
  <c r="AY505" i="3"/>
  <c r="AY402" i="3"/>
  <c r="AY461" i="3"/>
  <c r="AY320" i="3"/>
  <c r="AY364" i="3"/>
  <c r="AY235" i="3"/>
  <c r="AY49" i="3"/>
  <c r="BF6" i="3"/>
  <c r="AY290" i="3"/>
  <c r="AY294" i="3"/>
  <c r="J10" i="39"/>
  <c r="AC10" i="39" s="1"/>
  <c r="AY550" i="3"/>
  <c r="AY323" i="3"/>
  <c r="AY213" i="3"/>
  <c r="AY159" i="3"/>
  <c r="AY27" i="3"/>
  <c r="AY86" i="3"/>
  <c r="AY512" i="3"/>
  <c r="AY405" i="3"/>
  <c r="AY466" i="3"/>
  <c r="AY331" i="3"/>
  <c r="AY221" i="3"/>
  <c r="AY280" i="3"/>
  <c r="AY167" i="3"/>
  <c r="AY35" i="3"/>
  <c r="AY94" i="3"/>
  <c r="AY531" i="3"/>
  <c r="AY509" i="3"/>
  <c r="D3" i="6"/>
  <c r="AY579" i="3"/>
  <c r="AY410" i="3"/>
  <c r="AY468" i="3"/>
  <c r="AY336" i="3"/>
  <c r="AY361" i="3"/>
  <c r="AY267" i="3"/>
  <c r="AY81" i="3"/>
  <c r="AY581" i="3"/>
  <c r="AY197" i="3"/>
  <c r="AY149" i="3"/>
  <c r="AY504" i="3"/>
  <c r="AY459" i="3"/>
  <c r="AY273" i="3"/>
  <c r="H10" i="39"/>
  <c r="U10" i="39" s="1"/>
  <c r="F10" i="39"/>
  <c r="S10" i="39" s="1"/>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76" i="3"/>
  <c r="AY344" i="3"/>
  <c r="AY385" i="3"/>
  <c r="AY298" i="3"/>
  <c r="AY577" i="3"/>
  <c r="AY427" i="3"/>
  <c r="AY24" i="3"/>
  <c r="AY138" i="3"/>
  <c r="BC6" i="3"/>
  <c r="AY306" i="3"/>
  <c r="AY256" i="3"/>
  <c r="AY179" i="3"/>
  <c r="AY587" i="3"/>
  <c r="AY424" i="3"/>
  <c r="AY376" i="3"/>
  <c r="AY127" i="3"/>
  <c r="AY187" i="3"/>
  <c r="BA6" i="3"/>
  <c r="BR6" i="3"/>
  <c r="AY502" i="3"/>
  <c r="AY499" i="3"/>
  <c r="AY450" i="3"/>
  <c r="AY479" i="3"/>
  <c r="AY329" i="3"/>
  <c r="AY218" i="3"/>
  <c r="AY205" i="3"/>
  <c r="AY508" i="3"/>
  <c r="AY317" i="3"/>
  <c r="AY392" i="3"/>
  <c r="AY442" i="3"/>
  <c r="AY484" i="3"/>
  <c r="AY328" i="3"/>
  <c r="AY345" i="3"/>
  <c r="AY223" i="3"/>
  <c r="AY113" i="3"/>
  <c r="AY64" i="3"/>
  <c r="AY532" i="3"/>
  <c r="BM6" i="3"/>
  <c r="AY332" i="3"/>
  <c r="AY177" i="3"/>
  <c r="AY381" i="3"/>
  <c r="AY118" i="3"/>
  <c r="AY142" i="3"/>
  <c r="AY112" i="3"/>
  <c r="AY559" i="3"/>
  <c r="AY414" i="3"/>
  <c r="AY377" i="3"/>
  <c r="AY41" i="3"/>
  <c r="AY246" i="3"/>
  <c r="AY170" i="3"/>
  <c r="AY453" i="3"/>
  <c r="AY487" i="3"/>
  <c r="AY313" i="3"/>
  <c r="AY369" i="3"/>
  <c r="AY266" i="3"/>
  <c r="AY174" i="3"/>
  <c r="AY523" i="3"/>
  <c r="AY510" i="3"/>
  <c r="AY446" i="3"/>
  <c r="AY210" i="3"/>
  <c r="AY104" i="3"/>
  <c r="AY231" i="3"/>
  <c r="AY190" i="3"/>
  <c r="AY561" i="3"/>
  <c r="AY491" i="3"/>
  <c r="AY114" i="3"/>
  <c r="AY357" i="3"/>
  <c r="AY299" i="3"/>
  <c r="J10" i="40"/>
  <c r="W10" i="40" s="1"/>
  <c r="F10" i="40"/>
  <c r="AA10" i="40" s="1"/>
  <c r="J6" i="15"/>
  <c r="C49" i="77"/>
  <c r="C48" i="77" s="1"/>
  <c r="C66" i="77" s="1"/>
  <c r="K24" i="6"/>
  <c r="M24" i="6" s="1"/>
  <c r="I24" i="6" s="1"/>
  <c r="S24" i="6" s="1"/>
  <c r="K26" i="6"/>
  <c r="M26" i="6" s="1"/>
  <c r="I26" i="6" s="1"/>
  <c r="S26" i="6" s="1"/>
  <c r="K25" i="6"/>
  <c r="M25" i="6" s="1"/>
  <c r="I25" i="6" s="1"/>
  <c r="S25" i="6" s="1"/>
  <c r="E3" i="6"/>
  <c r="D15" i="6" s="1"/>
  <c r="AY251" i="3"/>
  <c r="AY282" i="3"/>
  <c r="AY287" i="3"/>
  <c r="AY129" i="3"/>
  <c r="AY137" i="3"/>
  <c r="AY169" i="3"/>
  <c r="AY158" i="3"/>
  <c r="AY189" i="3"/>
  <c r="AY194" i="3"/>
  <c r="AY37" i="3"/>
  <c r="AY48" i="3"/>
  <c r="AY80" i="3"/>
  <c r="AY65" i="3"/>
  <c r="AY96" i="3"/>
  <c r="AY101" i="3"/>
  <c r="AY519" i="3"/>
  <c r="AY582" i="3"/>
  <c r="AY514" i="3"/>
  <c r="AY494" i="3"/>
  <c r="AY584" i="3"/>
  <c r="AY501" i="3"/>
  <c r="AY16"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33"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60" i="3"/>
  <c r="AY28" i="3"/>
  <c r="AY206" i="3"/>
  <c r="AY201"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K19" i="6"/>
  <c r="K20" i="6"/>
  <c r="E66" i="39"/>
  <c r="B29" i="1"/>
  <c r="C8" i="68" s="1"/>
  <c r="C5" i="68" s="1"/>
  <c r="C23" i="68" s="1"/>
  <c r="C15" i="77"/>
  <c r="C18" i="77"/>
  <c r="C19" i="77" s="1"/>
  <c r="F1" i="77"/>
  <c r="Q52" i="77"/>
  <c r="Q74" i="77"/>
  <c r="Q61" i="77"/>
  <c r="J6" i="77"/>
  <c r="J5" i="77" s="1"/>
  <c r="C5" i="77"/>
  <c r="Q73" i="77"/>
  <c r="Q60" i="77"/>
  <c r="C5" i="15"/>
  <c r="C32" i="15" s="1"/>
  <c r="AC6" i="3"/>
  <c r="H6" i="3"/>
  <c r="J10" i="15"/>
  <c r="Q61" i="15"/>
  <c r="E37" i="43"/>
  <c r="AA7" i="36"/>
  <c r="R36" i="36" s="1"/>
  <c r="E36" i="36" s="1"/>
  <c r="E40" i="36" s="1"/>
  <c r="F40" i="36" s="1"/>
  <c r="AC11" i="37"/>
  <c r="W11" i="37"/>
  <c r="AB7" i="37"/>
  <c r="T42" i="37" s="1"/>
  <c r="G42" i="37" s="1"/>
  <c r="G46" i="37" s="1"/>
  <c r="H46" i="37" s="1"/>
  <c r="W11" i="34"/>
  <c r="AC11" i="34"/>
  <c r="J5" i="67"/>
  <c r="AB7" i="36"/>
  <c r="T36" i="36" s="1"/>
  <c r="E38" i="43"/>
  <c r="AA10" i="39"/>
  <c r="C18" i="4"/>
  <c r="D14" i="6"/>
  <c r="E61" i="40"/>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B10" i="39"/>
  <c r="F50" i="11"/>
  <c r="F50" i="69"/>
  <c r="F50" i="68"/>
  <c r="L16" i="1"/>
  <c r="F26" i="15"/>
  <c r="C27" i="15" l="1"/>
  <c r="Q16" i="1"/>
  <c r="D28" i="6"/>
  <c r="D26" i="6"/>
  <c r="D10" i="6"/>
  <c r="H21" i="6"/>
  <c r="D21" i="6"/>
  <c r="D11" i="6"/>
  <c r="H23" i="6"/>
  <c r="D8" i="6"/>
  <c r="D9" i="6"/>
  <c r="H22" i="6"/>
  <c r="D12" i="6"/>
  <c r="D22" i="6"/>
  <c r="H26" i="6"/>
  <c r="D19" i="6"/>
  <c r="M19" i="9" s="1"/>
  <c r="C118" i="9" s="1"/>
  <c r="C14" i="74" s="1"/>
  <c r="B2" i="74" s="1"/>
  <c r="D5" i="6"/>
  <c r="H24" i="6"/>
  <c r="D13" i="6"/>
  <c r="D24" i="6"/>
  <c r="D25" i="6"/>
  <c r="D23" i="6"/>
  <c r="D29" i="6"/>
  <c r="D20" i="6"/>
  <c r="H25" i="6"/>
  <c r="C60" i="77"/>
  <c r="J5" i="15"/>
  <c r="J24" i="15" s="1"/>
  <c r="D3" i="34"/>
  <c r="D3" i="33"/>
  <c r="D19" i="11"/>
  <c r="C19" i="11" s="1"/>
  <c r="D37" i="11"/>
  <c r="C37" i="11" s="1"/>
  <c r="D3" i="21"/>
  <c r="E6" i="6"/>
  <c r="C17" i="4"/>
  <c r="B4" i="52" s="1"/>
  <c r="B43" i="72" s="1"/>
  <c r="D3" i="37"/>
  <c r="D14" i="12"/>
  <c r="D17" i="12" s="1"/>
  <c r="C17" i="12" s="1"/>
  <c r="K27" i="6"/>
  <c r="S7" i="1"/>
  <c r="M20" i="6"/>
  <c r="I20" i="6" s="1"/>
  <c r="S6" i="1"/>
  <c r="M19" i="6"/>
  <c r="C20" i="77"/>
  <c r="C26" i="77" s="1"/>
  <c r="J24" i="77"/>
  <c r="J26" i="77"/>
  <c r="J18" i="77"/>
  <c r="C38" i="77"/>
  <c r="C32" i="77"/>
  <c r="C38" i="15"/>
  <c r="J59" i="77"/>
  <c r="J60" i="77" s="1"/>
  <c r="E6" i="3"/>
  <c r="C34" i="11"/>
  <c r="C38" i="11" s="1"/>
  <c r="C36" i="11"/>
  <c r="J24" i="67"/>
  <c r="J18" i="67"/>
  <c r="G36" i="36"/>
  <c r="R37" i="36"/>
  <c r="AB7" i="34"/>
  <c r="T49" i="34" s="1"/>
  <c r="G49" i="34" s="1"/>
  <c r="G53" i="34" s="1"/>
  <c r="H53" i="34" s="1"/>
  <c r="W7" i="21"/>
  <c r="AA7" i="21"/>
  <c r="R48" i="21" s="1"/>
  <c r="E48" i="21" s="1"/>
  <c r="E52" i="21" s="1"/>
  <c r="F52" i="21" s="1"/>
  <c r="D30" i="6"/>
  <c r="C4" i="52"/>
  <c r="B45" i="72" s="1"/>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23" i="12"/>
  <c r="M21" i="77"/>
  <c r="E6" i="76"/>
  <c r="F35" i="77"/>
  <c r="C17" i="15"/>
  <c r="F27" i="69" l="1"/>
  <c r="F28" i="12"/>
  <c r="C29" i="12" s="1"/>
  <c r="D28" i="12" s="1"/>
  <c r="F27" i="11"/>
  <c r="F27" i="68"/>
  <c r="R26" i="6"/>
  <c r="R22" i="6"/>
  <c r="R23" i="6"/>
  <c r="R21" i="6"/>
  <c r="R8" i="1" s="1"/>
  <c r="D27" i="6"/>
  <c r="D31" i="6" s="1"/>
  <c r="I6" i="6" s="1"/>
  <c r="R25" i="6"/>
  <c r="D16" i="6"/>
  <c r="R24" i="6"/>
  <c r="J18" i="15"/>
  <c r="A10" i="51"/>
  <c r="B9" i="72" s="1"/>
  <c r="A7" i="51"/>
  <c r="B7" i="72" s="1"/>
  <c r="C14" i="12"/>
  <c r="C16" i="12" s="1"/>
  <c r="C20" i="11"/>
  <c r="C25" i="11" s="1"/>
  <c r="C24" i="11"/>
  <c r="D10" i="68"/>
  <c r="D20" i="12"/>
  <c r="C20" i="12" s="1"/>
  <c r="C18" i="12" s="1"/>
  <c r="D10" i="11"/>
  <c r="C10" i="11" s="1"/>
  <c r="D6" i="6"/>
  <c r="C35" i="11"/>
  <c r="C33" i="11" s="1"/>
  <c r="C42" i="11" s="1"/>
  <c r="AQ6" i="1"/>
  <c r="T6" i="1"/>
  <c r="AR6" i="1"/>
  <c r="E6" i="70"/>
  <c r="I19" i="6"/>
  <c r="L18" i="9" s="1"/>
  <c r="M27" i="6"/>
  <c r="S20" i="6"/>
  <c r="H20" i="6"/>
  <c r="R20" i="6" s="1"/>
  <c r="R7" i="1" s="1"/>
  <c r="E7" i="70"/>
  <c r="AQ7" i="1"/>
  <c r="AR7" i="1"/>
  <c r="T7" i="1"/>
  <c r="C23" i="77"/>
  <c r="C29" i="77" s="1"/>
  <c r="C36" i="77" s="1"/>
  <c r="F63" i="77"/>
  <c r="C62" i="77" s="1"/>
  <c r="C34" i="77"/>
  <c r="J20" i="77"/>
  <c r="Q48" i="77"/>
  <c r="L46" i="77"/>
  <c r="E2" i="76"/>
  <c r="B2" i="43"/>
  <c r="R49" i="21"/>
  <c r="C48" i="21" s="1"/>
  <c r="G54" i="34"/>
  <c r="H54" i="34" s="1"/>
  <c r="I53" i="21"/>
  <c r="J53" i="21" s="1"/>
  <c r="C37" i="36"/>
  <c r="C36" i="36"/>
  <c r="G40" i="36"/>
  <c r="H40" i="36" s="1"/>
  <c r="E41" i="36"/>
  <c r="F41" i="36" s="1"/>
  <c r="G41" i="36"/>
  <c r="H41" i="36"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F35" i="67"/>
  <c r="M21" i="67"/>
  <c r="C47" i="11" l="1"/>
  <c r="D45" i="11" s="1"/>
  <c r="C29" i="11"/>
  <c r="D27" i="11" s="1"/>
  <c r="C47" i="69"/>
  <c r="D45" i="69" s="1"/>
  <c r="C29" i="69"/>
  <c r="D27" i="69" s="1"/>
  <c r="C29" i="68"/>
  <c r="D27" i="68" s="1"/>
  <c r="C47" i="68"/>
  <c r="D45" i="68" s="1"/>
  <c r="C28" i="11"/>
  <c r="C27" i="11" s="1"/>
  <c r="C21" i="12"/>
  <c r="C22" i="12" s="1"/>
  <c r="C30" i="12" s="1"/>
  <c r="C28" i="12" s="1"/>
  <c r="D19" i="68"/>
  <c r="C10" i="68"/>
  <c r="C22" i="11"/>
  <c r="S19" i="6"/>
  <c r="S27" i="6" s="1"/>
  <c r="H19" i="6"/>
  <c r="L19" i="9" s="1"/>
  <c r="I27" i="6"/>
  <c r="Q49" i="77"/>
  <c r="C57" i="77"/>
  <c r="C64" i="77" s="1"/>
  <c r="C13" i="77"/>
  <c r="C37" i="77" s="1"/>
  <c r="J14" i="77"/>
  <c r="J19" i="77"/>
  <c r="J17" i="77" s="1"/>
  <c r="C33" i="77"/>
  <c r="C31" i="77" s="1"/>
  <c r="I5" i="6"/>
  <c r="B2" i="76"/>
  <c r="B3" i="76" s="1"/>
  <c r="B3" i="43"/>
  <c r="C49" i="21"/>
  <c r="F63" i="67"/>
  <c r="C62" i="67" s="1"/>
  <c r="C34" i="67"/>
  <c r="J20" i="67"/>
  <c r="I63" i="40"/>
  <c r="H65" i="40"/>
  <c r="C39" i="11"/>
  <c r="C43" i="11" s="1"/>
  <c r="C41" i="11" s="1"/>
  <c r="I70" i="39"/>
  <c r="C31" i="11" l="1"/>
  <c r="C19" i="68"/>
  <c r="D37" i="68"/>
  <c r="C37" i="68" s="1"/>
  <c r="C33" i="68" s="1"/>
  <c r="C39" i="68" s="1"/>
  <c r="C43" i="68" s="1"/>
  <c r="C61" i="77"/>
  <c r="C59" i="77" s="1"/>
  <c r="R19" i="6"/>
  <c r="H27" i="6"/>
  <c r="C56" i="77"/>
  <c r="C65" i="77" s="1"/>
  <c r="C30" i="77"/>
  <c r="C39" i="77" s="1"/>
  <c r="Q69" i="77" s="1"/>
  <c r="J22" i="77"/>
  <c r="J13" i="77"/>
  <c r="J23" i="77" s="1"/>
  <c r="Q70" i="77"/>
  <c r="C75" i="77"/>
  <c r="C27" i="12"/>
  <c r="C25" i="12" s="1"/>
  <c r="C32" i="12" s="1"/>
  <c r="B2" i="12" s="1"/>
  <c r="B3" i="12" s="1"/>
  <c r="J63" i="40"/>
  <c r="I65" i="40"/>
  <c r="C46" i="11"/>
  <c r="C45" i="11" s="1"/>
  <c r="C49" i="11" s="1"/>
  <c r="C51" i="11" s="1"/>
  <c r="J70" i="39"/>
  <c r="C52" i="11" l="1"/>
  <c r="B2" i="11" s="1"/>
  <c r="B3" i="11" s="1"/>
  <c r="C42" i="68"/>
  <c r="C41" i="68" s="1"/>
  <c r="C80" i="77"/>
  <c r="C79" i="77" s="1"/>
  <c r="C24" i="68"/>
  <c r="C20" i="68"/>
  <c r="C58" i="77"/>
  <c r="C67" i="77" s="1"/>
  <c r="R6" i="1"/>
  <c r="R27" i="6"/>
  <c r="Q68" i="77"/>
  <c r="J16" i="77"/>
  <c r="J25" i="77" s="1"/>
  <c r="L57" i="77"/>
  <c r="L60" i="77" s="1"/>
  <c r="C46" i="68"/>
  <c r="C45" i="68" s="1"/>
  <c r="K63" i="40"/>
  <c r="J65" i="40"/>
  <c r="K70" i="39"/>
  <c r="M21" i="15"/>
  <c r="F35" i="15"/>
  <c r="L51" i="77"/>
  <c r="C56" i="11" l="1"/>
  <c r="C57" i="11" s="1"/>
  <c r="C28" i="68"/>
  <c r="C27" i="68" s="1"/>
  <c r="C25" i="68"/>
  <c r="C22" i="68" s="1"/>
  <c r="Q67" i="77"/>
  <c r="J20" i="15"/>
  <c r="F63" i="15"/>
  <c r="C62" i="15" s="1"/>
  <c r="C34" i="15"/>
  <c r="R16" i="1"/>
  <c r="Q66" i="77"/>
  <c r="Q57" i="77"/>
  <c r="C49" i="68"/>
  <c r="C51" i="68" s="1"/>
  <c r="L63" i="40"/>
  <c r="K65" i="40"/>
  <c r="L70" i="39"/>
  <c r="E2" i="70"/>
  <c r="C34" i="69"/>
  <c r="C17" i="67"/>
  <c r="C31" i="68" l="1"/>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7"/>
  <c r="AE6" i="1"/>
  <c r="F69" i="77" l="1"/>
  <c r="C68" i="77" s="1"/>
  <c r="J29" i="77"/>
  <c r="C40" i="77"/>
  <c r="C66" i="15"/>
  <c r="C60" i="15"/>
  <c r="C59" i="15" s="1"/>
  <c r="AG6" i="1"/>
  <c r="C80" i="15"/>
  <c r="C79" i="15" s="1"/>
  <c r="C65" i="15"/>
  <c r="Q68" i="15"/>
  <c r="L57" i="15"/>
  <c r="L60" i="15" s="1"/>
  <c r="M27" i="67"/>
  <c r="M27" i="15"/>
  <c r="L51" i="15"/>
  <c r="F41" i="15"/>
  <c r="F41" i="67"/>
  <c r="Q67" i="15" l="1"/>
  <c r="Q47" i="77"/>
  <c r="Q53" i="77" s="1"/>
  <c r="Q65" i="77"/>
  <c r="Q75" i="77" s="1"/>
  <c r="Q56" i="77"/>
  <c r="Q62" i="77" s="1"/>
  <c r="C43" i="77"/>
  <c r="B2" i="77"/>
  <c r="B3" i="77" s="1"/>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H45" i="15" s="1"/>
  <c r="C43" i="67"/>
  <c r="C45" i="67"/>
  <c r="C46" i="67" s="1"/>
  <c r="Q65" i="67"/>
  <c r="Q75" i="67" s="1"/>
  <c r="Q56" i="67"/>
  <c r="Q62" i="67" s="1"/>
  <c r="Q47" i="67"/>
  <c r="Q53" i="67" s="1"/>
  <c r="D2" i="67"/>
  <c r="B2" i="67" s="1"/>
  <c r="E2" i="69"/>
  <c r="AO6" i="1"/>
  <c r="AO7" i="1"/>
  <c r="AO8" i="1"/>
  <c r="B3" i="15" l="1"/>
  <c r="B8" i="70"/>
  <c r="B7" i="70"/>
  <c r="B6" i="70"/>
  <c r="C46" i="15"/>
  <c r="B2" i="69"/>
  <c r="B3" i="69" s="1"/>
  <c r="B2" i="68"/>
  <c r="B3" i="67"/>
  <c r="E2" i="68"/>
  <c r="F20" i="31"/>
  <c r="C19" i="9"/>
  <c r="D2" i="33"/>
  <c r="D2" i="21"/>
  <c r="D2" i="37"/>
  <c r="D2" i="36"/>
  <c r="D2" i="35"/>
  <c r="D2" i="34"/>
  <c r="B20" i="31" l="1"/>
  <c r="B2" i="36"/>
  <c r="B3" i="36" s="1"/>
  <c r="B2" i="35"/>
  <c r="B3" i="35" s="1"/>
  <c r="B2" i="37"/>
  <c r="B3" i="37" s="1"/>
  <c r="B2" i="34"/>
  <c r="B3" i="34" s="1"/>
  <c r="B2" i="21"/>
  <c r="B3" i="21" s="1"/>
  <c r="B2" i="70"/>
  <c r="B3" i="70" s="1"/>
  <c r="C102" i="9"/>
  <c r="C21" i="9"/>
  <c r="B3" i="68"/>
  <c r="D20" i="9"/>
  <c r="D19" i="9"/>
  <c r="C20" i="9"/>
  <c r="G19" i="9" l="1"/>
  <c r="P26" i="1" s="1"/>
  <c r="D102" i="9"/>
  <c r="D22" i="9"/>
  <c r="D21" i="9"/>
  <c r="C103" i="9"/>
  <c r="D103" i="9"/>
  <c r="G20" i="9"/>
  <c r="X26" i="1" l="1"/>
  <c r="AK25" i="1"/>
  <c r="AV35" i="3"/>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9" i="9" s="1"/>
  <c r="M48" i="9" l="1"/>
  <c r="J101" i="9"/>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<sst xmlns="http://schemas.openxmlformats.org/spreadsheetml/2006/main" count="7843" uniqueCount="3171">
  <si>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</si>
  <si>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</si>
  <si>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</si>
  <si>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</si>
  <si>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</si>
  <si>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</si>
  <si>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</si>
  <si>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</si>
  <si>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</si>
  <si>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</si>
  <si>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</si>
  <si>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</si>
  <si>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</si>
  <si>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</si>
  <si>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</si>
  <si>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</si>
  <si>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</si>
  <si>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</si>
  <si>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</si>
  <si>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</si>
  <si>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</si>
  <si>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</si>
  <si>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</si>
  <si>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</si>
  <si>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</si>
  <si>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</si>
  <si>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</si>
  <si>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</si>
  <si>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</si>
  <si>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</si>
  <si>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</si>
  <si>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</si>
  <si>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</si>
  <si>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</si>
  <si>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</si>
  <si>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</si>
  <si>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</si>
  <si>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</si>
  <si>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</si>
  <si>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</si>
  <si>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</si>
  <si>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</si>
  <si>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</si>
  <si>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</si>
  <si>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</si>
  <si>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</si>
  <si>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</si>
  <si>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</si>
  <si>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</si>
  <si>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</si>
  <si>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</si>
  <si>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</si>
  <si>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</si>
  <si>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</si>
  <si>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</si>
  <si>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</si>
  <si>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</si>
  <si>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</si>
  <si>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</si>
  <si>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</si>
  <si>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</si>
  <si>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</si>
  <si>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</si>
  <si>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</si>
  <si>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</si>
  <si>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</si>
  <si>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</si>
  <si>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</si>
  <si>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</si>
  <si>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</si>
  <si>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</si>
  <si>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</si>
  <si>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</si>
  <si>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</si>
  <si>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</si>
  <si>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</si>
  <si>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</si>
  <si>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</si>
  <si>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</si>
  <si>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</si>
  <si>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</si>
  <si>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</si>
  <si>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</si>
  <si>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</si>
  <si>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</si>
  <si>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</si>
  <si>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</si>
  <si>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</si>
  <si>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</si>
  <si>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</si>
  <si>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</si>
  <si>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</si>
  <si>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</si>
  <si>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</si>
  <si>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</si>
  <si>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</si>
  <si>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</si>
  <si>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</si>
  <si>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</si>
  <si>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</si>
  <si>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</si>
  <si>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</si>
  <si>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</si>
  <si>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</si>
  <si>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</si>
  <si>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</si>
  <si>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</si>
  <si>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</si>
  <si>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</si>
  <si>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</si>
  <si>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</si>
  <si>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</si>
  <si>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</si>
  <si>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</si>
  <si>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</si>
  <si>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</si>
  <si>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</si>
  <si>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</si>
  <si>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</si>
  <si>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</si>
  <si>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</si>
  <si>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</si>
  <si>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</si>
  <si>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</si>
  <si>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</si>
  <si>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</si>
  <si>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</si>
  <si>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</si>
  <si>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</si>
  <si>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</si>
  <si>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</si>
  <si>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</si>
  <si>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</si>
  <si>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</si>
  <si>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</si>
  <si>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</si>
  <si>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</si>
  <si>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</si>
  <si>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</si>
  <si>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</si>
  <si>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</si>
  <si>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</si>
  <si>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</si>
  <si>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</si>
  <si>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</si>
  <si>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</si>
  <si>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</si>
  <si>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</si>
  <si>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</si>
  <si>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</si>
  <si>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</si>
  <si>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</si>
  <si>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</si>
  <si>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</si>
  <si>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</si>
  <si>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</si>
  <si>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</si>
  <si>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</si>
  <si>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</si>
  <si>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</si>
  <si>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</si>
  <si>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</si>
  <si>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</si>
  <si>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</si>
  <si>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</si>
  <si>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</si>
  <si>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</si>
  <si>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</si>
  <si>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</si>
  <si>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</si>
  <si>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</si>
  <si>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</si>
  <si>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</si>
  <si>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</si>
  <si>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</si>
  <si>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</si>
  <si>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</si>
  <si>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</si>
  <si>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</si>
  <si>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</si>
  <si>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</si>
  <si>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</si>
  <si>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</si>
  <si>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</si>
  <si>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</si>
  <si>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</si>
  <si>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</si>
  <si>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</si>
  <si>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</si>
  <si>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</si>
  <si>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</si>
  <si>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</si>
  <si>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</si>
  <si>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</si>
  <si>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</si>
  <si>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</si>
  <si>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</si>
  <si>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</si>
  <si>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</si>
  <si>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</si>
  <si>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</si>
  <si>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</si>
  <si>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</si>
  <si>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</si>
  <si>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</si>
  <si>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</si>
  <si>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</si>
  <si>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</si>
  <si>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</si>
  <si>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</si>
  <si>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</si>
  <si>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</si>
  <si>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</si>
  <si>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</si>
  <si>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</si>
  <si>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</si>
  <si>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</si>
  <si>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</si>
  <si>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</si>
  <si>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</si>
  <si>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</si>
  <si>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</si>
  <si>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</si>
  <si>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</si>
  <si>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</si>
  <si>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</si>
  <si>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</si>
  <si>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</si>
  <si>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</si>
  <si>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</si>
  <si>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</si>
  <si>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</si>
  <si>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</si>
  <si>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</si>
  <si>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</si>
  <si>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</si>
  <si>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</si>
  <si>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</si>
  <si>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</si>
  <si>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</si>
  <si>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</si>
  <si>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</si>
  <si>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</si>
  <si>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</si>
  <si>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</si>
  <si>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</si>
  <si>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</si>
  <si>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</si>
  <si>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</si>
  <si>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</si>
  <si>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</si>
  <si>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</si>
  <si>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</si>
  <si>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</si>
  <si>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</si>
  <si>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</si>
  <si>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</si>
  <si>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</si>
  <si>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</si>
  <si>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</si>
  <si>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</si>
  <si>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</si>
  <si>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</si>
  <si>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</si>
  <si>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</si>
  <si>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</si>
  <si>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</si>
  <si>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</si>
  <si>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</si>
  <si>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</si>
  <si>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</si>
  <si>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</si>
  <si>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</si>
  <si>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</si>
  <si>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</si>
  <si>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</si>
  <si>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</si>
  <si>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</si>
  <si>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</si>
  <si>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</si>
  <si>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</si>
  <si>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</si>
  <si>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</si>
  <si>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</si>
  <si>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</si>
  <si>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</si>
  <si>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</si>
  <si>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</si>
  <si>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</si>
  <si>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</si>
  <si>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</si>
  <si>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</si>
  <si>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</si>
  <si>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</si>
  <si>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</si>
  <si>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</si>
  <si>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</si>
  <si>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</si>
  <si>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</si>
  <si>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</si>
  <si>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</si>
  <si>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</si>
  <si>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</si>
  <si>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</si>
  <si>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</si>
  <si>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</si>
  <si>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</si>
  <si>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</si>
  <si>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</si>
  <si>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</si>
  <si>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</si>
  <si>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</si>
  <si>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</si>
  <si>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</si>
  <si>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</si>
  <si>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</si>
  <si>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</si>
  <si>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</si>
  <si>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</si>
  <si>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</si>
  <si>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</si>
  <si>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</si>
  <si>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</si>
  <si>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</si>
  <si>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</si>
  <si>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</si>
  <si>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</si>
  <si>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</si>
  <si>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</si>
  <si>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</si>
  <si>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</si>
  <si>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</si>
  <si>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</si>
  <si>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</si>
  <si>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</si>
  <si>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</si>
  <si>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</si>
  <si>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</si>
  <si>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</si>
  <si>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</si>
  <si>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</si>
  <si>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</si>
  <si>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</si>
  <si>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</si>
  <si>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</si>
  <si>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</si>
  <si>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</si>
  <si>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</si>
  <si>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</si>
  <si>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</si>
  <si>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</si>
  <si>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</si>
  <si>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</si>
  <si>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</si>
  <si>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</si>
  <si>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</si>
  <si>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</si>
  <si>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</si>
  <si>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</si>
  <si>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</si>
  <si>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</si>
  <si>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</si>
  <si>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</si>
  <si>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</si>
  <si>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</si>
  <si>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</si>
  <si>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</si>
  <si>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</si>
  <si>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</si>
  <si>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</si>
  <si>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</si>
  <si>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</si>
  <si>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</si>
  <si>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</si>
  <si>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</si>
  <si>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</si>
  <si>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</si>
  <si>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</si>
  <si>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</si>
  <si>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</si>
  <si>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</si>
  <si>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</si>
  <si>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</si>
  <si>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</si>
  <si>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</si>
  <si>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</si>
  <si>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</si>
  <si>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</si>
  <si>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</si>
  <si>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</si>
  <si>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</si>
  <si>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</si>
  <si>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</si>
  <si>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</si>
  <si>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</si>
  <si>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</si>
  <si>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</si>
  <si>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</si>
  <si>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</si>
  <si>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</si>
  <si>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</si>
  <si>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</si>
  <si>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</si>
  <si>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</si>
  <si>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</si>
  <si>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</si>
  <si>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</si>
  <si>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</si>
  <si>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</si>
  <si>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</si>
  <si>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</si>
  <si>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</si>
  <si>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</si>
  <si>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</si>
  <si>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</si>
  <si>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</si>
  <si>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</si>
  <si>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</si>
  <si>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</si>
  <si>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</si>
  <si>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</si>
  <si>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</si>
  <si>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</si>
  <si>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</si>
  <si>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</si>
  <si>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</si>
  <si>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</si>
  <si>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</si>
  <si>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</si>
  <si>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</si>
  <si>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</si>
  <si>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</si>
  <si>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</si>
  <si>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</si>
  <si>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</si>
  <si>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</si>
  <si>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</si>
  <si>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</si>
  <si>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</si>
  <si>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</si>
  <si>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</si>
  <si>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</si>
  <si>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</si>
  <si>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</si>
  <si>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</si>
  <si>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</si>
  <si>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</si>
  <si>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</si>
  <si>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</si>
  <si>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</si>
  <si>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</si>
  <si>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</si>
  <si>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</si>
  <si>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</si>
  <si>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</si>
  <si>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</si>
  <si>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</si>
  <si>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</si>
  <si>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</si>
  <si>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</si>
  <si>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</si>
  <si>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</si>
  <si>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</si>
  <si>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</si>
  <si>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</si>
  <si>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</si>
  <si>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</si>
  <si>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</si>
  <si>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</si>
  <si>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</si>
  <si>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</si>
  <si>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</si>
  <si>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</si>
  <si>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</si>
  <si>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</si>
  <si>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</si>
  <si>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</si>
  <si>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</si>
  <si>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</si>
  <si>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</si>
  <si>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</si>
  <si>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</si>
  <si>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</si>
  <si>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</si>
  <si>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</si>
  <si>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</si>
  <si>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</si>
  <si>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</si>
  <si>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</si>
  <si>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</si>
  <si>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</si>
  <si>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</si>
  <si>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</si>
  <si>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</si>
  <si>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</si>
  <si>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</si>
  <si>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</si>
  <si>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</si>
  <si>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</si>
  <si>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</si>
  <si>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</si>
  <si>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</si>
  <si>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</si>
  <si>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</si>
  <si>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</si>
  <si>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</si>
  <si>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</si>
  <si>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</si>
  <si>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</si>
  <si>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</si>
  <si>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</si>
  <si>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</si>
  <si>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</si>
  <si>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</si>
  <si>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</si>
  <si>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</si>
  <si>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</si>
  <si>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</si>
  <si>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</si>
  <si>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</si>
  <si>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</si>
  <si>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</si>
  <si>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</si>
  <si>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</si>
  <si>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</si>
  <si>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</si>
  <si>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</si>
  <si>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</si>
  <si>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</si>
  <si>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</si>
  <si>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</si>
  <si>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</si>
  <si>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</si>
  <si>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</si>
  <si>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</si>
  <si>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</si>
  <si>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</si>
  <si>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</si>
  <si>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</si>
  <si>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</si>
  <si>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</si>
  <si>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</si>
  <si>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</si>
  <si>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</si>
  <si>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</si>
  <si>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</si>
  <si>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</si>
  <si>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</si>
  <si>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</si>
  <si>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</si>
  <si>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</si>
  <si>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</si>
  <si>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</si>
  <si>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</si>
  <si>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</si>
  <si>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</si>
  <si>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</si>
  <si>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</si>
  <si>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</si>
  <si>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</si>
  <si>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</si>
  <si>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</si>
  <si>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</si>
  <si>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</si>
  <si>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</si>
  <si>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</si>
  <si>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</si>
  <si>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</si>
  <si>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</si>
  <si>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</si>
  <si>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</si>
  <si>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</si>
  <si>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</si>
  <si>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</si>
  <si>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</si>
  <si>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</si>
  <si>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</si>
  <si>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</si>
  <si>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</si>
  <si>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</si>
  <si>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</si>
  <si>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</si>
  <si>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</si>
  <si>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</si>
  <si>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</si>
  <si>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</si>
  <si>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</si>
  <si>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</si>
  <si>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</si>
  <si>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</si>
  <si>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</si>
  <si>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</si>
  <si>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</si>
  <si>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</si>
  <si>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</si>
  <si>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</si>
  <si>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</si>
  <si>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</si>
  <si>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</si>
  <si>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</si>
  <si>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</si>
  <si>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</si>
  <si>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</si>
  <si>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</si>
  <si>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</si>
  <si>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</si>
  <si>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</si>
  <si>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</si>
  <si>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</si>
  <si>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</si>
  <si>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</si>
  <si>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</si>
  <si>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</si>
  <si>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</si>
  <si>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</si>
  <si>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</si>
  <si>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</si>
  <si>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</si>
  <si>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</si>
  <si>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</si>
  <si>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</si>
  <si>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</si>
  <si>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</si>
  <si>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</si>
  <si>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</si>
  <si>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</si>
  <si>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</si>
  <si>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</si>
  <si>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</si>
  <si>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</si>
  <si>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</si>
  <si>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</si>
  <si>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</si>
  <si>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</si>
  <si>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</si>
  <si>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</si>
  <si>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</si>
  <si>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</si>
  <si>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</si>
  <si>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</si>
  <si>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</si>
  <si>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</si>
  <si>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</si>
  <si>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</si>
  <si>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</si>
  <si>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</si>
  <si>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</si>
  <si>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</si>
  <si>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</si>
  <si>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</si>
  <si>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</si>
  <si>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</si>
  <si>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</si>
  <si>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</si>
  <si>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</si>
  <si>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</si>
  <si>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</si>
  <si>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</si>
  <si>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</si>
  <si>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</si>
  <si>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</si>
  <si>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</si>
  <si>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</si>
  <si>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</si>
  <si>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</si>
  <si>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</si>
  <si>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</si>
  <si>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</si>
  <si>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</si>
  <si>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</si>
  <si>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</si>
  <si>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</si>
  <si>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</si>
  <si>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</si>
  <si>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</si>
  <si>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</si>
  <si>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</si>
  <si>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</si>
  <si>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</si>
  <si>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</si>
  <si>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</si>
  <si>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</si>
  <si>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</si>
  <si>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</si>
  <si>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</si>
  <si>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</si>
  <si>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</si>
  <si>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</si>
  <si>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</si>
  <si>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</si>
  <si>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</si>
  <si>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</si>
  <si>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</si>
  <si>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</si>
  <si>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</si>
  <si>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</si>
  <si>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</si>
  <si>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</si>
  <si>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</si>
  <si>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</si>
  <si>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</si>
  <si>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</si>
  <si>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</si>
  <si>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</si>
  <si>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</si>
  <si>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</si>
  <si>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</si>
  <si>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</si>
  <si>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</si>
  <si>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</si>
  <si>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</si>
  <si>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</si>
  <si>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</si>
  <si>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</si>
  <si>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</si>
  <si>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</si>
  <si>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</si>
  <si>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</si>
  <si>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</si>
  <si>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</si>
  <si>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</si>
  <si>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</si>
  <si>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</si>
  <si>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</si>
  <si>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</si>
  <si>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</si>
  <si>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</si>
  <si>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</si>
  <si>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</si>
  <si>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</si>
  <si>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</si>
  <si>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</si>
  <si>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</si>
  <si>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</si>
  <si>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</si>
  <si>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</si>
  <si>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</si>
  <si>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</si>
  <si>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</si>
  <si>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</si>
  <si>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</si>
  <si>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</si>
  <si>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</si>
  <si>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</si>
  <si>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</si>
  <si>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</si>
  <si>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</si>
  <si>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</si>
  <si>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</si>
  <si>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</si>
  <si>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</si>
  <si>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</si>
  <si>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</si>
  <si>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</si>
  <si>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</si>
  <si>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</si>
  <si>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</si>
  <si>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</si>
  <si>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</si>
  <si>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</si>
  <si>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</si>
  <si>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</si>
  <si>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</si>
  <si>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</si>
  <si>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</si>
  <si>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</si>
  <si>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</si>
  <si>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</si>
  <si>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</si>
  <si>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</si>
  <si>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</si>
  <si>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</si>
  <si>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</si>
  <si>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</si>
  <si>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</si>
  <si>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</si>
  <si>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</si>
  <si>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</si>
  <si>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</si>
  <si>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</si>
  <si>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</si>
  <si>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</si>
  <si>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</si>
  <si>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</si>
  <si>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</si>
  <si>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</si>
  <si>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</si>
  <si>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</si>
  <si>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</si>
  <si>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</si>
  <si>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</si>
  <si>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</si>
  <si>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</si>
  <si>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</si>
  <si>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</si>
  <si>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</si>
  <si>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</si>
  <si>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</si>
  <si>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</si>
  <si>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</si>
  <si>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</si>
  <si>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</si>
  <si>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</si>
  <si>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</si>
  <si>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</si>
  <si>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</si>
  <si>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</si>
  <si>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</si>
  <si>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</si>
  <si>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</si>
  <si>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</si>
  <si>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</si>
  <si>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</si>
  <si>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</si>
  <si>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</si>
  <si>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</si>
  <si>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</si>
  <si>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</si>
  <si>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</si>
  <si>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</si>
  <si>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</si>
  <si>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</si>
  <si>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</si>
  <si>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</si>
  <si>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</si>
  <si>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</si>
  <si>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</si>
  <si>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</si>
  <si>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</si>
  <si>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</si>
  <si>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</si>
  <si>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</si>
  <si>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</si>
  <si>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</si>
  <si>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</si>
  <si>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</si>
  <si>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</si>
  <si>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</si>
  <si>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</si>
  <si>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</si>
  <si>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</si>
  <si>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</si>
  <si>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</si>
  <si>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</si>
  <si>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</si>
  <si>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</si>
  <si>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</si>
  <si>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</si>
  <si>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</si>
  <si>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</si>
  <si>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</si>
  <si>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</si>
  <si>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</si>
  <si>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</si>
  <si>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</si>
  <si>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</si>
  <si>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</si>
  <si>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</si>
  <si>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</si>
  <si>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</si>
  <si>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</si>
  <si>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</si>
  <si>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</si>
  <si>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</si>
  <si>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</si>
  <si>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</si>
  <si>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</si>
  <si>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</si>
  <si>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</si>
  <si>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</si>
  <si>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</si>
  <si>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</si>
  <si>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</si>
  <si>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</si>
  <si>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</si>
  <si>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</si>
  <si>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</si>
  <si>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</si>
  <si>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</si>
  <si>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</si>
  <si>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</si>
  <si>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</si>
  <si>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</si>
  <si>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</si>
  <si>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</si>
  <si>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</si>
  <si>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</si>
  <si>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</si>
  <si>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</si>
  <si>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</si>
  <si>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</si>
  <si>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</si>
  <si>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</si>
  <si>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</si>
  <si>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</si>
  <si>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</si>
  <si>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</si>
  <si>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</si>
  <si>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</si>
  <si>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</si>
  <si>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</si>
  <si>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</si>
  <si>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</si>
  <si>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</si>
  <si>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</si>
  <si>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</si>
  <si>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</si>
  <si>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</si>
  <si>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</si>
  <si>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</si>
  <si>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</si>
  <si>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</si>
  <si>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</si>
  <si>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</si>
  <si>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</si>
  <si>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</si>
  <si>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</si>
  <si>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</si>
  <si>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</si>
  <si>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</si>
  <si>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</si>
  <si>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</si>
  <si>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</si>
  <si>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</si>
  <si>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</si>
  <si>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</si>
  <si>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</si>
  <si>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</si>
  <si>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</si>
  <si>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</si>
  <si>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</si>
  <si>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</si>
  <si>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</si>
  <si>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</si>
  <si>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</si>
  <si>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</si>
  <si>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</si>
  <si>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</si>
  <si>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</si>
  <si>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</si>
  <si>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</si>
  <si>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</si>
  <si>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</si>
  <si>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</si>
  <si>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</si>
  <si>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</si>
  <si>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</si>
  <si>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</si>
  <si>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</si>
  <si>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</si>
  <si>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</si>
  <si>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</si>
  <si>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</si>
  <si>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</si>
  <si>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</si>
  <si>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</si>
  <si>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</si>
  <si>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</si>
  <si>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</si>
  <si>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</si>
  <si>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</si>
  <si>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</si>
  <si>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</si>
  <si>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</si>
  <si>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</si>
  <si>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</si>
  <si>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</si>
  <si>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</si>
  <si>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</si>
  <si>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</si>
  <si>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</si>
  <si>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</si>
  <si>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</si>
  <si>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</si>
  <si>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</si>
  <si>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</si>
  <si>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</si>
  <si>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</si>
  <si>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</si>
  <si>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</si>
  <si>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</si>
  <si>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</si>
  <si>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</si>
  <si>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</si>
  <si>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</si>
  <si>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</si>
  <si>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</si>
  <si>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</si>
  <si>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</si>
  <si>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</si>
  <si>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</si>
  <si>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</si>
  <si>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</si>
  <si>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</si>
  <si>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</si>
  <si>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</si>
  <si>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</si>
  <si>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</si>
  <si>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</si>
  <si>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</si>
  <si>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</si>
  <si>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</si>
  <si>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</si>
  <si>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</si>
  <si>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</si>
  <si>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</si>
  <si>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</si>
  <si>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</si>
  <si>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</si>
  <si>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</si>
  <si>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</si>
  <si>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</si>
  <si>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</si>
  <si>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</si>
  <si>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</si>
  <si>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</si>
  <si>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</si>
  <si>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</si>
  <si>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</si>
  <si>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</si>
  <si>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</si>
  <si>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</si>
  <si>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</si>
  <si>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</si>
  <si>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</si>
  <si>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</si>
  <si>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</si>
  <si>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</si>
  <si>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</si>
  <si>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</si>
  <si>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</si>
  <si>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</si>
  <si>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</si>
  <si>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</si>
  <si>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</si>
  <si>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</si>
  <si>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</si>
  <si>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</si>
  <si>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</si>
  <si>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</si>
  <si>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</si>
  <si>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</si>
  <si>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</si>
  <si>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</si>
  <si>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</si>
  <si>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</si>
  <si>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</si>
  <si>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</si>
  <si>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</si>
  <si>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</si>
  <si>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</si>
  <si>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</si>
  <si>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</si>
  <si>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</si>
  <si>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</si>
  <si>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</si>
  <si>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</si>
  <si>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</si>
  <si>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</si>
  <si>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</si>
  <si>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</si>
  <si>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</si>
  <si>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</si>
  <si>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</si>
  <si>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</si>
  <si>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</si>
  <si>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</si>
  <si>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</si>
  <si>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</si>
  <si>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</si>
  <si>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</si>
  <si>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</si>
  <si>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</si>
  <si>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</si>
  <si>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</si>
  <si>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</si>
  <si>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</si>
  <si>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</si>
  <si>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</si>
  <si>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</si>
  <si>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</si>
  <si>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</si>
  <si>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</si>
  <si>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</si>
  <si>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</si>
  <si>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</si>
  <si>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</si>
  <si>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</si>
  <si>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</si>
  <si>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</si>
  <si>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</si>
  <si>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</si>
  <si>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</si>
  <si>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</si>
  <si>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</si>
  <si>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</si>
  <si>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</si>
  <si>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</si>
  <si>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</si>
  <si>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</si>
  <si>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</si>
  <si>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</si>
  <si>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</si>
  <si>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</si>
  <si>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</si>
  <si>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</si>
  <si>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</si>
  <si>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</si>
  <si>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</si>
  <si>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</si>
  <si>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</si>
  <si>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</si>
  <si>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</si>
  <si>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</si>
  <si>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</si>
  <si>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</si>
  <si>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</si>
  <si>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</si>
  <si>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</si>
  <si>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</si>
  <si>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</si>
  <si>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</si>
  <si>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</si>
  <si>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</si>
  <si>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</si>
  <si>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</si>
  <si>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</si>
  <si>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</si>
  <si>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</si>
  <si>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</si>
  <si>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</si>
  <si>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</si>
  <si>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</si>
  <si>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</si>
  <si>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</si>
  <si>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</si>
  <si>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</si>
  <si>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</si>
  <si>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</si>
  <si>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</si>
  <si>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</si>
  <si>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</si>
  <si>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</si>
  <si>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</si>
  <si>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</si>
  <si>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</si>
  <si>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</si>
  <si>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</si>
  <si>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</si>
  <si>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</si>
  <si>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</si>
  <si>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</si>
  <si>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</si>
  <si>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</si>
  <si>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</si>
  <si>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</si>
  <si>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</si>
  <si>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</si>
  <si>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</si>
  <si>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</si>
  <si>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</si>
  <si>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</si>
  <si>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</si>
  <si>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</si>
  <si>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</si>
  <si>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</si>
  <si>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</si>
  <si>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</si>
  <si>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</si>
  <si>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</si>
  <si>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</si>
  <si>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</si>
  <si>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</si>
  <si>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</si>
  <si>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</si>
  <si>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</si>
  <si>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</si>
  <si>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</si>
  <si>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</si>
  <si>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</si>
  <si>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</si>
  <si>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</si>
  <si>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</si>
  <si>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</si>
  <si>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</si>
  <si>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</si>
  <si>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</si>
  <si>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</si>
  <si>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</si>
  <si>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</si>
  <si>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</si>
  <si>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</si>
  <si>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</si>
  <si>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</si>
  <si>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</si>
  <si>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</si>
  <si>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</si>
  <si>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</si>
  <si>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</si>
  <si>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</si>
  <si>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</si>
  <si>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</si>
  <si>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</si>
  <si>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</si>
  <si>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</si>
  <si>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</si>
  <si>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</si>
  <si>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</si>
  <si>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</si>
  <si>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</si>
  <si>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</si>
  <si>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</si>
  <si>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</si>
  <si>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</si>
  <si>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</si>
  <si>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</si>
  <si>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</si>
  <si>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</si>
  <si>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</si>
  <si>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</si>
  <si>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</si>
  <si>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</si>
  <si>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</si>
  <si>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</si>
  <si>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</si>
  <si>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</si>
  <si>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</si>
  <si>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</si>
  <si>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</si>
  <si>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</si>
  <si>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</si>
  <si>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</si>
  <si>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</si>
  <si>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</si>
  <si>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</si>
  <si>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</si>
  <si>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</si>
  <si>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</si>
  <si>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</si>
  <si>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</si>
  <si>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</si>
  <si>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</si>
  <si>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</si>
  <si>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</si>
  <si>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</si>
  <si>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</si>
  <si>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</si>
  <si>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</si>
  <si>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</si>
  <si>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</si>
  <si>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</si>
  <si>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</si>
  <si>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</si>
  <si>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</si>
  <si>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</si>
  <si>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</si>
  <si>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</si>
  <si>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</si>
  <si>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</si>
  <si>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</si>
  <si>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</si>
  <si>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</si>
  <si>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</si>
  <si>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</si>
  <si>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</si>
  <si>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</si>
  <si>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</si>
  <si>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</si>
  <si>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</si>
  <si>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</si>
  <si>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</si>
  <si>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</si>
  <si>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</si>
  <si>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</si>
  <si>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</si>
  <si>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</si>
  <si>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</si>
  <si>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</si>
  <si>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</si>
  <si>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</si>
  <si>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</si>
  <si>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</si>
  <si>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</si>
  <si>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</si>
  <si>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</si>
  <si>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</si>
  <si>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</si>
  <si>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</si>
  <si>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</si>
  <si>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</si>
  <si>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</si>
  <si>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</si>
  <si>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</si>
  <si>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</si>
  <si>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</si>
  <si>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</si>
  <si>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</si>
  <si>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</si>
  <si>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</si>
  <si>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</si>
  <si>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</si>
  <si>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</si>
  <si>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</si>
  <si>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</si>
  <si>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</si>
  <si>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</si>
  <si>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</si>
  <si>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</si>
  <si>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</si>
  <si>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</si>
  <si>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</si>
  <si>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</si>
  <si>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</si>
  <si>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</si>
  <si>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</si>
  <si>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</si>
  <si>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</si>
  <si>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</si>
  <si>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</si>
  <si>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</si>
  <si>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</si>
  <si>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</si>
  <si>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</si>
  <si>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</si>
  <si>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</si>
  <si>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</si>
  <si>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</si>
  <si>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</si>
  <si>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</si>
  <si>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</si>
  <si>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</si>
  <si>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</si>
  <si>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</si>
  <si>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</si>
  <si>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</si>
  <si>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</si>
  <si>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</si>
  <si>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</si>
  <si>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</si>
  <si>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</si>
  <si>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</si>
  <si>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</si>
  <si>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</si>
  <si>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</si>
  <si>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</si>
  <si>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</si>
  <si>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</si>
  <si>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</si>
  <si>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</si>
  <si>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</si>
  <si>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</si>
  <si>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</si>
  <si>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</si>
  <si>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</si>
  <si>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</si>
  <si>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</si>
  <si>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</si>
  <si>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</si>
  <si>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</si>
  <si>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</si>
  <si>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</si>
  <si>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</si>
  <si>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</si>
  <si>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</si>
  <si>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</si>
  <si>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</si>
  <si>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</si>
  <si>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</si>
  <si>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</si>
  <si>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</si>
  <si>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</si>
  <si>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</si>
  <si>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</si>
  <si>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</si>
  <si>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</si>
  <si>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</si>
  <si>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</si>
  <si>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</si>
  <si>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</si>
  <si>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</si>
  <si>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</si>
  <si>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</si>
  <si>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</si>
  <si>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</si>
  <si>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</si>
  <si>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</si>
  <si>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</si>
  <si>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</si>
  <si>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</si>
  <si>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</si>
  <si>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</si>
  <si>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</si>
  <si>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</si>
  <si>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</si>
  <si>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</si>
  <si>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</si>
  <si>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</si>
  <si>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</si>
  <si>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</si>
  <si>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</si>
  <si>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</si>
  <si>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</si>
  <si>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</si>
  <si>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</si>
  <si>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</si>
  <si>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</si>
  <si>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</si>
  <si>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</si>
  <si>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</si>
  <si>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</si>
  <si>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</si>
  <si>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</si>
  <si>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</si>
  <si>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</si>
  <si>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</si>
  <si>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</si>
  <si>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</si>
  <si>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</si>
  <si>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</si>
  <si>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</si>
  <si>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</si>
  <si>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</si>
  <si>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</si>
  <si>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</si>
  <si>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</si>
  <si>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</si>
  <si>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</si>
  <si>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</si>
  <si>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</si>
  <si>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</si>
  <si>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</si>
  <si>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</si>
  <si>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</si>
  <si>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</si>
  <si>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</si>
  <si>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</si>
  <si>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</si>
  <si>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</si>
  <si>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</si>
  <si>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</si>
  <si>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</si>
  <si>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</si>
  <si>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</si>
  <si>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</si>
  <si>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</si>
  <si>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</si>
  <si>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</si>
  <si>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</si>
  <si>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</si>
  <si>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</si>
  <si>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</si>
  <si>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</si>
  <si>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</si>
  <si>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</si>
  <si>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</si>
  <si>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</si>
  <si>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</si>
  <si>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</si>
  <si>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</si>
  <si>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</si>
  <si>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</si>
  <si>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</si>
  <si>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</si>
  <si>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</si>
  <si>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</si>
  <si>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</si>
  <si>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</si>
  <si>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</si>
  <si>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</si>
  <si>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</si>
  <si>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</si>
  <si>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</si>
  <si>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</si>
  <si>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</si>
  <si>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</si>
  <si>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</si>
  <si>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</si>
  <si>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</si>
  <si>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</si>
  <si>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</si>
  <si>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</si>
  <si>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</si>
  <si>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</si>
  <si>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</si>
  <si>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</si>
  <si>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</si>
  <si>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</si>
  <si>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</si>
  <si>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</si>
  <si>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</si>
  <si>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</si>
  <si>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</si>
  <si>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</si>
  <si>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</si>
  <si>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</si>
  <si>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</si>
  <si>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</si>
  <si>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</si>
  <si>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</si>
  <si>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</si>
  <si>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</si>
  <si>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</si>
  <si>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</si>
  <si>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</si>
  <si>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</si>
  <si>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</si>
  <si>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</si>
  <si>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</si>
  <si>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</si>
  <si>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</si>
  <si>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</si>
  <si>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</si>
  <si>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</si>
  <si>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</si>
  <si>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</si>
  <si>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</si>
  <si>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</si>
  <si>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</si>
  <si>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</si>
  <si>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</si>
  <si>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</si>
  <si>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</si>
  <si>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</si>
  <si>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</si>
  <si>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</si>
  <si>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</si>
  <si>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</si>
  <si>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</si>
  <si>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</si>
  <si>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</si>
  <si>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</si>
  <si>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</si>
  <si>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</si>
  <si>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</si>
  <si>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</si>
  <si>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</si>
  <si>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</si>
  <si>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</si>
  <si>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</si>
  <si>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</si>
  <si>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</si>
  <si>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</si>
  <si>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</si>
  <si>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</si>
  <si>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</si>
  <si>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</si>
  <si>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</si>
  <si>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</si>
  <si>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</si>
  <si>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</si>
  <si>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</si>
  <si>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</si>
  <si>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</si>
  <si>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</si>
  <si>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</si>
  <si>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</si>
  <si>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</si>
  <si>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</si>
  <si>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</si>
  <si>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</si>
  <si>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</si>
  <si>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</si>
  <si>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</si>
  <si>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</si>
  <si>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</si>
  <si>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</si>
  <si>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</si>
  <si>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</si>
  <si>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</si>
  <si>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</si>
  <si>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</si>
  <si>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</si>
  <si>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</si>
  <si>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</si>
  <si>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</si>
  <si>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</si>
  <si>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</si>
  <si>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</si>
  <si>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</si>
  <si>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</si>
  <si>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</si>
  <si>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</si>
  <si>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</si>
  <si>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</si>
  <si>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</si>
  <si>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</si>
  <si>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</si>
  <si>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</si>
  <si>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</si>
  <si>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</si>
  <si>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</si>
  <si>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</si>
  <si>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</si>
  <si>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</si>
  <si>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</si>
  <si>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</si>
  <si>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</si>
  <si>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</si>
  <si>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</si>
  <si>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</si>
  <si>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</si>
  <si>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</si>
  <si>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</si>
  <si>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</si>
  <si>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</si>
  <si>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</si>
  <si>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</si>
  <si>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</si>
  <si>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</si>
  <si>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</si>
  <si>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</si>
  <si>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</si>
  <si>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</si>
  <si>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</si>
  <si>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</si>
  <si>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</si>
  <si>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</si>
  <si>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</si>
  <si>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</si>
  <si>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</si>
  <si>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</si>
  <si>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</si>
  <si>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</si>
  <si>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</si>
  <si>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</si>
  <si>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</si>
  <si>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</si>
  <si>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</si>
  <si>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</si>
  <si>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</si>
  <si>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</si>
  <si>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</si>
  <si>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</si>
  <si>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</si>
  <si>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</si>
  <si>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</si>
  <si>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</si>
  <si>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</si>
  <si>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</si>
  <si>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</si>
  <si>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</si>
  <si>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</si>
  <si>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</si>
  <si>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</si>
  <si>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</si>
  <si>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</si>
  <si>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</si>
  <si>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</si>
  <si>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</si>
  <si>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</si>
  <si>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</si>
  <si>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</si>
  <si>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</si>
  <si>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</si>
  <si>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</si>
  <si>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</si>
  <si>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</si>
  <si>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</si>
  <si>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</si>
  <si>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</si>
  <si>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</si>
  <si>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</si>
  <si>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</si>
  <si>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</si>
  <si>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</si>
  <si>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</si>
  <si>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</si>
  <si>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</si>
  <si>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</si>
  <si>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</si>
  <si>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</si>
  <si>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</si>
  <si>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</si>
  <si>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</si>
  <si>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</si>
  <si>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</si>
  <si>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</si>
  <si>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</si>
  <si>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</si>
  <si>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</si>
  <si>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</si>
  <si>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</si>
  <si>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</si>
  <si>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</si>
  <si>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</si>
  <si>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</si>
  <si>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</si>
  <si>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</si>
  <si>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</si>
  <si>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</si>
  <si>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</si>
  <si>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</si>
  <si>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</si>
  <si>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</si>
  <si>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</si>
  <si>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</si>
  <si>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</si>
  <si>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</si>
  <si>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</si>
  <si>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</si>
  <si>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</si>
  <si>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</si>
  <si>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</si>
  <si>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</si>
  <si>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</si>
  <si>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</si>
  <si>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</si>
  <si>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</si>
  <si>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</si>
  <si>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</si>
  <si>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</si>
  <si>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</si>
  <si>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</si>
  <si>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</si>
  <si>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</si>
  <si>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</si>
  <si>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</si>
  <si>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</si>
  <si>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</si>
  <si>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</si>
  <si>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</si>
  <si>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</si>
  <si>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</si>
  <si>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</si>
  <si>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</si>
  <si>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</si>
  <si>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</si>
  <si>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</si>
  <si>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</si>
  <si>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</si>
  <si>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</si>
  <si>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</si>
  <si>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</si>
  <si>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</si>
  <si>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</si>
  <si>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</si>
  <si>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</si>
  <si>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</si>
  <si>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</si>
  <si>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</si>
  <si>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</si>
  <si>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</si>
  <si>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</si>
  <si>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</si>
  <si>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</si>
  <si>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</si>
  <si>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</si>
  <si>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</si>
  <si>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</si>
  <si>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</si>
  <si>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</si>
  <si>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</si>
  <si>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</si>
  <si>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</si>
  <si>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</si>
  <si>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</si>
  <si>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</si>
  <si>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</si>
  <si>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</si>
  <si>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</si>
  <si>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</si>
  <si>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</si>
  <si>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</si>
  <si>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</si>
  <si>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</si>
  <si>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</si>
  <si>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</si>
  <si>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</si>
  <si>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</si>
  <si>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</si>
  <si>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</si>
  <si>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</si>
  <si>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</si>
  <si>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</si>
  <si>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</si>
  <si>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</si>
  <si>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</si>
  <si>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</si>
  <si>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</si>
  <si>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</si>
  <si>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</si>
  <si>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</si>
  <si>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</si>
  <si>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</si>
  <si>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</si>
  <si>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</si>
  <si>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</si>
  <si>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</si>
  <si>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</si>
  <si>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</si>
  <si>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</si>
  <si>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</si>
  <si>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</si>
  <si>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</si>
  <si>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</si>
  <si>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</si>
  <si>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</si>
  <si>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</si>
  <si>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</si>
  <si>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</si>
  <si>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</si>
  <si>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</si>
  <si>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</si>
  <si>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</si>
  <si>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</si>
  <si>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</si>
  <si>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</si>
  <si>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</si>
  <si>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</si>
  <si>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</si>
  <si>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</si>
  <si>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</si>
  <si>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</si>
  <si>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</si>
  <si>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</si>
  <si>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</si>
  <si>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</si>
  <si>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</si>
  <si>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</si>
  <si>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</si>
  <si>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</si>
  <si>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</si>
  <si>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</si>
  <si>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</si>
  <si>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</si>
  <si>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</si>
  <si>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</si>
  <si>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</si>
  <si>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</si>
  <si>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</si>
  <si>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</si>
  <si>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</si>
  <si>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</si>
  <si>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</si>
  <si>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</si>
  <si>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</si>
  <si>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</si>
  <si>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</si>
  <si>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</si>
  <si>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</si>
  <si>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</si>
  <si>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</si>
  <si>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</si>
  <si>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</si>
  <si>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</si>
  <si>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</si>
  <si>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</si>
  <si>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</si>
  <si>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</si>
  <si>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</si>
  <si>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</si>
  <si>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</si>
  <si>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</si>
  <si>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</si>
  <si>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</si>
  <si>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</si>
  <si>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</si>
  <si>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</si>
  <si>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</si>
  <si>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</si>
  <si>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</si>
  <si>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</si>
  <si>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</si>
  <si>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</si>
  <si>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</si>
  <si>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</si>
  <si>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</si>
  <si>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</si>
  <si>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</si>
  <si>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</si>
  <si>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</si>
  <si>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</si>
  <si>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</si>
  <si>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</si>
  <si>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</si>
  <si>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</si>
  <si>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</si>
  <si>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</si>
  <si>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</si>
  <si>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</si>
  <si>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</si>
  <si>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</si>
  <si>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</si>
  <si>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</si>
  <si>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</si>
  <si>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</si>
  <si>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</si>
  <si>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</si>
  <si>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</si>
  <si>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</si>
  <si>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</si>
  <si>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</si>
  <si>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</si>
  <si>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</si>
  <si>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</si>
  <si>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</si>
  <si>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</si>
  <si>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</si>
  <si>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</si>
  <si>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</si>
  <si>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</si>
  <si>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</si>
  <si>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</si>
  <si>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</si>
  <si>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</si>
  <si>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</si>
  <si>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</si>
  <si>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</si>
  <si>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</si>
  <si>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</si>
  <si>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</si>
  <si>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</si>
  <si>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</si>
  <si>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</si>
  <si>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</si>
  <si>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</si>
  <si>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</si>
  <si>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</si>
  <si>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</si>
  <si>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</si>
  <si>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</si>
  <si>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</si>
  <si>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</si>
  <si>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</si>
  <si>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</si>
  <si>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</si>
  <si>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</si>
  <si>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</si>
  <si>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</si>
  <si>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</si>
  <si>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</si>
  <si>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</si>
  <si>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</si>
  <si>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</si>
  <si>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</si>
  <si>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</si>
  <si>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</si>
  <si>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</si>
  <si>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</si>
  <si>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</si>
  <si>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</si>
  <si>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</si>
  <si>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</si>
  <si>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</si>
  <si>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</si>
  <si>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</si>
  <si>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</si>
  <si>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</si>
  <si>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</si>
  <si>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</si>
  <si>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</si>
  <si>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</si>
  <si>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</si>
  <si>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</si>
  <si>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</si>
  <si>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</si>
  <si>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</si>
  <si>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</si>
  <si>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</si>
  <si>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</si>
  <si>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</si>
  <si>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</si>
  <si>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</si>
  <si>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</si>
  <si>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</si>
  <si>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</si>
  <si>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</si>
  <si>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</si>
  <si>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</si>
  <si>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</si>
  <si>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</si>
  <si>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</si>
  <si>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</si>
  <si>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</si>
  <si>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</si>
  <si>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</si>
  <si>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</si>
  <si>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</si>
  <si>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</si>
  <si>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</si>
  <si>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</si>
  <si>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</si>
  <si>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</si>
  <si>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</si>
  <si>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</si>
  <si>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</si>
  <si>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</si>
  <si>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</si>
  <si>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</si>
  <si>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</si>
  <si>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</si>
  <si>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</si>
  <si>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</si>
  <si>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</si>
  <si>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</si>
  <si>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</si>
  <si>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</si>
  <si>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</si>
  <si>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</si>
  <si>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</si>
  <si>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</si>
  <si>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</si>
  <si>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</si>
  <si>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</si>
  <si>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</si>
  <si>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</si>
  <si>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</si>
  <si>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</si>
  <si>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</si>
  <si>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</si>
  <si>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</si>
  <si>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</si>
  <si>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</si>
  <si>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</si>
  <si>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</si>
  <si>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</si>
  <si>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</si>
  <si>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</si>
  <si>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</si>
  <si>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</si>
  <si>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</si>
  <si>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</si>
  <si>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</si>
  <si>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</si>
  <si>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</si>
  <si>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</si>
  <si>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</si>
  <si>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</si>
  <si>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</si>
  <si>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</si>
  <si>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</si>
  <si>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</si>
  <si>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</si>
  <si>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</si>
  <si>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</si>
  <si>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</si>
  <si>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</si>
  <si>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</si>
  <si>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</si>
  <si>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</si>
  <si>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</si>
  <si>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</si>
  <si>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</si>
  <si>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</si>
  <si>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</si>
  <si>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</si>
  <si>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</si>
  <si>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</si>
  <si>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</si>
  <si>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</si>
  <si>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</si>
  <si>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</si>
  <si>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</si>
  <si>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</si>
  <si>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</si>
  <si>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</si>
  <si>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</si>
  <si>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</si>
  <si>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</si>
  <si>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</si>
  <si>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</si>
  <si>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</si>
  <si>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</si>
  <si>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</si>
  <si>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</si>
  <si>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</si>
  <si>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</si>
  <si>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</si>
  <si>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</si>
  <si>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</si>
  <si>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</si>
  <si>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</si>
  <si>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</si>
  <si>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</si>
  <si>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</si>
  <si>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</si>
  <si>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</si>
  <si>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</si>
  <si>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</si>
  <si>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</si>
  <si>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</si>
  <si>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</si>
  <si>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</si>
  <si>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</si>
  <si>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</si>
  <si>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</si>
  <si>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</si>
  <si>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</si>
  <si>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</si>
  <si>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</si>
  <si>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</si>
  <si>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</si>
  <si>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</si>
  <si>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</si>
  <si>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</si>
  <si>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</si>
  <si>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</si>
  <si>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</si>
  <si>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</si>
  <si>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</si>
  <si>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</si>
  <si>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</si>
  <si>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</si>
  <si>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</si>
  <si>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</si>
  <si>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</si>
  <si>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</si>
  <si>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</si>
  <si>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</si>
  <si>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</si>
  <si>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</si>
  <si>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</si>
  <si>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</si>
  <si>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</si>
  <si>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</si>
  <si>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</si>
  <si>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</si>
  <si>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</si>
  <si>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</si>
  <si>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</si>
  <si>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</si>
  <si>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</si>
  <si>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</si>
  <si>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</si>
  <si>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</si>
  <si>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</si>
  <si>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</si>
  <si>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</si>
  <si>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</si>
  <si>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</si>
  <si>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</si>
  <si>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</si>
  <si>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</si>
  <si>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</si>
  <si>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</si>
  <si>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</si>
  <si>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</si>
  <si>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</si>
  <si>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</si>
  <si>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</si>
  <si>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</si>
  <si>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</si>
  <si>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</si>
  <si>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</si>
  <si>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</si>
  <si>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</si>
  <si>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</si>
  <si>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</si>
  <si>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</si>
  <si>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</si>
  <si>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</si>
  <si>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</si>
  <si>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</si>
  <si>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</si>
  <si>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</si>
  <si>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</si>
  <si>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</si>
  <si>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</si>
  <si>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</si>
  <si>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</si>
  <si>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</si>
  <si>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</si>
  <si>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</si>
  <si>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</si>
  <si>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</si>
  <si>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</si>
  <si>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</si>
  <si>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</si>
  <si>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</si>
  <si>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</si>
  <si>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</si>
  <si>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</si>
  <si>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</si>
  <si>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</si>
  <si>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</si>
  <si>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</si>
  <si>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</si>
  <si>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</si>
  <si>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</si>
  <si>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</si>
  <si>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</si>
  <si>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</si>
  <si>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</si>
  <si>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</si>
  <si>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</si>
  <si>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</si>
  <si>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</si>
  <si>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</si>
  <si>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</si>
  <si>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</si>
  <si>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</si>
  <si>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</si>
  <si>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</si>
  <si>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</si>
  <si>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</si>
  <si>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</si>
  <si>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</si>
  <si>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</si>
  <si>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</si>
  <si>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</si>
  <si>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</si>
  <si>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</si>
  <si>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</si>
  <si>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</si>
  <si>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</si>
  <si>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</si>
  <si>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</si>
  <si>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</si>
  <si>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</si>
  <si>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</si>
  <si>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</si>
  <si>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</si>
  <si>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</si>
  <si>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</si>
  <si>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</si>
  <si>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</si>
  <si>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</si>
  <si>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</si>
  <si>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</si>
  <si>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</si>
  <si>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</si>
  <si>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</si>
  <si>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</si>
  <si>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</si>
  <si>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</si>
  <si>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</si>
  <si>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</si>
  <si>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</si>
  <si>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</si>
  <si>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</si>
  <si>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</si>
  <si>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</si>
  <si>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</si>
  <si>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</si>
  <si>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</si>
  <si>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</si>
  <si>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</si>
  <si>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</si>
  <si>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</si>
  <si>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</si>
  <si>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</si>
  <si>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</si>
  <si>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</si>
  <si>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</si>
  <si>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</si>
  <si>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</si>
  <si>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</si>
  <si>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</si>
  <si>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</si>
  <si>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</si>
  <si>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</si>
  <si>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</si>
  <si>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</si>
  <si>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</si>
  <si>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</si>
  <si>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</si>
  <si>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</si>
  <si>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</si>
  <si>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</si>
  <si>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</si>
  <si>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</si>
  <si>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</si>
  <si>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</si>
  <si>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</si>
  <si>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</si>
  <si>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</si>
  <si>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</si>
  <si>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</si>
  <si>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</si>
  <si>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</si>
  <si>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</si>
  <si>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</si>
  <si>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</si>
  <si>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</si>
  <si>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</si>
  <si>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</si>
  <si>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</si>
  <si>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</si>
  <si>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</si>
  <si>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</si>
  <si>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</si>
  <si>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</si>
  <si>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</si>
  <si>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</si>
  <si>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</si>
  <si>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</si>
  <si>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</si>
  <si>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</si>
  <si>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</si>
  <si>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</si>
  <si>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</si>
  <si>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</si>
  <si>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</si>
  <si>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</si>
  <si>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</si>
  <si>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</si>
  <si>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</si>
  <si>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</si>
  <si>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</si>
  <si>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</si>
  <si>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</si>
  <si>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</si>
  <si>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</si>
  <si>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</si>
  <si>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</si>
  <si>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</si>
  <si>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</si>
  <si>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</si>
  <si>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</si>
  <si>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</si>
  <si>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</si>
  <si>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</si>
  <si>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</si>
  <si>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</si>
  <si>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</si>
  <si>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</si>
  <si>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</si>
  <si>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</si>
  <si>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</si>
  <si>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</si>
  <si>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</si>
  <si>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</si>
  <si>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</si>
  <si>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</si>
  <si>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</si>
  <si>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</si>
  <si>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</si>
  <si>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</si>
  <si>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</si>
  <si>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</si>
  <si>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</si>
  <si>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</si>
  <si>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</si>
  <si>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</si>
  <si>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</si>
  <si>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</si>
  <si>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</si>
  <si>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</si>
  <si>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</si>
  <si>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</si>
  <si>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</si>
  <si>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</si>
  <si>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</si>
  <si>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</si>
  <si>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</si>
  <si>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</si>
  <si>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</si>
  <si>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</si>
  <si>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</si>
  <si>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</si>
  <si>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</si>
  <si>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</si>
  <si>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</si>
  <si>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</si>
  <si>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</si>
  <si>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</si>
  <si>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</si>
  <si>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</si>
  <si>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</si>
  <si>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</si>
  <si>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</si>
  <si>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</si>
  <si>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</si>
  <si>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</si>
  <si>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</si>
  <si>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</si>
  <si>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</si>
  <si>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</si>
  <si>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</si>
  <si>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</si>
  <si>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</si>
  <si>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</si>
  <si>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</si>
  <si>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</si>
  <si>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</si>
  <si>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</si>
  <si>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</si>
  <si>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</si>
  <si>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</si>
  <si>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</si>
  <si>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</si>
  <si>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</si>
  <si>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</si>
  <si>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</si>
  <si>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</si>
  <si>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</si>
  <si>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</si>
  <si>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</si>
  <si>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</si>
  <si>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</si>
  <si>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</si>
  <si>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</si>
  <si>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</si>
  <si>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</si>
  <si>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</si>
  <si>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</si>
  <si>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</si>
  <si>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</si>
  <si>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</si>
  <si>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</si>
  <si>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</si>
  <si>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</si>
  <si>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</si>
  <si>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</si>
  <si>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</si>
  <si>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</si>
  <si>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</si>
  <si>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</si>
  <si>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</si>
  <si>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</si>
  <si>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</si>
  <si>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</si>
  <si>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</si>
  <si>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</si>
  <si>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</si>
  <si>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</si>
  <si>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</si>
  <si>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</si>
  <si>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</si>
  <si>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</si>
  <si>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</si>
  <si>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</si>
  <si>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</si>
  <si>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</si>
  <si>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</si>
  <si>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</si>
  <si>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</si>
  <si>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</si>
  <si>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</si>
  <si>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</si>
  <si>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</si>
  <si>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</si>
  <si>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</si>
  <si>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</si>
  <si>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</si>
  <si>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</si>
  <si>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</si>
  <si>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</si>
  <si>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</si>
  <si>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</si>
  <si>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</si>
  <si>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</si>
  <si>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</si>
  <si>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</si>
  <si>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</si>
  <si>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</si>
  <si>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</si>
  <si>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</si>
  <si>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</si>
  <si>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</si>
  <si>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</si>
  <si>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</si>
  <si>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</si>
  <si>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</si>
  <si>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</si>
  <si>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</si>
  <si>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</si>
  <si>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</si>
  <si>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</si>
  <si>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</si>
  <si>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</si>
  <si>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</si>
  <si>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</si>
  <si>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</si>
  <si>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</si>
  <si>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</si>
  <si>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</si>
  <si>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</si>
  <si>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</si>
  <si>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</si>
  <si>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</si>
  <si>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</si>
  <si>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</si>
  <si>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</si>
  <si>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</si>
  <si>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</si>
  <si>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</si>
  <si>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</si>
  <si>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</si>
  <si>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</si>
  <si>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</si>
  <si>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</si>
  <si>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</si>
  <si>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</si>
  <si>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</si>
  <si>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</si>
  <si>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</si>
  <si>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</si>
  <si>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</si>
  <si>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</si>
  <si>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</si>
  <si>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</si>
  <si>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</si>
  <si>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</si>
  <si>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</si>
  <si>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</si>
  <si>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</si>
  <si>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</si>
  <si>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</si>
  <si>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</si>
  <si>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</si>
  <si>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</si>
  <si>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</si>
  <si>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</si>
  <si>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</si>
  <si>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</si>
  <si>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</si>
  <si>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</si>
  <si>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</si>
  <si>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</si>
  <si>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</si>
  <si>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</si>
  <si>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</si>
  <si>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</si>
  <si>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</si>
  <si>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</si>
  <si>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</si>
  <si>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</si>
  <si>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</si>
  <si>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</si>
  <si>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</si>
  <si>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</si>
  <si>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</si>
  <si>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</si>
  <si>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</si>
  <si>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</si>
  <si>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</si>
  <si>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</si>
  <si>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</si>
  <si>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</si>
  <si>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</si>
  <si>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</si>
  <si>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</si>
  <si>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</si>
  <si>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</si>
  <si>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</si>
  <si>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</si>
  <si>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</si>
  <si>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</si>
  <si>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</si>
  <si>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</si>
  <si>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</si>
  <si>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</si>
  <si>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</si>
  <si>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</si>
  <si>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</si>
  <si>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</si>
  <si>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</si>
  <si>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</si>
  <si>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</si>
  <si>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</si>
  <si>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</si>
  <si>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</si>
  <si>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</si>
  <si>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</si>
  <si>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</si>
  <si>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</si>
  <si>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</si>
  <si>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</si>
  <si>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</si>
  <si>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</si>
  <si>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</si>
  <si>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</si>
  <si>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</si>
  <si>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</si>
  <si>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</si>
  <si>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</si>
  <si>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</si>
  <si>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</si>
  <si>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</si>
  <si>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</si>
  <si>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</si>
  <si>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</si>
  <si>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</si>
  <si>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</si>
  <si>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</si>
  <si>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</si>
  <si>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</si>
  <si>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</si>
  <si>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</si>
  <si>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</si>
  <si>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</si>
  <si>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</si>
  <si>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</si>
  <si>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</si>
  <si>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</si>
  <si>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</si>
  <si>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</si>
  <si>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</si>
  <si>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</si>
  <si>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</si>
  <si>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</si>
  <si>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</si>
  <si>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</si>
  <si>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</si>
  <si>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</si>
  <si>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</si>
  <si>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</si>
  <si>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</si>
  <si>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</si>
  <si>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</si>
  <si>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</si>
  <si>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</si>
  <si>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</si>
  <si>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</si>
  <si>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</si>
  <si>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</si>
  <si>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</si>
  <si>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</si>
  <si>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</si>
  <si>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</si>
  <si>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</si>
  <si>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</si>
  <si>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</si>
  <si>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</si>
  <si>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</si>
  <si>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</si>
  <si>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</si>
  <si>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</si>
  <si>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</si>
  <si>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</si>
  <si>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</si>
  <si>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</si>
  <si>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</si>
  <si>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</si>
  <si>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</si>
  <si>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</si>
  <si>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</si>
  <si>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</si>
  <si>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</si>
  <si>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</si>
  <si>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</si>
  <si>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</si>
  <si>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</si>
  <si>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</si>
  <si>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</si>
  <si>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</si>
  <si>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</si>
  <si>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</si>
  <si>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</si>
  <si>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</si>
  <si>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</si>
  <si>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</si>
  <si>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</si>
  <si>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</si>
  <si>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</si>
  <si>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</si>
  <si>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</si>
  <si>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</si>
  <si>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</si>
  <si>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</si>
  <si>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</si>
  <si>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</si>
  <si>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</si>
  <si>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</si>
  <si>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</si>
  <si>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</si>
  <si>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</si>
  <si>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</si>
  <si>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</si>
  <si>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</si>
  <si>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</si>
  <si>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</si>
  <si>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</si>
  <si>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</si>
  <si>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</si>
  <si>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</si>
  <si>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</si>
  <si>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</si>
  <si>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</si>
  <si>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</si>
  <si>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</si>
  <si>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</si>
  <si>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</si>
  <si>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</si>
  <si>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</si>
  <si>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</si>
  <si>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</si>
  <si>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</si>
  <si>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</si>
  <si>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</si>
  <si>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</si>
  <si>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</si>
  <si>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</si>
  <si>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</si>
  <si>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</si>
  <si>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</si>
  <si>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</si>
  <si>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</si>
  <si>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</si>
  <si>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</si>
  <si>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</si>
  <si>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</si>
  <si>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</si>
  <si>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</si>
  <si>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</si>
  <si>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</si>
  <si>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</si>
  <si>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</si>
  <si>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</si>
  <si>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</si>
  <si>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</si>
  <si>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</si>
  <si>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</si>
  <si>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</si>
  <si>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</si>
  <si>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</si>
  <si>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</si>
  <si>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</si>
  <si>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</si>
  <si>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</si>
  <si>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</si>
  <si>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</si>
  <si>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</si>
  <si>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</si>
  <si>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</si>
  <si>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</si>
  <si>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</si>
  <si>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</si>
  <si>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</si>
  <si>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</si>
  <si>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</si>
  <si>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</si>
  <si>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</si>
  <si>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</si>
  <si>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</si>
  <si>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</si>
  <si>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</si>
  <si>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</si>
  <si>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</si>
  <si>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</si>
  <si>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</si>
  <si>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</si>
  <si>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</si>
  <si>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</si>
  <si>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</si>
  <si>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</si>
  <si>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</si>
  <si>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</si>
  <si>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</si>
  <si>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</si>
  <si>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</si>
  <si>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</si>
  <si>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</si>
  <si>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</si>
  <si>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</si>
  <si>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</si>
  <si>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</si>
  <si>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</si>
  <si>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</si>
  <si>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</si>
  <si>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</si>
  <si>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</si>
  <si>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</si>
  <si>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</si>
  <si>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</si>
  <si>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</si>
  <si>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</si>
  <si>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</si>
  <si>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</si>
  <si>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</si>
  <si>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</si>
  <si>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</si>
  <si>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</si>
  <si>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</si>
  <si>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</si>
  <si>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</si>
  <si>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</si>
  <si>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</si>
  <si>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</si>
  <si>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</si>
  <si>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</si>
  <si>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</si>
  <si>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</si>
  <si>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</si>
  <si>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</si>
  <si>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</si>
  <si>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</si>
  <si>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</si>
  <si>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</si>
  <si>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</si>
  <si>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</si>
  <si>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</si>
  <si>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</si>
  <si>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</si>
  <si>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</si>
  <si>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</si>
  <si>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</si>
  <si>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</si>
  <si>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</si>
  <si>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</si>
  <si>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</si>
  <si>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</si>
  <si>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</si>
  <si>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</si>
  <si>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</si>
  <si>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</si>
  <si>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</si>
  <si>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</si>
  <si>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</si>
  <si>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</si>
  <si>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</si>
  <si>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</si>
  <si>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</si>
  <si>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</si>
  <si>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</si>
  <si>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</si>
  <si>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</si>
  <si>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</si>
  <si>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</si>
  <si>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</si>
  <si>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</si>
  <si>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</si>
  <si>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</si>
  <si>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</si>
  <si>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</si>
  <si>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</si>
  <si>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</si>
  <si>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</si>
  <si>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</si>
  <si>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</si>
  <si>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</si>
  <si>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</si>
  <si>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</si>
  <si>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</si>
  <si>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</si>
  <si>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</si>
  <si>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</si>
  <si>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</si>
  <si>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</si>
  <si>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</si>
  <si>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</si>
  <si>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</si>
  <si>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</si>
  <si>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</si>
  <si>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</si>
  <si>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</si>
  <si>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</si>
  <si>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</si>
  <si>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</si>
  <si>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</si>
  <si>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</si>
  <si>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</si>
  <si>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</si>
  <si>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</si>
  <si>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</si>
  <si>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</si>
  <si>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</si>
  <si>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</si>
  <si>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</si>
  <si>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</si>
  <si>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</si>
  <si>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</si>
  <si>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</si>
  <si>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</si>
  <si>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</si>
  <si>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</si>
  <si>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</si>
  <si>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</si>
  <si>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</si>
  <si>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</si>
  <si>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</si>
  <si>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</si>
  <si>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</si>
  <si>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</si>
  <si>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</si>
  <si>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</si>
  <si>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</si>
  <si>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</si>
  <si>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</si>
  <si>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</si>
  <si>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</si>
  <si>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</si>
  <si>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</si>
  <si>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</si>
  <si>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</si>
  <si>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</si>
  <si>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</si>
  <si>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</si>
  <si>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</si>
  <si>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</si>
  <si>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</si>
  <si>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</si>
  <si>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</si>
  <si>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</si>
  <si>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</si>
  <si>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</si>
  <si>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</si>
  <si>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</si>
  <si>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</si>
  <si>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</si>
  <si>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</si>
  <si>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</si>
  <si>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</si>
  <si>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</si>
  <si>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</si>
  <si>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</si>
  <si>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</si>
  <si>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</si>
  <si>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</si>
  <si>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</si>
  <si>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</si>
  <si>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</si>
  <si>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</si>
  <si>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</si>
  <si>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</si>
  <si>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</si>
  <si>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</si>
  <si>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</si>
  <si>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</si>
  <si>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</si>
  <si>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</si>
  <si>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</si>
  <si>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</si>
  <si>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</si>
  <si>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</si>
  <si>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</si>
  <si>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</si>
  <si>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</si>
  <si>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</si>
  <si>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</si>
  <si>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</si>
  <si>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</si>
  <si>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</si>
  <si>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</si>
  <si>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</si>
  <si>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</si>
  <si>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</si>
  <si>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</si>
  <si>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</si>
  <si>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</si>
  <si>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</si>
  <si>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</si>
  <si>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</si>
  <si>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</si>
  <si>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</si>
  <si>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</si>
  <si>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</si>
  <si>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</si>
  <si>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</si>
  <si>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</si>
  <si>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</si>
  <si>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</si>
  <si>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</si>
  <si>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</si>
  <si>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</si>
  <si>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</si>
  <si>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</si>
  <si>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</si>
  <si>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</si>
  <si>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</si>
  <si>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</si>
  <si>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</si>
  <si>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</si>
  <si>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</si>
  <si>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</si>
  <si>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</si>
  <si>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</si>
  <si>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</si>
  <si>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</si>
  <si>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</si>
  <si>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</si>
  <si>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</si>
  <si>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</si>
  <si>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</si>
  <si>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</si>
  <si>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</si>
  <si>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</si>
  <si>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</si>
  <si>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</si>
  <si>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</si>
  <si>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</si>
  <si>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</si>
  <si>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</si>
  <si>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</si>
  <si>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</si>
  <si>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</si>
  <si>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</si>
  <si>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</si>
  <si>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</si>
  <si>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</si>
  <si>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</si>
  <si>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</si>
  <si>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</si>
  <si>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</si>
  <si>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</si>
  <si>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</si>
  <si>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</si>
  <si>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</si>
  <si>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</si>
  <si>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</si>
  <si>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</si>
  <si>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</si>
  <si>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</si>
  <si>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</si>
  <si>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</si>
  <si>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</si>
  <si>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</si>
  <si>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</si>
  <si>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</si>
  <si>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</si>
  <si>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</si>
  <si>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</si>
  <si>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</si>
  <si>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</si>
  <si>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</si>
  <si>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</si>
  <si>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</si>
  <si>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</si>
  <si>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</si>
  <si>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</si>
  <si>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</si>
  <si>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</si>
  <si>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</si>
  <si>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</si>
  <si>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</si>
  <si>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</si>
  <si>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</si>
  <si>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</si>
  <si>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</si>
  <si>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</si>
  <si>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</si>
  <si>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</si>
  <si>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</si>
  <si>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</si>
  <si>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</si>
  <si>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</si>
  <si>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</si>
  <si>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</si>
  <si>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</si>
  <si>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</si>
  <si>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</si>
  <si>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</si>
  <si>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</si>
  <si>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</si>
  <si>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</si>
  <si>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</si>
  <si>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</si>
  <si>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</si>
  <si>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</si>
  <si>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</si>
  <si>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</si>
  <si>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</si>
  <si>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</si>
  <si>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</si>
  <si>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</si>
  <si>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抵押</t>
  </si>
  <si>
    <t>房地产抵押价值</t>
  </si>
  <si>
    <t>北京市</t>
  </si>
  <si>
    <t>企业</t>
  </si>
  <si>
    <t>出让</t>
  </si>
  <si>
    <t>商业、地下车库</t>
    <phoneticPr fontId="6" type="noConversion"/>
  </si>
  <si>
    <r>
      <rPr>
        <sz val="12"/>
        <color theme="9" tint="-0.249977111117893"/>
        <rFont val="宋体"/>
        <family val="3"/>
        <charset val="134"/>
      </rPr>
      <t>商业</t>
    </r>
    <r>
      <rPr>
        <sz val="12"/>
        <color theme="9" tint="-0.249977111117893"/>
        <rFont val="Arial"/>
        <family val="2"/>
      </rPr>
      <t>26.6</t>
    </r>
    <r>
      <rPr>
        <sz val="12"/>
        <color theme="9" tint="-0.249977111117893"/>
        <rFont val="宋体"/>
        <family val="3"/>
        <charset val="134"/>
      </rPr>
      <t>年、车库</t>
    </r>
    <r>
      <rPr>
        <sz val="12"/>
        <color theme="9" tint="-0.249977111117893"/>
        <rFont val="Arial"/>
        <family val="2"/>
      </rPr>
      <t>36.6</t>
    </r>
    <r>
      <rPr>
        <sz val="12"/>
        <color theme="9" tint="-0.249977111117893"/>
        <rFont val="宋体"/>
        <family val="3"/>
        <charset val="134"/>
      </rPr>
      <t>年</t>
    </r>
    <phoneticPr fontId="6" type="noConversion"/>
  </si>
  <si>
    <t>《商品房预售合同》[合同编号：Y974000]</t>
    <phoneticPr fontId="6" type="noConversion"/>
  </si>
  <si>
    <t>建筑与土地面积依据相同</t>
  </si>
  <si>
    <t>否</t>
  </si>
  <si>
    <t>商业项目</t>
  </si>
  <si>
    <t>无</t>
  </si>
  <si>
    <t>现房</t>
  </si>
  <si>
    <t>通路</t>
  </si>
  <si>
    <t>通电</t>
  </si>
  <si>
    <t>通讯</t>
  </si>
  <si>
    <t>通上水</t>
  </si>
  <si>
    <t>通下水</t>
  </si>
  <si>
    <t>燃气</t>
  </si>
  <si>
    <t>1-101</t>
    <phoneticPr fontId="3" type="noConversion"/>
  </si>
  <si>
    <t>2-201</t>
    <phoneticPr fontId="3" type="noConversion"/>
  </si>
  <si>
    <t>3-301</t>
    <phoneticPr fontId="3" type="noConversion"/>
  </si>
  <si>
    <t>-2-030</t>
    <phoneticPr fontId="3" type="noConversion"/>
  </si>
  <si>
    <t>-2-031</t>
    <phoneticPr fontId="3" type="noConversion"/>
  </si>
  <si>
    <t>-2-032</t>
    <phoneticPr fontId="3" type="noConversion"/>
  </si>
  <si>
    <t>-2-033</t>
    <phoneticPr fontId="3" type="noConversion"/>
  </si>
  <si>
    <t>-2-035</t>
    <phoneticPr fontId="3" type="noConversion"/>
  </si>
  <si>
    <t>-2-036</t>
    <phoneticPr fontId="3" type="noConversion"/>
  </si>
  <si>
    <t>-2-037</t>
    <phoneticPr fontId="3" type="noConversion"/>
  </si>
  <si>
    <t>-2-038</t>
    <phoneticPr fontId="3" type="noConversion"/>
  </si>
  <si>
    <t>-2-039</t>
    <phoneticPr fontId="3" type="noConversion"/>
  </si>
  <si>
    <t>-2-050</t>
    <phoneticPr fontId="3" type="noConversion"/>
  </si>
  <si>
    <t>-2-051</t>
    <phoneticPr fontId="3" type="noConversion"/>
  </si>
  <si>
    <t>-2-052</t>
    <phoneticPr fontId="3" type="noConversion"/>
  </si>
  <si>
    <t>-2-053</t>
    <phoneticPr fontId="3" type="noConversion"/>
  </si>
  <si>
    <t>-2-055</t>
    <phoneticPr fontId="3" type="noConversion"/>
  </si>
  <si>
    <t>-2-056</t>
    <phoneticPr fontId="3" type="noConversion"/>
  </si>
  <si>
    <t>-2-057</t>
    <phoneticPr fontId="3" type="noConversion"/>
  </si>
  <si>
    <t>-2-058</t>
    <phoneticPr fontId="3" type="noConversion"/>
  </si>
  <si>
    <t>-2-059</t>
    <phoneticPr fontId="3" type="noConversion"/>
  </si>
  <si>
    <t>-2-060</t>
    <phoneticPr fontId="3" type="noConversion"/>
  </si>
  <si>
    <t>-2-061</t>
    <phoneticPr fontId="3" type="noConversion"/>
  </si>
  <si>
    <t>-1-101</t>
    <phoneticPr fontId="3" type="noConversion"/>
  </si>
  <si>
    <t>地上</t>
  </si>
  <si>
    <t>独栋</t>
  </si>
  <si>
    <t>地下</t>
  </si>
  <si>
    <t>车库</t>
  </si>
  <si>
    <t>仓储</t>
  </si>
  <si>
    <t>戊类库房</t>
  </si>
  <si>
    <t>是</t>
  </si>
  <si>
    <t>未出租</t>
  </si>
  <si>
    <t>成新度</t>
  </si>
  <si>
    <t>收益法-出租</t>
  </si>
  <si>
    <t>收益法-出租</t>
    <phoneticPr fontId="16" type="noConversion"/>
  </si>
  <si>
    <t>收益法-未出租</t>
    <phoneticPr fontId="16" type="noConversion"/>
  </si>
  <si>
    <t>钢混</t>
  </si>
  <si>
    <t>非生产用房</t>
  </si>
  <si>
    <t>押一</t>
  </si>
  <si>
    <t>全部租赁权</t>
  </si>
  <si>
    <t>全部租赁权</t>
    <phoneticPr fontId="7" type="noConversion"/>
  </si>
  <si>
    <t>仓储</t>
    <phoneticPr fontId="143" type="noConversion"/>
  </si>
  <si>
    <t>车位</t>
    <phoneticPr fontId="143" type="noConversion"/>
  </si>
  <si>
    <t>2018-1-0068-P01DYGJ1</t>
    <phoneticPr fontId="6" type="noConversion"/>
  </si>
  <si>
    <t>北京市朝阳区东风乡农工商公司</t>
    <phoneticPr fontId="6" type="noConversion"/>
  </si>
  <si>
    <r>
      <rPr>
        <sz val="12"/>
        <color indexed="8"/>
        <rFont val="宋体"/>
        <family val="3"/>
        <charset val="134"/>
      </rPr>
      <t>北京农商银行总行朝阳支行</t>
    </r>
    <r>
      <rPr>
        <sz val="12"/>
        <color indexed="8"/>
        <rFont val="Arial"/>
        <family val="2"/>
      </rPr>
      <t xml:space="preserve"> </t>
    </r>
    <phoneticPr fontId="6" type="noConversion"/>
  </si>
  <si>
    <t>北京市朝阳区东风乡绿隔地区第四宗地J-7地块7#商业楼-1层-101等6套房屋、J-8地块8#商业楼-2层001等49套房屋商业、库房、车位用房</t>
    <phoneticPr fontId="6" type="noConversion"/>
  </si>
  <si>
    <t>成本法</t>
  </si>
  <si>
    <t>项目局部</t>
  </si>
  <si>
    <r>
      <t>-1</t>
    </r>
    <r>
      <rPr>
        <sz val="10"/>
        <color indexed="8"/>
        <rFont val="宋体"/>
        <family val="3"/>
        <charset val="134"/>
      </rPr>
      <t>层</t>
    </r>
    <r>
      <rPr>
        <sz val="10"/>
        <color indexed="8"/>
        <rFont val="Arial"/>
        <family val="2"/>
      </rPr>
      <t>-101</t>
    </r>
    <phoneticPr fontId="3" type="noConversion"/>
  </si>
  <si>
    <r>
      <t>-1</t>
    </r>
    <r>
      <rPr>
        <sz val="10"/>
        <color indexed="8"/>
        <rFont val="宋体"/>
        <family val="3"/>
        <charset val="134"/>
      </rPr>
      <t>层</t>
    </r>
    <r>
      <rPr>
        <sz val="10"/>
        <color indexed="8"/>
        <rFont val="Arial"/>
        <family val="2"/>
      </rPr>
      <t>-102</t>
    </r>
    <phoneticPr fontId="3" type="noConversion"/>
  </si>
  <si>
    <r>
      <t>-1</t>
    </r>
    <r>
      <rPr>
        <sz val="10"/>
        <color indexed="8"/>
        <rFont val="宋体"/>
        <family val="3"/>
        <charset val="134"/>
      </rPr>
      <t>层</t>
    </r>
    <r>
      <rPr>
        <sz val="10"/>
        <color indexed="8"/>
        <rFont val="Arial"/>
        <family val="2"/>
      </rPr>
      <t>-103</t>
    </r>
    <phoneticPr fontId="3" type="noConversion"/>
  </si>
  <si>
    <r>
      <t>1</t>
    </r>
    <r>
      <rPr>
        <sz val="10"/>
        <color indexed="8"/>
        <rFont val="宋体"/>
        <family val="3"/>
        <charset val="134"/>
      </rPr>
      <t>层</t>
    </r>
    <r>
      <rPr>
        <sz val="10"/>
        <color indexed="8"/>
        <rFont val="Arial"/>
        <family val="2"/>
      </rPr>
      <t>101</t>
    </r>
    <phoneticPr fontId="3" type="noConversion"/>
  </si>
  <si>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</si>
  <si>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</si>
  <si>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r>
      <t>8</t>
    </r>
    <r>
      <rPr>
        <sz val="11"/>
        <color indexed="8"/>
        <rFont val="宋体"/>
        <family val="3"/>
        <charset val="134"/>
      </rPr>
      <t>号</t>
    </r>
    <phoneticPr fontId="3" type="noConversion"/>
  </si>
  <si>
    <r>
      <t>7</t>
    </r>
    <r>
      <rPr>
        <sz val="10"/>
        <color indexed="8"/>
        <rFont val="宋体"/>
        <family val="3"/>
        <charset val="134"/>
      </rPr>
      <t>号</t>
    </r>
    <phoneticPr fontId="3" type="noConversion"/>
  </si>
  <si>
    <r>
      <t>-2</t>
    </r>
    <r>
      <rPr>
        <sz val="10"/>
        <color indexed="8"/>
        <rFont val="宋体"/>
        <family val="3"/>
        <charset val="134"/>
      </rPr>
      <t>层</t>
    </r>
    <r>
      <rPr>
        <sz val="10"/>
        <color indexed="8"/>
        <rFont val="Arial"/>
        <family val="2"/>
      </rPr>
      <t>001</t>
    </r>
    <phoneticPr fontId="3" type="noConversion"/>
  </si>
  <si>
    <r>
      <t>-2</t>
    </r>
    <r>
      <rPr>
        <sz val="10"/>
        <color indexed="8"/>
        <rFont val="宋体"/>
        <family val="3"/>
        <charset val="134"/>
      </rPr>
      <t>层</t>
    </r>
    <r>
      <rPr>
        <sz val="10"/>
        <color indexed="8"/>
        <rFont val="Arial"/>
        <family val="2"/>
      </rPr>
      <t>002</t>
    </r>
    <phoneticPr fontId="3" type="noConversion"/>
  </si>
  <si>
    <r>
      <t>-2</t>
    </r>
    <r>
      <rPr>
        <sz val="10"/>
        <color indexed="8"/>
        <rFont val="宋体"/>
        <family val="3"/>
        <charset val="134"/>
      </rPr>
      <t>层</t>
    </r>
    <r>
      <rPr>
        <sz val="10"/>
        <color indexed="8"/>
        <rFont val="Arial"/>
        <family val="2"/>
      </rPr>
      <t>003</t>
    </r>
    <phoneticPr fontId="3" type="noConversion"/>
  </si>
  <si>
    <r>
      <t>-2</t>
    </r>
    <r>
      <rPr>
        <sz val="10"/>
        <color indexed="8"/>
        <rFont val="宋体"/>
        <family val="3"/>
        <charset val="134"/>
      </rPr>
      <t>层</t>
    </r>
    <r>
      <rPr>
        <sz val="10"/>
        <color indexed="8"/>
        <rFont val="Arial"/>
        <family val="2"/>
      </rPr>
      <t>005</t>
    </r>
    <phoneticPr fontId="3" type="noConversion"/>
  </si>
  <si>
    <r>
      <t>-2</t>
    </r>
    <r>
      <rPr>
        <sz val="10"/>
        <color indexed="8"/>
        <rFont val="宋体"/>
        <family val="3"/>
        <charset val="134"/>
      </rPr>
      <t>层</t>
    </r>
    <r>
      <rPr>
        <sz val="10"/>
        <color indexed="8"/>
        <rFont val="Arial"/>
        <family val="2"/>
      </rPr>
      <t>006</t>
    </r>
    <phoneticPr fontId="3" type="noConversion"/>
  </si>
  <si>
    <r>
      <t>-2</t>
    </r>
    <r>
      <rPr>
        <sz val="10"/>
        <color indexed="8"/>
        <rFont val="宋体"/>
        <family val="3"/>
        <charset val="134"/>
      </rPr>
      <t>层</t>
    </r>
    <r>
      <rPr>
        <sz val="10"/>
        <color indexed="8"/>
        <rFont val="Arial"/>
        <family val="2"/>
      </rPr>
      <t>007</t>
    </r>
    <phoneticPr fontId="3" type="noConversion"/>
  </si>
  <si>
    <r>
      <t>-2</t>
    </r>
    <r>
      <rPr>
        <sz val="10"/>
        <color indexed="8"/>
        <rFont val="宋体"/>
        <family val="3"/>
        <charset val="134"/>
      </rPr>
      <t>层</t>
    </r>
    <r>
      <rPr>
        <sz val="10"/>
        <color indexed="8"/>
        <rFont val="Arial"/>
        <family val="2"/>
      </rPr>
      <t>008</t>
    </r>
    <phoneticPr fontId="3" type="noConversion"/>
  </si>
  <si>
    <r>
      <t>-2</t>
    </r>
    <r>
      <rPr>
        <sz val="10"/>
        <color indexed="8"/>
        <rFont val="宋体"/>
        <family val="3"/>
        <charset val="134"/>
      </rPr>
      <t>层</t>
    </r>
    <r>
      <rPr>
        <sz val="10"/>
        <color indexed="8"/>
        <rFont val="Arial"/>
        <family val="2"/>
      </rPr>
      <t>009</t>
    </r>
    <phoneticPr fontId="3" type="noConversion"/>
  </si>
  <si>
    <r>
      <t>-2</t>
    </r>
    <r>
      <rPr>
        <sz val="10"/>
        <color indexed="8"/>
        <rFont val="宋体"/>
        <family val="3"/>
        <charset val="134"/>
      </rPr>
      <t>层</t>
    </r>
    <r>
      <rPr>
        <sz val="10"/>
        <color indexed="8"/>
        <rFont val="Arial"/>
        <family val="2"/>
      </rPr>
      <t>010</t>
    </r>
    <phoneticPr fontId="3" type="noConversion"/>
  </si>
  <si>
    <r>
      <t>-2</t>
    </r>
    <r>
      <rPr>
        <sz val="10"/>
        <color indexed="8"/>
        <rFont val="宋体"/>
        <family val="3"/>
        <charset val="134"/>
      </rPr>
      <t>层</t>
    </r>
    <r>
      <rPr>
        <sz val="10"/>
        <color indexed="8"/>
        <rFont val="Arial"/>
        <family val="2"/>
      </rPr>
      <t>011</t>
    </r>
    <phoneticPr fontId="3" type="noConversion"/>
  </si>
  <si>
    <r>
      <t>-2</t>
    </r>
    <r>
      <rPr>
        <sz val="10"/>
        <color indexed="8"/>
        <rFont val="宋体"/>
        <family val="3"/>
        <charset val="134"/>
      </rPr>
      <t>层</t>
    </r>
    <r>
      <rPr>
        <sz val="10"/>
        <color indexed="8"/>
        <rFont val="Arial"/>
        <family val="2"/>
      </rPr>
      <t>012</t>
    </r>
    <phoneticPr fontId="3" type="noConversion"/>
  </si>
  <si>
    <r>
      <t>-2</t>
    </r>
    <r>
      <rPr>
        <sz val="10"/>
        <color indexed="8"/>
        <rFont val="宋体"/>
        <family val="3"/>
        <charset val="134"/>
      </rPr>
      <t>层</t>
    </r>
    <r>
      <rPr>
        <sz val="10"/>
        <color indexed="8"/>
        <rFont val="Arial"/>
        <family val="2"/>
      </rPr>
      <t>015</t>
    </r>
    <phoneticPr fontId="3" type="noConversion"/>
  </si>
  <si>
    <r>
      <t>-2</t>
    </r>
    <r>
      <rPr>
        <sz val="10"/>
        <color indexed="8"/>
        <rFont val="宋体"/>
        <family val="3"/>
        <charset val="134"/>
      </rPr>
      <t>层</t>
    </r>
    <r>
      <rPr>
        <sz val="10"/>
        <color indexed="8"/>
        <rFont val="Arial"/>
        <family val="2"/>
      </rPr>
      <t>016</t>
    </r>
    <phoneticPr fontId="3" type="noConversion"/>
  </si>
  <si>
    <r>
      <t>-2</t>
    </r>
    <r>
      <rPr>
        <sz val="10"/>
        <color indexed="8"/>
        <rFont val="宋体"/>
        <family val="3"/>
        <charset val="134"/>
      </rPr>
      <t>层</t>
    </r>
    <r>
      <rPr>
        <sz val="10"/>
        <color indexed="8"/>
        <rFont val="Arial"/>
        <family val="2"/>
      </rPr>
      <t>017</t>
    </r>
    <phoneticPr fontId="3" type="noConversion"/>
  </si>
  <si>
    <r>
      <t>-2</t>
    </r>
    <r>
      <rPr>
        <sz val="10"/>
        <color indexed="8"/>
        <rFont val="宋体"/>
        <family val="3"/>
        <charset val="134"/>
      </rPr>
      <t>层</t>
    </r>
    <r>
      <rPr>
        <sz val="10"/>
        <color indexed="8"/>
        <rFont val="Arial"/>
        <family val="2"/>
      </rPr>
      <t>018</t>
    </r>
    <phoneticPr fontId="3" type="noConversion"/>
  </si>
  <si>
    <r>
      <t>-2</t>
    </r>
    <r>
      <rPr>
        <sz val="10"/>
        <color indexed="8"/>
        <rFont val="宋体"/>
        <family val="3"/>
        <charset val="134"/>
      </rPr>
      <t>层</t>
    </r>
    <r>
      <rPr>
        <sz val="10"/>
        <color indexed="8"/>
        <rFont val="Arial"/>
        <family val="2"/>
      </rPr>
      <t>019</t>
    </r>
    <phoneticPr fontId="3" type="noConversion"/>
  </si>
  <si>
    <r>
      <t>-2</t>
    </r>
    <r>
      <rPr>
        <sz val="10"/>
        <color indexed="8"/>
        <rFont val="宋体"/>
        <family val="3"/>
        <charset val="134"/>
      </rPr>
      <t>层</t>
    </r>
    <r>
      <rPr>
        <sz val="10"/>
        <color indexed="8"/>
        <rFont val="Arial"/>
        <family val="2"/>
      </rPr>
      <t>020</t>
    </r>
    <phoneticPr fontId="3" type="noConversion"/>
  </si>
  <si>
    <r>
      <t>-2</t>
    </r>
    <r>
      <rPr>
        <sz val="10"/>
        <color indexed="8"/>
        <rFont val="宋体"/>
        <family val="3"/>
        <charset val="134"/>
      </rPr>
      <t>层</t>
    </r>
    <r>
      <rPr>
        <sz val="10"/>
        <color indexed="8"/>
        <rFont val="Arial"/>
        <family val="2"/>
      </rPr>
      <t>021</t>
    </r>
    <phoneticPr fontId="3" type="noConversion"/>
  </si>
  <si>
    <r>
      <t>-2</t>
    </r>
    <r>
      <rPr>
        <sz val="10"/>
        <color indexed="8"/>
        <rFont val="宋体"/>
        <family val="3"/>
        <charset val="134"/>
      </rPr>
      <t>层</t>
    </r>
    <r>
      <rPr>
        <sz val="10"/>
        <color indexed="8"/>
        <rFont val="Arial"/>
        <family val="2"/>
      </rPr>
      <t>022</t>
    </r>
    <phoneticPr fontId="3" type="noConversion"/>
  </si>
  <si>
    <r>
      <t>-2</t>
    </r>
    <r>
      <rPr>
        <sz val="10"/>
        <color indexed="8"/>
        <rFont val="宋体"/>
        <family val="3"/>
        <charset val="134"/>
      </rPr>
      <t>层</t>
    </r>
    <r>
      <rPr>
        <sz val="10"/>
        <color indexed="8"/>
        <rFont val="Arial"/>
        <family val="2"/>
      </rPr>
      <t>023</t>
    </r>
    <phoneticPr fontId="3" type="noConversion"/>
  </si>
  <si>
    <r>
      <t>-2</t>
    </r>
    <r>
      <rPr>
        <sz val="10"/>
        <color indexed="8"/>
        <rFont val="宋体"/>
        <family val="3"/>
        <charset val="134"/>
      </rPr>
      <t>层</t>
    </r>
    <r>
      <rPr>
        <sz val="10"/>
        <color indexed="8"/>
        <rFont val="Arial"/>
        <family val="2"/>
      </rPr>
      <t>025</t>
    </r>
    <phoneticPr fontId="3" type="noConversion"/>
  </si>
  <si>
    <r>
      <t>-2</t>
    </r>
    <r>
      <rPr>
        <sz val="10"/>
        <color indexed="8"/>
        <rFont val="宋体"/>
        <family val="3"/>
        <charset val="134"/>
      </rPr>
      <t>层</t>
    </r>
    <r>
      <rPr>
        <sz val="10"/>
        <color indexed="8"/>
        <rFont val="Arial"/>
        <family val="2"/>
      </rPr>
      <t>026</t>
    </r>
    <phoneticPr fontId="3" type="noConversion"/>
  </si>
  <si>
    <r>
      <t>-2</t>
    </r>
    <r>
      <rPr>
        <sz val="10"/>
        <color indexed="8"/>
        <rFont val="宋体"/>
        <family val="3"/>
        <charset val="134"/>
      </rPr>
      <t>层</t>
    </r>
    <r>
      <rPr>
        <sz val="10"/>
        <color indexed="8"/>
        <rFont val="Arial"/>
        <family val="2"/>
      </rPr>
      <t>027</t>
    </r>
    <phoneticPr fontId="3" type="noConversion"/>
  </si>
  <si>
    <r>
      <t>-2</t>
    </r>
    <r>
      <rPr>
        <sz val="10"/>
        <color indexed="8"/>
        <rFont val="宋体"/>
        <family val="3"/>
        <charset val="134"/>
      </rPr>
      <t>层</t>
    </r>
    <r>
      <rPr>
        <sz val="10"/>
        <color indexed="8"/>
        <rFont val="Arial"/>
        <family val="2"/>
      </rPr>
      <t>028</t>
    </r>
    <phoneticPr fontId="3" type="noConversion"/>
  </si>
  <si>
    <r>
      <t>-2</t>
    </r>
    <r>
      <rPr>
        <sz val="10"/>
        <color indexed="8"/>
        <rFont val="宋体"/>
        <family val="3"/>
        <charset val="134"/>
      </rPr>
      <t>层</t>
    </r>
    <r>
      <rPr>
        <sz val="10"/>
        <color indexed="8"/>
        <rFont val="Arial"/>
        <family val="2"/>
      </rPr>
      <t>029</t>
    </r>
    <phoneticPr fontId="3" type="noConversion"/>
  </si>
  <si>
    <t>综合利润率</t>
    <phoneticPr fontId="3" type="noConversion"/>
  </si>
  <si>
    <t>商业</t>
    <phoneticPr fontId="3" type="noConversion"/>
  </si>
  <si>
    <t>库房</t>
    <phoneticPr fontId="3" type="noConversion"/>
  </si>
  <si>
    <t>车库</t>
    <phoneticPr fontId="3" type="noConversion"/>
  </si>
  <si>
    <t>预评</t>
    <phoneticPr fontId="8" type="noConversion"/>
  </si>
  <si>
    <t>1层</t>
    <phoneticPr fontId="143" type="noConversion"/>
  </si>
  <si>
    <t>2层</t>
    <phoneticPr fontId="143" type="noConversion"/>
  </si>
  <si>
    <t>3层</t>
    <phoneticPr fontId="143" type="noConversion"/>
  </si>
  <si>
    <t>商业系数</t>
    <phoneticPr fontId="143" type="noConversion"/>
  </si>
  <si>
    <t>增长率</t>
    <phoneticPr fontId="143" type="noConversion"/>
  </si>
  <si>
    <t>年租金</t>
    <phoneticPr fontId="143" type="noConversion"/>
  </si>
  <si>
    <t>序号</t>
    <phoneticPr fontId="143" type="noConversion"/>
  </si>
  <si>
    <t>起始</t>
    <phoneticPr fontId="143" type="noConversion"/>
  </si>
  <si>
    <t>终止</t>
    <phoneticPr fontId="143" type="noConversion"/>
  </si>
  <si>
    <t>推算租约期内增长率</t>
    <phoneticPr fontId="143" type="noConversion"/>
  </si>
  <si>
    <t>建筑面积</t>
    <phoneticPr fontId="143" type="noConversion"/>
  </si>
  <si>
    <t>年总收益</t>
    <phoneticPr fontId="143" type="noConversion"/>
  </si>
  <si>
    <t>空置率</t>
    <phoneticPr fontId="143" type="noConversion"/>
  </si>
  <si>
    <t>当前综合租金</t>
    <phoneticPr fontId="143" type="noConversion"/>
  </si>
  <si>
    <t>剩余租期</t>
    <phoneticPr fontId="143" type="noConversion"/>
  </si>
  <si>
    <t>租期结束后租金</t>
    <phoneticPr fontId="143" type="noConversion"/>
  </si>
  <si>
    <t>因合同租金较低，与实际租金差异较大，取费表租金未考虑逐年递增情况，租约结束后取现实租金水平</t>
    <phoneticPr fontId="143" type="noConversion"/>
  </si>
  <si>
    <t>租约期内租金水平</t>
    <phoneticPr fontId="14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</si>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</sst>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
      <patternFill patternType="solid">
        <fgColor theme="6"/>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64" fillId="17"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64" fillId="17" borderId="5" xfId="0" applyFont="1" applyFill="1" applyBorder="1" applyAlignment="1" applyProtection="1">
      <alignment vertical="center"/>
      <protection locked="0"/>
    </xf>
    <xf numFmtId="0" fontId="64" fillId="17" borderId="5" xfId="0" applyFont="1" applyFill="1" applyBorder="1" applyAlignment="1" applyProtection="1">
      <alignment horizontal="left" vertical="center" wrapText="1"/>
      <protection locked="0"/>
    </xf>
    <xf numFmtId="0" fontId="64" fillId="17" borderId="85" xfId="0" applyFont="1" applyFill="1" applyBorder="1" applyAlignment="1" applyProtection="1">
      <alignment horizontal="left" vertical="center"/>
      <protection locked="0"/>
    </xf>
    <xf numFmtId="0" fontId="64" fillId="17" borderId="13" xfId="0" applyFont="1" applyFill="1" applyBorder="1" applyAlignment="1" applyProtection="1">
      <alignment horizontal="left" vertical="center"/>
      <protection locked="0"/>
    </xf>
    <xf numFmtId="49" fontId="50" fillId="0" borderId="1" xfId="0" applyNumberFormat="1" applyFont="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182" fontId="56" fillId="7" borderId="0" xfId="0" applyNumberFormat="1" applyFont="1" applyFill="1" applyAlignment="1" applyProtection="1">
      <alignment vertical="center"/>
      <protection locked="0"/>
    </xf>
    <xf numFmtId="10" fontId="56" fillId="7" borderId="1" xfId="1" applyNumberFormat="1" applyFont="1" applyFill="1" applyBorder="1" applyAlignment="1" applyProtection="1">
      <alignment horizontal="center" vertical="center"/>
      <protection locked="0"/>
    </xf>
    <xf numFmtId="0" fontId="106" fillId="5" borderId="3" xfId="0" applyFont="1" applyFill="1" applyBorder="1" applyAlignment="1" applyProtection="1">
      <alignment vertical="center"/>
      <protection locked="0"/>
    </xf>
    <xf numFmtId="179" fontId="57" fillId="6" borderId="0" xfId="0" applyNumberFormat="1" applyFont="1" applyFill="1" applyBorder="1" applyAlignment="1" applyProtection="1">
      <alignment horizontal="left" vertical="center"/>
      <protection locked="0"/>
    </xf>
    <xf numFmtId="49" fontId="224" fillId="0" borderId="4" xfId="0" applyNumberFormat="1" applyFont="1" applyFill="1" applyBorder="1" applyAlignment="1" applyProtection="1">
      <alignment horizontal="left" vertical="center"/>
      <protection locked="0"/>
    </xf>
    <xf numFmtId="0" fontId="47" fillId="5" borderId="2" xfId="0" applyFont="1" applyFill="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9" fontId="47" fillId="0" borderId="2" xfId="0" applyNumberFormat="1" applyFont="1" applyBorder="1" applyAlignment="1" applyProtection="1">
      <alignment horizontal="center" vertical="center" wrapText="1"/>
      <protection locked="0"/>
    </xf>
    <xf numFmtId="10" fontId="47" fillId="0" borderId="2" xfId="0" applyNumberFormat="1" applyFont="1" applyBorder="1" applyAlignment="1" applyProtection="1">
      <alignment horizontal="center" vertical="center" wrapText="1"/>
      <protection locked="0"/>
    </xf>
    <xf numFmtId="0" fontId="80" fillId="18" borderId="0" xfId="0" applyFont="1" applyFill="1" applyAlignment="1" applyProtection="1">
      <alignment horizontal="center" vertical="center"/>
      <protection locked="0"/>
    </xf>
    <xf numFmtId="0" fontId="50" fillId="18" borderId="0" xfId="0" applyFont="1" applyFill="1" applyAlignment="1" applyProtection="1">
      <alignment horizontal="center" vertical="center"/>
      <protection locked="0"/>
    </xf>
    <xf numFmtId="181" fontId="105" fillId="18" borderId="1" xfId="0" applyNumberFormat="1" applyFont="1" applyFill="1" applyBorder="1" applyAlignment="1" applyProtection="1">
      <alignment horizontal="center" vertical="center"/>
      <protection locked="0"/>
    </xf>
    <xf numFmtId="181" fontId="56" fillId="18" borderId="1" xfId="0" applyNumberFormat="1" applyFont="1" applyFill="1" applyBorder="1" applyAlignment="1" applyProtection="1">
      <alignment horizontal="center" vertical="center"/>
      <protection locked="0"/>
    </xf>
    <xf numFmtId="0" fontId="50" fillId="19" borderId="0" xfId="0" applyFont="1" applyFill="1" applyAlignment="1" applyProtection="1">
      <alignment vertical="center"/>
      <protection locked="0"/>
    </xf>
    <xf numFmtId="0" fontId="50" fillId="19" borderId="0" xfId="0" applyFont="1" applyFill="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14" fontId="0" fillId="0" borderId="0" xfId="0" applyNumberFormat="1">
      <alignment vertical="center"/>
    </xf>
    <xf numFmtId="9" fontId="0" fillId="0" borderId="0" xfId="0" applyNumberFormat="1">
      <alignment vertical="center"/>
    </xf>
    <xf numFmtId="10" fontId="0" fillId="0" borderId="0" xfId="0" applyNumberFormat="1">
      <alignment vertical="center"/>
    </xf>
    <xf numFmtId="0" fontId="101" fillId="0" borderId="0" xfId="0" applyFont="1">
      <alignment vertical="center"/>
    </xf>
    <xf numFmtId="0" fontId="99" fillId="20" borderId="1" xfId="0" applyFont="1" applyFill="1" applyBorder="1">
      <alignment vertical="center"/>
    </xf>
    <xf numFmtId="0" fontId="0" fillId="20" borderId="1" xfId="0" applyFill="1" applyBorder="1">
      <alignment vertical="center"/>
    </xf>
    <xf numFmtId="0" fontId="101" fillId="20" borderId="1" xfId="0" applyFont="1" applyFill="1" applyBorder="1">
      <alignment vertical="center"/>
    </xf>
    <xf numFmtId="0" fontId="254" fillId="20" borderId="1" xfId="0" applyFont="1" applyFill="1" applyBorder="1">
      <alignment vertical="center"/>
    </xf>
    <xf numFmtId="179" fontId="47" fillId="19" borderId="0" xfId="0" applyNumberFormat="1" applyFont="1" applyFill="1" applyAlignment="1" applyProtection="1">
      <alignment vertical="center"/>
      <protection locked="0"/>
    </xf>
    <xf numFmtId="10" fontId="55" fillId="19" borderId="24"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85725</xdr:rowOff>
    </xdr:from>
    <xdr:to>
      <xdr:col>13</xdr:col>
      <xdr:colOff>65534</xdr:colOff>
      <xdr:row>57</xdr:row>
      <xdr:rowOff>66206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86475"/>
          <a:ext cx="9133334" cy="3752381"/>
        </a:xfrm>
        <a:prstGeom prst="rect">
          <a:avLst/>
        </a:prstGeom>
      </xdr:spPr>
    </xdr:pic>
    <xdr:clientData/>
  </xdr:twoCellAnchor>
  <xdr:twoCellAnchor editAs="oneCell">
    <xdr:from>
      <xdr:col>0</xdr:col>
      <xdr:colOff>0</xdr:colOff>
      <xdr:row>58</xdr:row>
      <xdr:rowOff>47625</xdr:rowOff>
    </xdr:from>
    <xdr:to>
      <xdr:col>12</xdr:col>
      <xdr:colOff>570382</xdr:colOff>
      <xdr:row>79</xdr:row>
      <xdr:rowOff>66223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991725"/>
          <a:ext cx="8952382" cy="36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北京市北京市朝阳区东风乡绿隔地区第四宗地J-7地块7#商业楼-1层-101等6套房屋、J-8地块8#商业楼-2层001等49套房屋商业、库房、车位用房房地产抵押价值预评估</v>
      </c>
    </row>
    <row r="3" spans="1:2" s="1595" customFormat="1">
      <c r="A3" s="1593" t="s">
        <v>1221</v>
      </c>
      <c r="B3" s="1594" t="str">
        <f>'预评函-封皮'!B40</f>
        <v>北京市朝阳区东风乡农工商公司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康正预评字2018-1-0068-P01DYGJ1号</v>
      </c>
    </row>
    <row r="6" spans="1:2" s="1592" customFormat="1" ht="15" thickTop="1">
      <c r="A6" s="1590" t="s">
        <v>1224</v>
      </c>
      <c r="B6" s="1591" t="str">
        <f>'预评函-1'!A4</f>
        <v>受贵公司委托，我公司对北京市北京市朝阳区东风乡绿隔地区第四宗地J-7地块7#商业楼-1层-101等6套房屋、J-8地块8#商业楼-2层001等49套房屋商业、库房、车位用房房地产抵押价值进行了预评估。</v>
      </c>
    </row>
    <row r="7" spans="1:2" s="1595" customFormat="1">
      <c r="A7" s="1593" t="s">
        <v>1264</v>
      </c>
      <c r="B7" s="1594" t="str">
        <f>'预评函-1'!A7</f>
        <v>估价对象为北京市北京市朝阳区东风乡绿隔地区第四宗地J-7地块7#商业楼-1层-101等6套房屋、J-8地块8#商业楼-2层001等49套房屋商业、库房、车位用房房地产，为所有。根据《商品房预售合同》[合同编号：Y974000]，估价对象（分摊）出让国有建设用地使用权面积为0平方米，建筑面积为30726.57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北京市朝阳区东风乡绿隔地区第四宗地J-7地块7#商业楼-1层-101等6套房屋、J-8地块8#商业楼-2层001等49套房屋商业、库房、车位用房房地产,属开发建设的商业项目，该项目尚在开发建设中。根据《商品房预售合同》[合同编号：Y974000]，估价对象（分摊）出让国有建设用地使用权面积为0平方米，规划建筑面积为30726.57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为估价委托人在向北京农商银行总行朝阳支行 办理贷款手续过程中，确定房地产抵押贷款额度提供参考依据而评估房地产抵押价值。</v>
      </c>
    </row>
    <row r="12" spans="1:2" s="1595" customFormat="1">
      <c r="A12" s="1593" t="s">
        <v>1226</v>
      </c>
      <c r="B12" s="1594" t="str">
        <f>'预评函-1'!A15</f>
        <v>2018年1月30日（评估专业人员实地查勘之日）</v>
      </c>
    </row>
    <row r="13" spans="1:2" s="1595" customFormat="1">
      <c r="A13" s="1593" t="s">
        <v>1227</v>
      </c>
      <c r="B13" s="1594" t="str">
        <f>'预评函-1'!A18</f>
        <v>本次估价的“房地产价值”是指在正常市场情况下，在价值时点2018年1月30日，估价对象规划用途为商业、地下车库，土地取得方式为出让，出让国有建设用地使用权剩余土地使用年限为商业26.6年、车库36.6年，假定未设立法定优先受偿款下的房地产市场价值。</v>
      </c>
    </row>
    <row r="14" spans="1:2" s="1595" customFormat="1">
      <c r="A14" s="1593" t="s">
        <v>1228</v>
      </c>
      <c r="B14" s="1594" t="str">
        <f>'预评函-1'!A19</f>
        <v>其中，“出让国有建设用地使用权价值”是指估价对象用途为商业、地下车库，实际开发程度为宗地红线外“七通”（即通路、通电、通讯、通上水、通下水、燃气、）、红线内场地平整条件下，剩余土地使用年限为商业26.6年、车库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28699</v>
      </c>
    </row>
    <row r="21" spans="1:2" s="1595" customFormat="1">
      <c r="A21" s="1593" t="s">
        <v>1235</v>
      </c>
      <c r="B21" s="1594">
        <f ca="1">'预评函-2'!D7</f>
        <v>9340</v>
      </c>
    </row>
    <row r="22" spans="1:2" s="1595" customFormat="1">
      <c r="A22" s="1593" t="s">
        <v>1236</v>
      </c>
      <c r="B22" s="1594" t="str">
        <f ca="1">'预评函-2'!D6</f>
        <v>贰亿捌仟陆佰玖拾玖万元整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28699</v>
      </c>
    </row>
    <row r="31" spans="1:2" s="1595" customFormat="1">
      <c r="A31" s="1593" t="s">
        <v>1274</v>
      </c>
      <c r="B31" s="1594">
        <f ca="1">'预评函-2'!D15</f>
        <v>9340</v>
      </c>
    </row>
    <row r="32" spans="1:2" s="1595" customFormat="1">
      <c r="A32" s="1593" t="s">
        <v>1241</v>
      </c>
      <c r="B32" s="1594" t="str">
        <f ca="1">'预评函-2'!D14</f>
        <v>贰亿捌仟陆佰玖拾玖万元整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北京市北京市朝阳区东风乡绿隔地区第四宗地J-7地块7#商业楼-1层-101等6套房屋、J-8地块8#商业楼-2层001等49套房屋商业、库房、车位用房房地产</v>
      </c>
    </row>
    <row r="42" spans="1:2" s="1595" customFormat="1">
      <c r="A42" s="1593" t="s">
        <v>1288</v>
      </c>
      <c r="B42" s="1594" t="str">
        <f>'预评函-3'!B2</f>
        <v>建筑面积</v>
      </c>
    </row>
    <row r="43" spans="1:2" s="1595" customFormat="1">
      <c r="A43" s="1593" t="s">
        <v>1289</v>
      </c>
      <c r="B43" s="1594">
        <f>'预评函-3'!B4</f>
        <v>30726.569999999992</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8" sqref="X38"/>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3099</v>
      </c>
      <c r="C17" s="2017"/>
    </row>
    <row r="18" spans="1:3">
      <c r="A18" s="2016" t="s">
        <v>1768</v>
      </c>
      <c r="B18" s="2016" t="s">
        <v>3100</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为估价委托人在向北京农商银行总行朝阳支行 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朝阳区东风乡农工商公司拟使用北京市北京市朝阳区东风乡绿隔地区第四宗地J-7地块7#商业楼-1层-101等6套房屋、J-8地块8#商业楼-2层001等49套房屋商业、库房、车位用房房地产作为抵押担保物，向北京农商银行总行朝阳支行 办理贷款手续。北京农商银行总行朝阳支行 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30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28"/>
      <c r="B54" s="2024" t="s">
        <v>864</v>
      </c>
      <c r="C54" s="2021" t="s">
        <v>1281</v>
      </c>
    </row>
    <row r="55" spans="1:4">
      <c r="A55" s="3028"/>
      <c r="B55" s="2024" t="s">
        <v>865</v>
      </c>
      <c r="C55" s="2021" t="s">
        <v>1282</v>
      </c>
    </row>
    <row r="56" spans="1:4">
      <c r="A56" s="3028"/>
      <c r="B56" s="2024" t="s">
        <v>866</v>
      </c>
      <c r="C56" s="2021" t="s">
        <v>1286</v>
      </c>
    </row>
    <row r="57" spans="1:4">
      <c r="A57" s="302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G15" sqref="G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1777</v>
      </c>
      <c r="B1" s="3037" t="str">
        <f>IF(B10="北京市","北京市",C10)&amp;F10&amp;IF(结果表!G1="在建","出让国有建设用地使用权及在建建筑物",IF(结果表!G1="土地","出让国有建设用地使用权",))&amp;B9&amp;"预评估"</f>
        <v>北京市北京市朝阳区东风乡绿隔地区第四宗地J-7地块7#商业楼-1层-101等6套房屋、J-8地块8#商业楼-2层001等49套房屋商业、库房、车位用房房地产抵押价值预评估</v>
      </c>
      <c r="C1" s="3038"/>
      <c r="D1" s="3038"/>
      <c r="E1" s="3038"/>
      <c r="F1" s="3038"/>
      <c r="G1" s="3038"/>
      <c r="H1" s="3038"/>
      <c r="I1" s="303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北京市北京市朝阳区东风乡绿隔地区第四宗地J-7地块7#商业楼-1层-101等6套房屋、J-8地块8#商业楼-2层001等49套房屋商业、库房、车位用房房地产抵押价值</v>
      </c>
    </row>
    <row r="2" spans="1:19" ht="18" customHeight="1">
      <c r="A2" s="2028" t="s">
        <v>1778</v>
      </c>
      <c r="B2" s="2949" t="s">
        <v>3108</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北京市北京市朝阳区东风乡绿隔地区第四宗地J-7地块7#商业楼-1层-101等6套房屋、J-8地块8#商业楼-2层001等49套房屋商业、库房、车位用房房地产</v>
      </c>
    </row>
    <row r="3" spans="1:19" ht="18" customHeight="1">
      <c r="A3" s="2037" t="s">
        <v>1779</v>
      </c>
      <c r="B3" s="2038">
        <v>43130</v>
      </c>
      <c r="C3" s="2039" t="s">
        <v>1780</v>
      </c>
      <c r="D3" s="2038">
        <f>B3</f>
        <v>43130</v>
      </c>
      <c r="E3" s="2028"/>
      <c r="F3" s="2028"/>
      <c r="G3" s="2028"/>
      <c r="H3" s="2028"/>
      <c r="I3" s="2028"/>
      <c r="J3" s="2028"/>
      <c r="K3" s="2029"/>
      <c r="L3" s="2030"/>
      <c r="M3" s="2030"/>
      <c r="N3" s="2031"/>
      <c r="O3" s="2032"/>
      <c r="P3" s="2031"/>
      <c r="Q3" s="2031"/>
      <c r="R3" s="2031"/>
      <c r="S3" s="2033"/>
    </row>
    <row r="4" spans="1:19" ht="18" customHeight="1" thickBot="1">
      <c r="A4" s="2040" t="s">
        <v>1781</v>
      </c>
      <c r="B4" s="2041" t="s">
        <v>3044</v>
      </c>
      <c r="C4" s="1040">
        <f ca="1">SUMIF(注册房地产估价师,B4,估价师及机构信息!B3:B24)</f>
        <v>1120000080</v>
      </c>
      <c r="D4" s="2041" t="s">
        <v>3045</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1782</v>
      </c>
      <c r="B5" s="2950" t="s">
        <v>3109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51" t="s">
        <v>3110</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053" t="str">
        <f>B5</f>
        <v>北京市朝阳区东风乡农工商公司</v>
      </c>
      <c r="C7" s="2050"/>
      <c r="D7" s="2051"/>
      <c r="E7" s="2036"/>
      <c r="F7" s="2044"/>
      <c r="G7" s="2044"/>
      <c r="H7" s="2044"/>
      <c r="I7" s="2044"/>
      <c r="J7" s="2044"/>
      <c r="K7" s="2054"/>
      <c r="L7" s="2030"/>
      <c r="M7" s="2030"/>
      <c r="N7" s="2031"/>
      <c r="O7" s="2032"/>
      <c r="P7" s="2031"/>
      <c r="Q7" s="2031"/>
      <c r="R7" s="2031"/>
    </row>
    <row r="8" spans="1:19" ht="18" customHeight="1">
      <c r="A8" s="2049" t="s">
        <v>1785</v>
      </c>
      <c r="B8" s="2952" t="s">
        <v>3046</v>
      </c>
      <c r="C8" s="2055"/>
      <c r="D8" s="3040" t="s">
        <v>1786</v>
      </c>
      <c r="E8" s="2954" t="s">
        <v>3047</v>
      </c>
      <c r="F8" s="2056"/>
      <c r="G8" s="2028"/>
      <c r="H8" s="2028"/>
      <c r="I8" s="2028"/>
      <c r="J8" s="2044"/>
      <c r="K8" s="2045"/>
      <c r="L8" s="2030"/>
      <c r="M8" s="2030"/>
      <c r="N8" s="2031"/>
      <c r="O8" s="2032"/>
      <c r="P8" s="2031"/>
      <c r="Q8" s="2031"/>
      <c r="R8" s="2031"/>
    </row>
    <row r="9" spans="1:19" ht="18" customHeight="1" thickBot="1">
      <c r="A9" s="2042" t="s">
        <v>1787</v>
      </c>
      <c r="B9" s="2953" t="s">
        <v>3047</v>
      </c>
      <c r="C9" s="2058"/>
      <c r="D9" s="3041"/>
      <c r="E9" s="2057"/>
      <c r="F9" s="2059"/>
      <c r="G9" s="2060"/>
      <c r="H9" s="2060"/>
      <c r="I9" s="2060"/>
      <c r="J9" s="2044"/>
      <c r="K9" s="2054"/>
      <c r="L9" s="2030"/>
      <c r="M9" s="2030"/>
      <c r="N9" s="2031"/>
      <c r="O9" s="2032"/>
      <c r="P9" s="2031"/>
      <c r="Q9" s="2031"/>
      <c r="R9" s="2031"/>
    </row>
    <row r="10" spans="1:19" ht="18" customHeight="1" thickTop="1">
      <c r="A10" s="2061" t="s">
        <v>1788</v>
      </c>
      <c r="B10" s="2062" t="s">
        <v>3048</v>
      </c>
      <c r="C10" s="2063"/>
      <c r="D10" s="2048"/>
      <c r="E10" s="2064" t="s">
        <v>1789</v>
      </c>
      <c r="F10" s="2963" t="s">
        <v>3111</v>
      </c>
      <c r="G10" s="2065"/>
      <c r="H10" s="2066"/>
      <c r="I10" s="2048"/>
      <c r="J10" s="2044"/>
      <c r="K10" s="2054"/>
      <c r="L10" s="2030"/>
      <c r="M10" s="2030"/>
      <c r="N10" s="2031"/>
      <c r="O10" s="2032"/>
      <c r="P10" s="2031"/>
      <c r="Q10" s="2031"/>
      <c r="R10" s="2031"/>
    </row>
    <row r="11" spans="1:19" ht="18" customHeight="1">
      <c r="A11" s="2067" t="s">
        <v>1790</v>
      </c>
      <c r="B11" s="2068" t="s">
        <v>3049</v>
      </c>
      <c r="C11" s="2069"/>
      <c r="D11" s="2070"/>
      <c r="E11" s="2044"/>
      <c r="F11" s="2044"/>
      <c r="G11" s="2044"/>
      <c r="H11" s="2044"/>
      <c r="I11" s="2044"/>
      <c r="J11" s="2044"/>
      <c r="K11" s="2054"/>
      <c r="L11" s="2030"/>
      <c r="M11" s="2030"/>
      <c r="N11" s="2031"/>
      <c r="O11" s="2032"/>
      <c r="P11" s="2031"/>
      <c r="Q11" s="2031"/>
      <c r="R11" s="2031"/>
    </row>
    <row r="12" spans="1:19" ht="18" customHeight="1">
      <c r="A12" s="2071" t="s">
        <v>1791</v>
      </c>
      <c r="B12" s="2068" t="s">
        <v>3050</v>
      </c>
      <c r="C12" s="2072" t="s">
        <v>1792</v>
      </c>
      <c r="D12" s="2073" t="s">
        <v>1793</v>
      </c>
      <c r="E12" s="2073" t="s">
        <v>1794</v>
      </c>
      <c r="F12" s="2073" t="s">
        <v>1795</v>
      </c>
      <c r="G12" s="2073" t="s">
        <v>1796</v>
      </c>
      <c r="H12" s="2073" t="s">
        <v>1797</v>
      </c>
      <c r="I12" s="2073" t="s">
        <v>1798</v>
      </c>
      <c r="J12" s="2044"/>
      <c r="K12" s="2054"/>
      <c r="L12" s="2030"/>
      <c r="M12" s="2030"/>
      <c r="N12" s="2031"/>
      <c r="O12" s="2032"/>
      <c r="P12" s="2031"/>
      <c r="Q12" s="2031"/>
      <c r="R12" s="2031"/>
    </row>
    <row r="13" spans="1:19" ht="18" customHeight="1">
      <c r="A13" s="2074"/>
      <c r="B13" s="2075"/>
      <c r="C13" s="2076" t="s">
        <v>1799</v>
      </c>
      <c r="D13" s="2077"/>
      <c r="E13" s="2077">
        <v>50433</v>
      </c>
      <c r="F13" s="2077"/>
      <c r="G13" s="2077">
        <v>47731</v>
      </c>
      <c r="H13" s="2077"/>
      <c r="I13" s="1049"/>
      <c r="J13" s="2044"/>
      <c r="K13" s="2054"/>
      <c r="L13" s="2030"/>
      <c r="M13" s="2030"/>
      <c r="N13" s="2031"/>
      <c r="O13" s="2032"/>
      <c r="P13" s="2031"/>
      <c r="Q13" s="2031"/>
      <c r="R13" s="2031"/>
    </row>
    <row r="14" spans="1:19" ht="18" customHeight="1">
      <c r="A14" s="2074"/>
      <c r="B14" s="2075"/>
      <c r="C14" s="2076" t="s">
        <v>1800</v>
      </c>
      <c r="D14" s="1052"/>
      <c r="E14" s="1052">
        <v>40</v>
      </c>
      <c r="F14" s="1052"/>
      <c r="G14" s="1052"/>
      <c r="H14" s="1052"/>
      <c r="I14" s="1052"/>
      <c r="J14" s="2044"/>
      <c r="K14" s="2078"/>
      <c r="L14" s="2030"/>
      <c r="M14" s="2030"/>
      <c r="N14" s="2031"/>
      <c r="O14" s="2032"/>
      <c r="P14" s="2031"/>
      <c r="Q14" s="2031"/>
      <c r="R14" s="2031"/>
    </row>
    <row r="15" spans="1:19" ht="18" customHeight="1">
      <c r="A15" s="2061"/>
      <c r="B15" s="2079"/>
      <c r="C15" s="2076" t="s">
        <v>1801</v>
      </c>
      <c r="D15" s="1051" t="str">
        <f>IF(B12="出让",IF(D13="","",ROUNDDOWN(MIN((D13-$D$3)/365,D14),2)),D14)</f>
        <v/>
      </c>
      <c r="E15" s="1051">
        <f>IF(B12="出让",IF(E13="","",ROUNDDOWN(MIN((E13-$D$3)/365,E14),2)),E14)</f>
        <v>20</v>
      </c>
      <c r="F15" s="1051" t="str">
        <f>IF(B12="出让",IF(F13="","",ROUNDDOWN(MIN((F13-$D$3)/365,F14),2)),F14)</f>
        <v/>
      </c>
      <c r="G15" s="1051">
        <f>IF(B12="出让",IF(G13="","",ROUNDDOWN(MIN((G13-$D$3)/365,G14),2)),G14)</f>
        <v>12.6</v>
      </c>
      <c r="H15" s="1051" t="str">
        <f>IF(B12="出让",IF(H13="","",ROUNDDOWN(MIN((H13-$D$3)/365,H14),2)),H14)</f>
        <v/>
      </c>
      <c r="I15" s="1051" t="str">
        <f>IF(B12="出让",IF(I13="","",ROUNDDOWN(MIN((I13-$D$3)/365,I14),2)),I14)</f>
        <v/>
      </c>
      <c r="J15" s="2044"/>
      <c r="K15" s="2080"/>
      <c r="L15" s="2081"/>
      <c r="M15" s="2081"/>
      <c r="N15" s="2082"/>
      <c r="O15" s="2081"/>
      <c r="P15" s="2082"/>
      <c r="Q15" s="2031"/>
      <c r="R15" s="2031"/>
    </row>
    <row r="16" spans="1:19" ht="30.75" customHeight="1">
      <c r="A16" s="2064" t="s">
        <v>1802</v>
      </c>
      <c r="B16" s="3047" t="s">
        <v>3051</v>
      </c>
      <c r="C16" s="3048"/>
      <c r="D16" s="3049"/>
      <c r="E16" s="2083" t="s">
        <v>1803</v>
      </c>
      <c r="F16" s="3050" t="s">
        <v>3052</v>
      </c>
      <c r="G16" s="3051"/>
      <c r="H16" s="3051"/>
      <c r="I16" s="3052"/>
      <c r="J16" s="2031"/>
      <c r="K16" s="2080"/>
      <c r="L16" s="2081"/>
      <c r="M16" s="2081"/>
      <c r="N16" s="2082"/>
      <c r="O16" s="2081"/>
      <c r="P16" s="2082"/>
      <c r="Q16" s="2031"/>
      <c r="R16" s="2031"/>
    </row>
    <row r="17" spans="1:22" ht="18" customHeight="1">
      <c r="A17" s="2084" t="s">
        <v>1804</v>
      </c>
      <c r="B17" s="2037" t="s">
        <v>1805</v>
      </c>
      <c r="C17" s="1056">
        <f>'数据-汇总表'!E3</f>
        <v>30726.569999999992</v>
      </c>
      <c r="D17" s="2085" t="s">
        <v>1806</v>
      </c>
      <c r="E17" s="3053" t="s">
        <v>3053</v>
      </c>
      <c r="F17" s="3054"/>
      <c r="G17" s="3054"/>
      <c r="H17" s="3054"/>
      <c r="I17" s="3055"/>
      <c r="J17" s="2031"/>
      <c r="K17" s="2086"/>
      <c r="L17" s="2081"/>
      <c r="M17" s="2081"/>
      <c r="N17" s="2082"/>
      <c r="O17" s="2081"/>
      <c r="P17" s="2082"/>
      <c r="Q17" s="2031"/>
      <c r="R17" s="2031"/>
      <c r="S17" s="2031"/>
      <c r="T17" s="2031"/>
      <c r="U17" s="2031"/>
      <c r="V17" s="2031"/>
    </row>
    <row r="18" spans="1:22" ht="36" customHeight="1" thickBot="1">
      <c r="A18" s="2087" t="s">
        <v>3054</v>
      </c>
      <c r="B18" s="2040" t="s">
        <v>1807</v>
      </c>
      <c r="C18" s="1446">
        <f>'数据-汇总表'!D3</f>
        <v>0</v>
      </c>
      <c r="D18" s="2088" t="s">
        <v>1806</v>
      </c>
      <c r="E18" s="3053" t="s">
        <v>3053</v>
      </c>
      <c r="F18" s="3054"/>
      <c r="G18" s="3054"/>
      <c r="H18" s="3054"/>
      <c r="I18" s="3055"/>
      <c r="J18" s="2031"/>
      <c r="K18" s="2086"/>
      <c r="L18" s="2081"/>
      <c r="M18" s="2081"/>
      <c r="N18" s="2082"/>
      <c r="O18" s="2081"/>
      <c r="P18" s="2082"/>
      <c r="Q18" s="2031"/>
      <c r="R18" s="2031"/>
      <c r="S18" s="2031"/>
      <c r="T18" s="2031"/>
      <c r="U18" s="2031"/>
      <c r="V18" s="2031"/>
    </row>
    <row r="19" spans="1:22" ht="37.5" customHeight="1" thickTop="1" thickBot="1">
      <c r="A19" s="373" t="s">
        <v>1808</v>
      </c>
      <c r="B19" s="352" t="s">
        <v>1809</v>
      </c>
      <c r="C19" s="2089" t="s">
        <v>3055</v>
      </c>
      <c r="D19" s="2090" t="s">
        <v>1810</v>
      </c>
      <c r="E19" s="2091" t="s">
        <v>70</v>
      </c>
      <c r="F19" s="2092" t="str">
        <f>IF(AND(C19="是",E19="否"),"是否提供他项权证或相关说明","")</f>
        <v/>
      </c>
      <c r="G19" s="2093" t="s">
        <v>70</v>
      </c>
      <c r="H19" s="2044"/>
      <c r="I19" s="2044"/>
      <c r="J19" s="2044"/>
      <c r="K19" s="2054"/>
      <c r="L19" s="2030"/>
      <c r="M19" s="2030"/>
      <c r="N19" s="2082"/>
      <c r="O19" s="2081"/>
      <c r="P19" s="2082"/>
      <c r="Q19" s="2031"/>
      <c r="R19" s="2031"/>
      <c r="S19" s="2031"/>
      <c r="T19" s="2031"/>
      <c r="U19" s="2031"/>
      <c r="V19" s="2031"/>
    </row>
    <row r="20" spans="1:22" ht="18" customHeight="1">
      <c r="A20" s="2094" t="s">
        <v>1811</v>
      </c>
      <c r="B20" s="3043" t="s">
        <v>1812</v>
      </c>
      <c r="C20" s="3044"/>
      <c r="D20" s="3045" t="s">
        <v>1813</v>
      </c>
      <c r="E20" s="3046"/>
      <c r="F20" s="2095" t="s">
        <v>1814</v>
      </c>
      <c r="G20" s="2044"/>
      <c r="H20" s="2044"/>
      <c r="I20" s="2044"/>
      <c r="J20" s="2044"/>
      <c r="K20" s="3042" t="s">
        <v>1815</v>
      </c>
      <c r="L20" s="748" t="str">
        <f>"根据估价对象"&amp;IF(B22="——",B21&amp;C21,B21&amp;C21&amp;"、"&amp;B22&amp;C22)&amp;"，"&amp;IF(C19="是","截至价值时点，估价对象已设定抵押。","截至价值时点，估价对象抵押权未见登记。")</f>
        <v>根据估价对象——，截至价值时点，估价对象抵押权未见登记。</v>
      </c>
      <c r="M20" s="2030"/>
      <c r="N20" s="2082"/>
      <c r="O20" s="2081"/>
      <c r="P20" s="2082"/>
      <c r="Q20" s="2031"/>
      <c r="R20" s="2031"/>
      <c r="S20" s="2031"/>
      <c r="T20" s="2031"/>
      <c r="U20" s="2031"/>
      <c r="V20" s="2031"/>
    </row>
    <row r="21" spans="1:22" ht="24.75" customHeight="1">
      <c r="A21" s="2094"/>
      <c r="B21" s="2096" t="s">
        <v>70</v>
      </c>
      <c r="C21" s="2097"/>
      <c r="D21" s="2098"/>
      <c r="E21" s="2099"/>
      <c r="F21" s="2100"/>
      <c r="G21" s="2044"/>
      <c r="H21" s="2044"/>
      <c r="I21" s="2044"/>
      <c r="J21" s="2044"/>
      <c r="K21" s="30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2"/>
      <c r="O21" s="2081"/>
      <c r="P21" s="2082"/>
      <c r="Q21" s="2031"/>
      <c r="R21" s="2031"/>
      <c r="S21" s="2031"/>
      <c r="T21" s="2031"/>
      <c r="U21" s="2031"/>
      <c r="V21" s="2031"/>
    </row>
    <row r="22" spans="1:22" ht="24.75" customHeight="1" thickBot="1">
      <c r="A22" s="2094"/>
      <c r="B22" s="2101" t="s">
        <v>70</v>
      </c>
      <c r="C22" s="2097"/>
      <c r="D22" s="2028"/>
      <c r="E22" s="2028"/>
      <c r="F22" s="2102"/>
      <c r="G22" s="2044"/>
      <c r="H22" s="2044"/>
      <c r="I22" s="2044"/>
      <c r="J22" s="2044"/>
      <c r="K22" s="30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1816</v>
      </c>
      <c r="B23" s="183" t="s">
        <v>1817</v>
      </c>
      <c r="C23" s="2104"/>
      <c r="D23" s="2105" t="s">
        <v>1817</v>
      </c>
      <c r="E23" s="2106"/>
      <c r="F23" s="2102"/>
      <c r="G23" s="2044"/>
      <c r="H23" s="2044"/>
      <c r="I23" s="2044"/>
      <c r="J23" s="2044"/>
      <c r="K23" s="2107"/>
      <c r="L23" s="748"/>
      <c r="M23" s="2030"/>
      <c r="N23" s="2082"/>
      <c r="O23" s="2081"/>
      <c r="P23" s="2082"/>
      <c r="Q23" s="2031"/>
      <c r="R23" s="2031"/>
      <c r="S23" s="2031"/>
      <c r="T23" s="2031"/>
      <c r="U23" s="2031"/>
      <c r="V23" s="2031"/>
    </row>
    <row r="24" spans="1:22" ht="18" customHeight="1">
      <c r="A24" s="2108"/>
      <c r="B24" s="183" t="s">
        <v>1818</v>
      </c>
      <c r="C24" s="2109"/>
      <c r="D24" s="2103" t="s">
        <v>1818</v>
      </c>
      <c r="E24" s="2110"/>
      <c r="F24" s="2102"/>
      <c r="G24" s="2044"/>
      <c r="H24" s="2044"/>
      <c r="I24" s="2044"/>
      <c r="J24" s="2044"/>
      <c r="K24" s="2107"/>
      <c r="L24" s="748"/>
      <c r="M24" s="2030"/>
      <c r="N24" s="2082"/>
      <c r="O24" s="2081"/>
      <c r="P24" s="2082"/>
      <c r="Q24" s="2031"/>
      <c r="R24" s="2031"/>
      <c r="S24" s="2031"/>
      <c r="T24" s="2031"/>
      <c r="U24" s="2031"/>
      <c r="V24" s="2031"/>
    </row>
    <row r="25" spans="1:22" ht="18" customHeight="1">
      <c r="A25" s="2108"/>
      <c r="B25" s="183" t="s">
        <v>1819</v>
      </c>
      <c r="C25" s="2109"/>
      <c r="D25" s="2103" t="s">
        <v>1819</v>
      </c>
      <c r="E25" s="2110"/>
      <c r="F25" s="2102"/>
      <c r="G25" s="2044"/>
      <c r="H25" s="2044"/>
      <c r="I25" s="2044"/>
      <c r="J25" s="2044"/>
      <c r="K25" s="2054"/>
      <c r="L25" s="2030"/>
      <c r="M25" s="2030"/>
      <c r="N25" s="2082"/>
      <c r="O25" s="2081"/>
      <c r="P25" s="2082"/>
      <c r="Q25" s="2031"/>
      <c r="R25" s="2031"/>
      <c r="S25" s="2031"/>
      <c r="T25" s="2031"/>
      <c r="U25" s="2031"/>
      <c r="V25" s="2031"/>
    </row>
    <row r="26" spans="1:22" ht="18" customHeight="1" thickBot="1">
      <c r="A26" s="2111"/>
      <c r="B26" s="2112" t="s">
        <v>1820</v>
      </c>
      <c r="C26" s="2113"/>
      <c r="D26" s="2114" t="s">
        <v>1821</v>
      </c>
      <c r="E26" s="2115"/>
      <c r="F26" s="2116"/>
      <c r="G26" s="2060"/>
      <c r="H26" s="2060"/>
      <c r="I26" s="2060"/>
      <c r="J26" s="2044"/>
      <c r="K26" s="2054"/>
      <c r="L26" s="2030"/>
      <c r="M26" s="2030"/>
      <c r="N26" s="2082"/>
      <c r="O26" s="2081"/>
      <c r="P26" s="2082"/>
      <c r="Q26" s="2031"/>
      <c r="R26" s="2031"/>
      <c r="S26" s="2031"/>
      <c r="T26" s="2031"/>
      <c r="U26" s="2031"/>
      <c r="V26" s="2031"/>
    </row>
    <row r="27" spans="1:22" ht="18" customHeight="1" thickTop="1">
      <c r="A27" s="3030" t="s">
        <v>1822</v>
      </c>
      <c r="B27" s="2061" t="s">
        <v>1823</v>
      </c>
      <c r="C27" s="2117" t="s">
        <v>3056</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30"/>
      <c r="B28" s="2037" t="s">
        <v>1824</v>
      </c>
      <c r="C28" s="2119" t="s">
        <v>3057</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30"/>
      <c r="B29" s="2037" t="s">
        <v>1825</v>
      </c>
      <c r="C29" s="2122" t="s">
        <v>3055</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31"/>
      <c r="B30" s="2037" t="s">
        <v>1826</v>
      </c>
      <c r="C30" s="3032"/>
      <c r="D30" s="3033"/>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34" t="s">
        <v>1827</v>
      </c>
      <c r="B31" s="2124" t="s">
        <v>3058</v>
      </c>
      <c r="C31" s="2125" t="str">
        <f>IF(B31="现房","成新及维护状况正常否",IF(B31="在建","工程状态是否正常",IF(B31="土地","是否闲置","-")))</f>
        <v>成新及维护状况正常否</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35"/>
      <c r="B32" s="2124"/>
      <c r="C32" s="2125" t="str">
        <f>IF(B32="现房","成新及维护状况是否正常",IF(B32="在建","工程状态是否正常",IF(B32="土地","是否闲置","-")))</f>
        <v>-</v>
      </c>
      <c r="D32" s="2126"/>
      <c r="E32" s="2127"/>
      <c r="F32" s="2044"/>
      <c r="G32" s="2044"/>
      <c r="H32" s="2044"/>
      <c r="I32" s="2044"/>
      <c r="J32" s="2044"/>
      <c r="K32" s="2054"/>
      <c r="L32" s="2030"/>
      <c r="M32" s="2030"/>
      <c r="N32" s="2031"/>
      <c r="O32" s="2032"/>
      <c r="P32" s="2031"/>
      <c r="Q32" s="2031"/>
      <c r="R32" s="2031"/>
      <c r="S32" s="2031"/>
      <c r="T32" s="2031"/>
      <c r="U32" s="2031"/>
      <c r="V32" s="2031"/>
    </row>
    <row r="33" spans="1:22" ht="18" customHeight="1">
      <c r="A33" s="3035"/>
      <c r="B33" s="2128"/>
      <c r="C33" s="2067" t="str">
        <f>IF(B33="现房","成新及维护状况是否正常",IF(B33="在建","工程状态是否正常",IF(B33="土地","是否闲置","-")))</f>
        <v>-</v>
      </c>
      <c r="D33" s="2129"/>
      <c r="E33" s="2130"/>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1828</v>
      </c>
      <c r="B34" s="2131" t="s">
        <v>3059</v>
      </c>
      <c r="C34" s="2131" t="s">
        <v>3060</v>
      </c>
      <c r="D34" s="2131" t="s">
        <v>3061</v>
      </c>
      <c r="E34" s="2131" t="s">
        <v>3062</v>
      </c>
      <c r="F34" s="2131" t="s">
        <v>3063</v>
      </c>
      <c r="G34" s="2131" t="s">
        <v>3064</v>
      </c>
      <c r="H34" s="2131"/>
      <c r="I34" s="2044"/>
      <c r="J34" s="2044"/>
      <c r="K34" s="1797">
        <f>COUNTIF(B34:H34,"——")</f>
        <v>0</v>
      </c>
      <c r="L34" s="2072" t="s">
        <v>1829</v>
      </c>
      <c r="M34" s="2072" t="s">
        <v>1830</v>
      </c>
      <c r="N34" s="2072" t="s">
        <v>1831</v>
      </c>
      <c r="O34" s="2072" t="s">
        <v>1832</v>
      </c>
      <c r="P34" s="2072" t="s">
        <v>1833</v>
      </c>
      <c r="Q34" s="2072" t="s">
        <v>1834</v>
      </c>
      <c r="R34" s="2072" t="s">
        <v>1835</v>
      </c>
      <c r="S34" s="3029" t="s">
        <v>1836</v>
      </c>
      <c r="T34" s="2132" t="str">
        <f>NUMBERSTRING(7-K34,1)&amp;"通"</f>
        <v>七通</v>
      </c>
      <c r="U34" s="2031"/>
      <c r="V34" s="2031"/>
    </row>
    <row r="35" spans="1:22" ht="18" customHeight="1">
      <c r="A35" s="2133"/>
      <c r="B35" s="3036" t="s">
        <v>1837</v>
      </c>
      <c r="C35" s="3036"/>
      <c r="D35" s="3036"/>
      <c r="E35" s="3036"/>
      <c r="F35" s="2134">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9"/>
      <c r="T35" s="48" t="str">
        <f>IF(T34="一通",L35,IF(T34="二通",M35,IF(T34="三通",N35,IF(T34="四通",O35,IF(T34="五通",P35,IF(T34="六通",Q35,R35))))))</f>
        <v>通路、通电、通讯、通上水、通下水、燃气、</v>
      </c>
      <c r="U35" s="2031"/>
      <c r="V35" s="2031"/>
    </row>
    <row r="36" spans="1:22" ht="18" customHeight="1">
      <c r="A36" s="2135"/>
      <c r="B36" s="2134" t="s">
        <v>1838</v>
      </c>
      <c r="C36" s="2134" t="s">
        <v>1839</v>
      </c>
      <c r="D36" s="2134" t="s">
        <v>1840</v>
      </c>
      <c r="E36" s="2134" t="s">
        <v>1841</v>
      </c>
      <c r="F36" s="2136"/>
      <c r="G36" s="2044"/>
      <c r="H36" s="2044"/>
      <c r="I36" s="2044"/>
      <c r="J36" s="2044"/>
      <c r="K36" s="2054"/>
      <c r="L36" s="2030"/>
      <c r="M36" s="2030"/>
      <c r="N36" s="2031"/>
      <c r="O36" s="2032"/>
      <c r="P36" s="2031"/>
      <c r="Q36" s="2031"/>
      <c r="R36" s="2031"/>
      <c r="S36" s="2031"/>
      <c r="T36" s="2031"/>
      <c r="U36" s="2031"/>
      <c r="V36" s="2031"/>
    </row>
    <row r="37" spans="1:22" ht="18" customHeight="1">
      <c r="A37" s="2137" t="s">
        <v>1842</v>
      </c>
      <c r="B37" s="2138"/>
      <c r="C37" s="2138"/>
      <c r="D37" s="2138"/>
      <c r="E37" s="2138"/>
      <c r="F37" s="2136"/>
      <c r="G37" s="2044"/>
      <c r="H37" s="2044"/>
      <c r="I37" s="2044"/>
      <c r="J37" s="2044"/>
      <c r="K37" s="2054"/>
      <c r="L37" s="2030"/>
      <c r="M37" s="2030"/>
      <c r="N37" s="2031"/>
      <c r="O37" s="2032"/>
      <c r="P37" s="2031"/>
      <c r="Q37" s="2031"/>
      <c r="R37" s="2031"/>
      <c r="S37" s="2031"/>
      <c r="T37" s="2031"/>
      <c r="U37" s="2031"/>
      <c r="V37" s="2031"/>
    </row>
    <row r="38" spans="1:22" ht="18" customHeight="1" thickBot="1">
      <c r="A38" s="2139" t="s">
        <v>1843</v>
      </c>
      <c r="B38" s="2140"/>
      <c r="C38" s="2140"/>
      <c r="D38" s="2140"/>
      <c r="E38" s="2140"/>
      <c r="F38" s="2141"/>
      <c r="G38" s="2060"/>
      <c r="H38" s="2060"/>
      <c r="I38" s="2060"/>
      <c r="J38" s="2044"/>
      <c r="K38" s="2054"/>
      <c r="L38" s="2030"/>
      <c r="M38" s="2030"/>
      <c r="N38" s="2031"/>
      <c r="O38" s="2032"/>
      <c r="P38" s="2031"/>
      <c r="Q38" s="2031"/>
      <c r="R38" s="2031"/>
      <c r="S38" s="2031"/>
      <c r="T38" s="2031"/>
      <c r="U38" s="2031"/>
      <c r="V38" s="2031"/>
    </row>
    <row r="39" spans="1:22" s="2146" customFormat="1" ht="18" customHeight="1" thickTop="1" thickBot="1">
      <c r="A39" s="2142" t="s">
        <v>1844</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1845</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1846</v>
      </c>
      <c r="B42" s="1797" t="s">
        <v>1847</v>
      </c>
      <c r="C42" s="1797" t="s">
        <v>1848</v>
      </c>
      <c r="D42" s="1797" t="s">
        <v>1849</v>
      </c>
      <c r="E42" s="1797" t="s">
        <v>1850</v>
      </c>
      <c r="F42" s="1797" t="s">
        <v>1851</v>
      </c>
      <c r="G42" s="1797" t="s">
        <v>1852</v>
      </c>
      <c r="H42" s="1797" t="s">
        <v>1853</v>
      </c>
      <c r="I42" s="1797" t="s">
        <v>1854</v>
      </c>
      <c r="J42" s="2150" t="s">
        <v>1855</v>
      </c>
      <c r="K42" s="2073" t="s">
        <v>1856</v>
      </c>
      <c r="L42" s="2073" t="s">
        <v>1857</v>
      </c>
      <c r="M42" s="2073" t="s">
        <v>1858</v>
      </c>
      <c r="N42" s="1797" t="s">
        <v>1859</v>
      </c>
      <c r="O42" s="1797" t="s">
        <v>1860</v>
      </c>
      <c r="P42" s="1797" t="s">
        <v>1861</v>
      </c>
      <c r="Q42" s="2072" t="s">
        <v>1862</v>
      </c>
      <c r="R42" s="2072" t="s">
        <v>1863</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M5" sqref="M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1866</v>
      </c>
      <c r="B2" s="11" t="s">
        <v>1867</v>
      </c>
      <c r="C2" s="11" t="s">
        <v>1868</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1869</v>
      </c>
      <c r="AZ2" s="1272" t="s">
        <v>1870</v>
      </c>
      <c r="BA2" s="11" t="s">
        <v>1871</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0</v>
      </c>
      <c r="B3" s="14">
        <f>IF(C3="否",G5-AT5,G5)</f>
        <v>30726.569999999992</v>
      </c>
      <c r="C3" s="2166" t="s">
        <v>1872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v>0</v>
      </c>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1873</v>
      </c>
      <c r="B5" s="1805"/>
      <c r="C5" s="1805"/>
      <c r="D5" s="1808"/>
      <c r="E5" s="16" t="s">
        <v>1</v>
      </c>
      <c r="F5" s="16">
        <f>SUM(F13:F587)</f>
        <v>0</v>
      </c>
      <c r="G5" s="16">
        <f>SUM(G13:G587)</f>
        <v>30726.569999999992</v>
      </c>
      <c r="H5" s="16">
        <f t="shared" ref="H5:AT5" si="0">SUM(H13:H656)</f>
        <v>30726.569999999992</v>
      </c>
      <c r="I5" s="16">
        <f t="shared" si="0"/>
        <v>21737.040000000001</v>
      </c>
      <c r="J5" s="16">
        <f t="shared" si="0"/>
        <v>0</v>
      </c>
      <c r="K5" s="16">
        <f t="shared" si="0"/>
        <v>2653.6499999999987</v>
      </c>
      <c r="L5" s="16">
        <f t="shared" si="0"/>
        <v>0</v>
      </c>
      <c r="M5" s="16">
        <f t="shared" si="0"/>
        <v>6335.88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30726.569999999992</v>
      </c>
      <c r="BA5" s="18">
        <f t="shared" si="1"/>
        <v>30726.569999999992</v>
      </c>
      <c r="BB5" s="18">
        <f t="shared" si="1"/>
        <v>21737.040000000001</v>
      </c>
      <c r="BC5" s="18">
        <f t="shared" si="1"/>
        <v>2653.6499999999987</v>
      </c>
      <c r="BD5" s="18">
        <f t="shared" si="1"/>
        <v>6335.88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1874</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1874</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1875</v>
      </c>
      <c r="B7" s="2107" t="s">
        <v>1876</v>
      </c>
      <c r="C7" s="2107" t="s">
        <v>1877</v>
      </c>
      <c r="D7" s="2107" t="s">
        <v>1878</v>
      </c>
      <c r="E7" s="2107" t="s">
        <v>1879</v>
      </c>
      <c r="F7" s="2107" t="s">
        <v>1880</v>
      </c>
      <c r="G7" s="2176" t="s">
        <v>1881</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1882</v>
      </c>
      <c r="AV7" s="23" t="s">
        <v>1883</v>
      </c>
      <c r="AW7" s="2164" t="s">
        <v>1884</v>
      </c>
      <c r="AX7" s="23" t="s">
        <v>1877</v>
      </c>
      <c r="AY7" s="1805" t="s">
        <v>1885</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1886</v>
      </c>
      <c r="H8" s="2182" t="s">
        <v>1887</v>
      </c>
      <c r="I8" s="2183"/>
      <c r="J8" s="1820"/>
      <c r="K8" s="1820"/>
      <c r="L8" s="1820"/>
      <c r="M8" s="1820"/>
      <c r="N8" s="1820"/>
      <c r="O8" s="1820"/>
      <c r="P8" s="1820"/>
      <c r="Q8" s="1820"/>
      <c r="R8" s="1820"/>
      <c r="S8" s="1820"/>
      <c r="T8" s="1820"/>
      <c r="U8" s="1820"/>
      <c r="V8" s="2184"/>
      <c r="W8" s="1820"/>
      <c r="X8" s="1820"/>
      <c r="Y8" s="1820"/>
      <c r="Z8" s="1820"/>
      <c r="AA8" s="2184"/>
      <c r="AB8" s="2185"/>
      <c r="AC8" s="984" t="s">
        <v>1888</v>
      </c>
      <c r="AD8" s="2186"/>
      <c r="AE8" s="2178"/>
      <c r="AF8" s="1820"/>
      <c r="AG8" s="1820"/>
      <c r="AH8" s="1820"/>
      <c r="AI8" s="1820"/>
      <c r="AJ8" s="1820"/>
      <c r="AK8" s="1820"/>
      <c r="AL8" s="1820"/>
      <c r="AM8" s="1820"/>
      <c r="AN8" s="1820"/>
      <c r="AO8" s="1820"/>
      <c r="AP8" s="1820"/>
      <c r="AQ8" s="1820"/>
      <c r="AR8" s="1820"/>
      <c r="AS8" s="1820"/>
      <c r="AT8" s="1294" t="s">
        <v>1889</v>
      </c>
      <c r="AU8" s="2180" t="s">
        <v>1890</v>
      </c>
      <c r="AV8" s="1294"/>
      <c r="AW8" s="2163"/>
      <c r="AX8" s="1294"/>
      <c r="AY8" s="2164"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1893</v>
      </c>
      <c r="I9" s="2189" t="s">
        <v>3089</v>
      </c>
      <c r="J9" s="984"/>
      <c r="K9" s="2189" t="s">
        <v>3091</v>
      </c>
      <c r="L9" s="984"/>
      <c r="M9" s="2189" t="s">
        <v>3091</v>
      </c>
      <c r="N9" s="984"/>
      <c r="O9" s="2189"/>
      <c r="P9" s="984"/>
      <c r="Q9" s="2189"/>
      <c r="R9" s="984"/>
      <c r="S9" s="2189"/>
      <c r="T9" s="984"/>
      <c r="U9" s="2189"/>
      <c r="V9" s="984"/>
      <c r="W9" s="2189"/>
      <c r="X9" s="2190"/>
      <c r="Y9" s="2189"/>
      <c r="Z9" s="984"/>
      <c r="AA9" s="2189"/>
      <c r="AB9" s="984"/>
      <c r="AC9" s="2181"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1"/>
      <c r="AT9" s="2180"/>
      <c r="AU9" s="2180" t="s">
        <v>1896</v>
      </c>
      <c r="AV9" s="1294"/>
      <c r="AW9" s="2163"/>
      <c r="AX9" s="1294"/>
      <c r="AY9" s="28"/>
      <c r="AZ9" s="28" t="s">
        <v>1886</v>
      </c>
      <c r="BA9" s="2192" t="s">
        <v>1897</v>
      </c>
      <c r="BB9" s="2193"/>
      <c r="BC9" s="1340"/>
      <c r="BD9" s="1340"/>
      <c r="BE9" s="1340"/>
      <c r="BF9" s="1340"/>
      <c r="BG9" s="1340"/>
      <c r="BH9" s="1340"/>
      <c r="BI9" s="1340"/>
      <c r="BJ9" s="1340"/>
      <c r="BK9" s="2194"/>
      <c r="BL9" s="15" t="s">
        <v>1898</v>
      </c>
      <c r="BM9" s="1820"/>
      <c r="BN9" s="2183"/>
      <c r="BO9" s="1820"/>
      <c r="BP9" s="1820"/>
      <c r="BQ9" s="1820"/>
      <c r="BR9" s="1820"/>
      <c r="BS9" s="1820"/>
      <c r="BT9" s="26"/>
    </row>
    <row r="10" spans="1:72" s="2187" customFormat="1" ht="12.75">
      <c r="A10" s="2180"/>
      <c r="B10" s="2180"/>
      <c r="C10" s="2180"/>
      <c r="D10" s="2180"/>
      <c r="E10" s="2180"/>
      <c r="F10" s="2180"/>
      <c r="G10" s="1294"/>
      <c r="H10" s="28"/>
      <c r="I10" s="2189" t="s">
        <v>1377</v>
      </c>
      <c r="J10" s="984"/>
      <c r="K10" s="2195" t="s">
        <v>3092</v>
      </c>
      <c r="L10" s="984"/>
      <c r="M10" s="2195" t="s">
        <v>3093</v>
      </c>
      <c r="N10" s="984"/>
      <c r="O10" s="2195"/>
      <c r="P10" s="984"/>
      <c r="Q10" s="2195"/>
      <c r="R10" s="984"/>
      <c r="S10" s="2195"/>
      <c r="T10" s="984"/>
      <c r="U10" s="2195"/>
      <c r="V10" s="984"/>
      <c r="W10" s="2195"/>
      <c r="X10" s="984"/>
      <c r="Y10" s="2195"/>
      <c r="Z10" s="984"/>
      <c r="AA10" s="2195"/>
      <c r="AB10" s="984"/>
      <c r="AC10" s="1294"/>
      <c r="AD10" s="15" t="s">
        <v>1899</v>
      </c>
      <c r="AE10" s="2196"/>
      <c r="AF10" s="15" t="s">
        <v>1899</v>
      </c>
      <c r="AG10" s="2196"/>
      <c r="AH10" s="15" t="s">
        <v>1900</v>
      </c>
      <c r="AI10" s="2196"/>
      <c r="AJ10" s="15" t="s">
        <v>1900</v>
      </c>
      <c r="AK10" s="2196"/>
      <c r="AL10" s="15" t="s">
        <v>1901</v>
      </c>
      <c r="AM10" s="1300"/>
      <c r="AN10" s="15" t="s">
        <v>1901</v>
      </c>
      <c r="AO10" s="1300"/>
      <c r="AP10" s="15" t="s">
        <v>1902</v>
      </c>
      <c r="AQ10" s="1300"/>
      <c r="AR10" s="15" t="s">
        <v>1902</v>
      </c>
      <c r="AS10" s="1300"/>
      <c r="AT10" s="2180"/>
      <c r="AU10" s="2180"/>
      <c r="AV10" s="1294"/>
      <c r="AW10" s="2163"/>
      <c r="AX10" s="1294"/>
      <c r="AY10" s="28"/>
      <c r="AZ10" s="28"/>
      <c r="BA10" s="2197" t="s">
        <v>1893</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3090</v>
      </c>
      <c r="J11" s="2201"/>
      <c r="K11" s="2200" t="s">
        <v>3092</v>
      </c>
      <c r="L11" s="2201"/>
      <c r="M11" s="2200" t="s">
        <v>3094</v>
      </c>
      <c r="N11" s="2201"/>
      <c r="O11" s="2200"/>
      <c r="P11" s="2201"/>
      <c r="Q11" s="2200"/>
      <c r="R11" s="2201"/>
      <c r="S11" s="2200"/>
      <c r="T11" s="2201"/>
      <c r="U11" s="2200"/>
      <c r="V11" s="2201"/>
      <c r="W11" s="2200"/>
      <c r="X11" s="2201"/>
      <c r="Y11" s="2200"/>
      <c r="Z11" s="2201"/>
      <c r="AA11" s="2200"/>
      <c r="AB11" s="2201"/>
      <c r="AC11" s="1294"/>
      <c r="AD11" s="2202" t="s">
        <v>1903</v>
      </c>
      <c r="AE11" s="1821"/>
      <c r="AF11" s="2202" t="s">
        <v>1903</v>
      </c>
      <c r="AG11" s="1821"/>
      <c r="AH11" s="2202" t="s">
        <v>1904</v>
      </c>
      <c r="AI11" s="2203"/>
      <c r="AJ11" s="2202" t="s">
        <v>1904</v>
      </c>
      <c r="AK11" s="1821"/>
      <c r="AL11" s="1819"/>
      <c r="AM11" s="1821"/>
      <c r="AN11" s="1819"/>
      <c r="AO11" s="1821"/>
      <c r="AP11" s="1819"/>
      <c r="AQ11" s="1821"/>
      <c r="AR11" s="1819"/>
      <c r="AS11" s="1821"/>
      <c r="AT11" s="2163"/>
      <c r="AU11" s="2180"/>
      <c r="AV11" s="1294"/>
      <c r="AW11" s="2163"/>
      <c r="AX11" s="1294"/>
      <c r="AY11" s="28"/>
      <c r="AZ11" s="28"/>
      <c r="BA11" s="28"/>
      <c r="BB11" s="2185" t="str">
        <f>I10</f>
        <v>商业</v>
      </c>
      <c r="BC11" s="2185" t="str">
        <f>K10</f>
        <v>车库</v>
      </c>
      <c r="BD11" s="2185" t="str">
        <f>M10</f>
        <v>仓储</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7"/>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5" t="s">
        <v>1906</v>
      </c>
      <c r="AT12" s="2208"/>
      <c r="AU12" s="2205"/>
      <c r="AV12" s="31"/>
      <c r="AW12" s="2164"/>
      <c r="AX12" s="31"/>
      <c r="AY12" s="2209"/>
      <c r="AZ12" s="28"/>
      <c r="BA12" s="2197"/>
      <c r="BB12" s="24" t="str">
        <f>I11</f>
        <v>独栋</v>
      </c>
      <c r="BC12" s="2210" t="str">
        <f>K11</f>
        <v>车库</v>
      </c>
      <c r="BD12" s="2210" t="str">
        <f>M11</f>
        <v>戊类库房</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c r="A13" s="9">
        <v>14294.89</v>
      </c>
      <c r="B13" s="2955" t="s">
        <v>3121</v>
      </c>
      <c r="C13" s="2955" t="s">
        <v>3114</v>
      </c>
      <c r="D13" s="2964" t="s">
        <v>3095</v>
      </c>
      <c r="E13" s="16">
        <f>IF($C$3="是",ROUND($A$3*G13/$B$3,2),ROUND($A$3*(G13-AT13)/$B$3,2))</f>
        <v>0</v>
      </c>
      <c r="F13" s="32"/>
      <c r="G13" s="33">
        <f>H13+AC13+AT13</f>
        <v>85</v>
      </c>
      <c r="H13" s="20">
        <f>SUMIF(I$12:AB$12,"总值",I13:AB13)</f>
        <v>85</v>
      </c>
      <c r="I13" s="39"/>
      <c r="J13" s="39"/>
      <c r="K13" s="39"/>
      <c r="L13" s="39"/>
      <c r="M13" s="39">
        <v>85</v>
      </c>
      <c r="N13" s="39"/>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14294.89</v>
      </c>
      <c r="AW13" s="11" t="str">
        <f t="shared" si="6"/>
        <v>7号</v>
      </c>
      <c r="AX13" s="11" t="str">
        <f t="shared" si="6"/>
        <v>-1层-101</v>
      </c>
      <c r="AY13" s="1808">
        <f>ROUND($AY$6*AZ13/$AZ$5,2)</f>
        <v>0</v>
      </c>
      <c r="AZ13" s="16">
        <f>BA13+BL13</f>
        <v>85</v>
      </c>
      <c r="BA13" s="16">
        <f>SUM(BB13:BK13)</f>
        <v>85</v>
      </c>
      <c r="BB13" s="16">
        <f>IF($D13="是",I13-J13,0)</f>
        <v>0</v>
      </c>
      <c r="BC13" s="16">
        <f>IF($D13="是",K13-L13,0)</f>
        <v>0</v>
      </c>
      <c r="BD13" s="16">
        <f>IF($D13="是",M13-N13,0)</f>
        <v>85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c r="A14" s="9"/>
      <c r="B14" s="34"/>
      <c r="C14" s="2955" t="s">
        <v>3115</v>
      </c>
      <c r="D14" s="2964" t="s">
        <v>3095</v>
      </c>
      <c r="E14" s="16">
        <f>IF($C$3="是",ROUND($A$3*G14/$B$3,2),ROUND($A$3*(G14-AT14)/$B$3,2))</f>
        <v>0</v>
      </c>
      <c r="F14" s="32"/>
      <c r="G14" s="33">
        <f>H14+AC14+AT14</f>
        <v>209.42</v>
      </c>
      <c r="H14" s="20">
        <f>SUMIF(I$12:AB$12,"总值",I14:AB14)</f>
        <v>209.42</v>
      </c>
      <c r="I14" s="39"/>
      <c r="J14" s="39"/>
      <c r="K14" s="39"/>
      <c r="L14" s="39"/>
      <c r="M14" s="39">
        <v>209.42</v>
      </c>
      <c r="N14" s="39"/>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-1层-102</v>
      </c>
      <c r="AY14" s="1808">
        <f>ROUND($AY$6*AZ14/$AZ$5,2)</f>
        <v>0</v>
      </c>
      <c r="AZ14" s="16">
        <f>BA14+BL14</f>
        <v>209.42</v>
      </c>
      <c r="BA14" s="16">
        <f>SUM(BB14:BK14)</f>
        <v>209.42</v>
      </c>
      <c r="BB14" s="16">
        <f>IF($D14="是",I14-J14,0)</f>
        <v>0</v>
      </c>
      <c r="BC14" s="16">
        <f>IF($D14="是",K14-L14,0)</f>
        <v>0</v>
      </c>
      <c r="BD14" s="16">
        <f>IF($D14="是",M14-N14,0)</f>
        <v>209.42</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c r="A15" s="9"/>
      <c r="B15" s="34"/>
      <c r="C15" s="2955" t="s">
        <v>3116</v>
      </c>
      <c r="D15" s="2211" t="s">
        <v>3095</v>
      </c>
      <c r="E15" s="16">
        <f>IF($C$3="是",ROUND($A$3*G15/$B$3,2),ROUND($A$3*(G15-AT15)/$B$3,2))</f>
        <v>0</v>
      </c>
      <c r="F15" s="32"/>
      <c r="G15" s="33">
        <f>H15+AC15+AT15</f>
        <v>3309.53</v>
      </c>
      <c r="H15" s="20">
        <f>SUMIF(I$12:AB$12,"总值",I15:AB15)</f>
        <v>3309.53</v>
      </c>
      <c r="I15" s="39"/>
      <c r="J15" s="39"/>
      <c r="K15" s="39"/>
      <c r="L15" s="39"/>
      <c r="M15" s="39">
        <v>3309.53</v>
      </c>
      <c r="N15" s="39"/>
      <c r="O15" s="39"/>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-1层-103</v>
      </c>
      <c r="AY15" s="1808">
        <f>ROUND($AY$6*AZ15/$AZ$5,2)</f>
        <v>0</v>
      </c>
      <c r="AZ15" s="16">
        <f>BA15+BL15</f>
        <v>3309.53</v>
      </c>
      <c r="BA15" s="16">
        <f>SUM(BB15:BK15)</f>
        <v>3309.53</v>
      </c>
      <c r="BB15" s="16">
        <f>IF($D15="是",I15-J15,0)</f>
        <v>0</v>
      </c>
      <c r="BC15" s="16">
        <f>IF($D15="是",K15-L15,0)</f>
        <v>0</v>
      </c>
      <c r="BD15" s="16">
        <f>IF($D15="是",M15-N15,0)</f>
        <v>3309.53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c r="A16" s="9"/>
      <c r="B16" s="34"/>
      <c r="C16" s="2955" t="s">
        <v>3117</v>
      </c>
      <c r="D16" s="2211" t="s">
        <v>3095</v>
      </c>
      <c r="E16" s="16">
        <f>IF($C$3="是",ROUND($A$3*G16/$B$3,2),ROUND($A$3*(G16-AT16)/$B$3,2))</f>
        <v>0</v>
      </c>
      <c r="F16" s="32"/>
      <c r="G16" s="33">
        <f>H16+AC16+AT16</f>
        <v>3392.7</v>
      </c>
      <c r="H16" s="20">
        <f>SUMIF(I$12:AB$12,"总值",I16:AB16)</f>
        <v>3392.7</v>
      </c>
      <c r="I16" s="39">
        <v>3392.7</v>
      </c>
      <c r="J16" s="39"/>
      <c r="K16" s="39"/>
      <c r="L16" s="39"/>
      <c r="M16" s="39"/>
      <c r="N16" s="39"/>
      <c r="O16" s="39"/>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1层101</v>
      </c>
      <c r="AY16" s="1808">
        <f>ROUND($AY$6*AZ16/$AZ$5,2)</f>
        <v>0</v>
      </c>
      <c r="AZ16" s="16">
        <f>BA16+BL16</f>
        <v>3392.7</v>
      </c>
      <c r="BA16" s="16">
        <f>SUM(BB16:BK16)</f>
        <v>3392.7</v>
      </c>
      <c r="BB16" s="16">
        <f>IF($D16="是",I16-J16,0)</f>
        <v>3392.7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c r="A17" s="9"/>
      <c r="B17" s="34"/>
      <c r="C17" s="2955" t="s">
        <v>3118</v>
      </c>
      <c r="D17" s="2211" t="s">
        <v>3095</v>
      </c>
      <c r="E17" s="16">
        <f>IF($C$3="是",ROUND($A$3*G17/$B$3,2),ROUND($A$3*(G17-AT17)/$B$3,2))</f>
        <v>0</v>
      </c>
      <c r="F17" s="32"/>
      <c r="G17" s="33">
        <f>H17+AC17+AT17</f>
        <v>3649.12</v>
      </c>
      <c r="H17" s="20">
        <f>SUMIF(I$12:AB$12,"总值",I17:AB17)</f>
        <v>3649.12</v>
      </c>
      <c r="I17" s="39">
        <v>3649.12</v>
      </c>
      <c r="J17" s="39"/>
      <c r="K17" s="39"/>
      <c r="L17" s="39"/>
      <c r="M17" s="39"/>
      <c r="N17" s="39"/>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2层201</v>
      </c>
      <c r="AY17" s="1808">
        <f>ROUND($AY$6*AZ17/$AZ$5,2)</f>
        <v>0</v>
      </c>
      <c r="AZ17" s="16">
        <f>BA17+BL17</f>
        <v>3649.12</v>
      </c>
      <c r="BA17" s="16">
        <f>SUM(BB17:BK17)</f>
        <v>3649.12</v>
      </c>
      <c r="BB17" s="16">
        <f>IF($D17="是",I17-J17,0)</f>
        <v>3649.12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5" t="s">
        <v>3119</v>
      </c>
      <c r="D18" s="2211" t="s">
        <v>3095</v>
      </c>
      <c r="E18" s="35">
        <f t="shared" ref="E18:E112" si="7">IF($C$3="是",ROUND($A$3*G18/$B$3,2),ROUND($A$3*(G18-AT18)/$B$3,2))</f>
        <v>0</v>
      </c>
      <c r="F18" s="36"/>
      <c r="G18" s="37">
        <f t="shared" ref="G18:G109" si="8">H18+AC18+AT18</f>
        <v>3649.12</v>
      </c>
      <c r="H18" s="38">
        <f t="shared" ref="H18:H109" si="9">SUMIF(I$12:AB$12,"总值",I18:AB18)</f>
        <v>3649.12</v>
      </c>
      <c r="I18" s="39">
        <v>3649.12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t="str">
        <f t="shared" ref="AX18:AX112" si="13">C18</f>
        <v>3层301</v>
      </c>
      <c r="AY18" s="42">
        <f t="shared" ref="AY18:AY109" si="14">ROUND($AY$6*AZ18/$AZ$5,2)</f>
        <v>0</v>
      </c>
      <c r="AZ18" s="35">
        <f t="shared" ref="AZ18:AZ109" si="15">BA18+BL18</f>
        <v>3649.12</v>
      </c>
      <c r="BA18" s="35">
        <f t="shared" ref="BA18:BA109" si="16">SUM(BB18:BK18)</f>
        <v>3649.12</v>
      </c>
      <c r="BB18" s="35">
        <f t="shared" ref="BB18:BB109" si="17">IF($D18="是",I18-J18,0)</f>
        <v>3649.12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v>16431.68</v>
      </c>
      <c r="B19" s="34" t="s">
        <v>3120</v>
      </c>
      <c r="C19" s="2955" t="s">
        <v>3122</v>
      </c>
      <c r="D19" s="2211" t="s">
        <v>3095</v>
      </c>
      <c r="E19" s="35">
        <f t="shared" si="7"/>
        <v>0</v>
      </c>
      <c r="F19" s="36"/>
      <c r="G19" s="37">
        <f t="shared" si="8"/>
        <v>58.97</v>
      </c>
      <c r="H19" s="38">
        <f t="shared" si="9"/>
        <v>58.97</v>
      </c>
      <c r="I19" s="39"/>
      <c r="J19" s="39"/>
      <c r="K19" s="39">
        <v>58.97</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16431.68</v>
      </c>
      <c r="AW19" s="1797" t="str">
        <f t="shared" si="12"/>
        <v>8号</v>
      </c>
      <c r="AX19" s="1797" t="str">
        <f t="shared" si="13"/>
        <v>-2层001</v>
      </c>
      <c r="AY19" s="42">
        <f t="shared" si="14"/>
        <v>0</v>
      </c>
      <c r="AZ19" s="35">
        <f t="shared" si="15"/>
        <v>58.97</v>
      </c>
      <c r="BA19" s="35">
        <f t="shared" si="16"/>
        <v>58.97</v>
      </c>
      <c r="BB19" s="35">
        <f t="shared" si="17"/>
        <v>0</v>
      </c>
      <c r="BC19" s="35">
        <f t="shared" si="18"/>
        <v>58.97</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5" t="s">
        <v>3123</v>
      </c>
      <c r="D20" s="2211" t="s">
        <v>3095</v>
      </c>
      <c r="E20" s="35">
        <f t="shared" si="7"/>
        <v>0</v>
      </c>
      <c r="F20" s="36"/>
      <c r="G20" s="37">
        <f t="shared" si="8"/>
        <v>58.97</v>
      </c>
      <c r="H20" s="38">
        <f t="shared" si="9"/>
        <v>58.97</v>
      </c>
      <c r="I20" s="39"/>
      <c r="J20" s="39"/>
      <c r="K20" s="39">
        <v>58.97</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t="str">
        <f t="shared" si="13"/>
        <v>-2层002</v>
      </c>
      <c r="AY20" s="42">
        <f t="shared" si="14"/>
        <v>0</v>
      </c>
      <c r="AZ20" s="35">
        <f t="shared" si="15"/>
        <v>58.97</v>
      </c>
      <c r="BA20" s="35">
        <f t="shared" si="16"/>
        <v>58.97</v>
      </c>
      <c r="BB20" s="35">
        <f t="shared" si="17"/>
        <v>0</v>
      </c>
      <c r="BC20" s="35">
        <f t="shared" si="18"/>
        <v>58.97</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5" t="s">
        <v>3124</v>
      </c>
      <c r="D21" s="2211" t="s">
        <v>3095</v>
      </c>
      <c r="E21" s="35">
        <f t="shared" si="7"/>
        <v>0</v>
      </c>
      <c r="F21" s="36"/>
      <c r="G21" s="37">
        <f t="shared" si="8"/>
        <v>58.97</v>
      </c>
      <c r="H21" s="38">
        <f t="shared" si="9"/>
        <v>58.97</v>
      </c>
      <c r="I21" s="39"/>
      <c r="J21" s="39"/>
      <c r="K21" s="39">
        <v>58.97</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t="str">
        <f t="shared" si="13"/>
        <v>-2层003</v>
      </c>
      <c r="AY21" s="42">
        <f t="shared" si="14"/>
        <v>0</v>
      </c>
      <c r="AZ21" s="35">
        <f t="shared" si="15"/>
        <v>58.97</v>
      </c>
      <c r="BA21" s="35">
        <f t="shared" si="16"/>
        <v>58.97</v>
      </c>
      <c r="BB21" s="35">
        <f t="shared" si="17"/>
        <v>0</v>
      </c>
      <c r="BC21" s="35">
        <f t="shared" si="18"/>
        <v>58.97</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5" t="s">
        <v>3125</v>
      </c>
      <c r="D22" s="2211" t="s">
        <v>3095</v>
      </c>
      <c r="E22" s="35">
        <f t="shared" si="7"/>
        <v>0</v>
      </c>
      <c r="F22" s="36"/>
      <c r="G22" s="37">
        <f t="shared" si="8"/>
        <v>58.97</v>
      </c>
      <c r="H22" s="38">
        <f t="shared" si="9"/>
        <v>58.97</v>
      </c>
      <c r="I22" s="39"/>
      <c r="J22" s="39"/>
      <c r="K22" s="39">
        <v>58.97</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t="str">
        <f t="shared" si="13"/>
        <v>-2层005</v>
      </c>
      <c r="AY22" s="42">
        <f t="shared" si="14"/>
        <v>0</v>
      </c>
      <c r="AZ22" s="35">
        <f t="shared" si="15"/>
        <v>58.97</v>
      </c>
      <c r="BA22" s="35">
        <f t="shared" si="16"/>
        <v>58.97</v>
      </c>
      <c r="BB22" s="35">
        <f t="shared" si="17"/>
        <v>0</v>
      </c>
      <c r="BC22" s="35">
        <f t="shared" si="18"/>
        <v>58.97</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5" t="s">
        <v>3126</v>
      </c>
      <c r="D23" s="2211" t="s">
        <v>3095</v>
      </c>
      <c r="E23" s="35">
        <f t="shared" si="7"/>
        <v>0</v>
      </c>
      <c r="F23" s="36"/>
      <c r="G23" s="37">
        <f t="shared" si="8"/>
        <v>58.97</v>
      </c>
      <c r="H23" s="38">
        <f t="shared" si="9"/>
        <v>58.97</v>
      </c>
      <c r="I23" s="39"/>
      <c r="J23" s="39"/>
      <c r="K23" s="39">
        <v>58.97</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t="str">
        <f t="shared" si="13"/>
        <v>-2层006</v>
      </c>
      <c r="AY23" s="42">
        <f t="shared" si="14"/>
        <v>0</v>
      </c>
      <c r="AZ23" s="35">
        <f t="shared" si="15"/>
        <v>58.97</v>
      </c>
      <c r="BA23" s="35">
        <f t="shared" si="16"/>
        <v>58.97</v>
      </c>
      <c r="BB23" s="35">
        <f t="shared" si="17"/>
        <v>0</v>
      </c>
      <c r="BC23" s="35">
        <f t="shared" si="18"/>
        <v>58.97</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5" t="s">
        <v>3127</v>
      </c>
      <c r="D24" s="2211" t="s">
        <v>3095</v>
      </c>
      <c r="E24" s="35">
        <f t="shared" si="7"/>
        <v>0</v>
      </c>
      <c r="F24" s="36"/>
      <c r="G24" s="37">
        <f t="shared" si="8"/>
        <v>58.97</v>
      </c>
      <c r="H24" s="38">
        <f t="shared" si="9"/>
        <v>58.97</v>
      </c>
      <c r="I24" s="39"/>
      <c r="J24" s="39"/>
      <c r="K24" s="39">
        <v>58.97</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t="str">
        <f t="shared" si="13"/>
        <v>-2层007</v>
      </c>
      <c r="AY24" s="42">
        <f t="shared" si="14"/>
        <v>0</v>
      </c>
      <c r="AZ24" s="35">
        <f t="shared" si="15"/>
        <v>58.97</v>
      </c>
      <c r="BA24" s="35">
        <f t="shared" si="16"/>
        <v>58.97</v>
      </c>
      <c r="BB24" s="35">
        <f t="shared" si="17"/>
        <v>0</v>
      </c>
      <c r="BC24" s="35">
        <f t="shared" si="18"/>
        <v>58.97</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5" t="s">
        <v>3128</v>
      </c>
      <c r="D25" s="2211" t="s">
        <v>3095</v>
      </c>
      <c r="E25" s="35">
        <f t="shared" si="7"/>
        <v>0</v>
      </c>
      <c r="F25" s="36"/>
      <c r="G25" s="37">
        <f t="shared" si="8"/>
        <v>58.97</v>
      </c>
      <c r="H25" s="38">
        <f t="shared" si="9"/>
        <v>58.97</v>
      </c>
      <c r="I25" s="39"/>
      <c r="J25" s="39"/>
      <c r="K25" s="39">
        <v>58.97</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t="str">
        <f t="shared" si="13"/>
        <v>-2层008</v>
      </c>
      <c r="AY25" s="42">
        <f t="shared" si="14"/>
        <v>0</v>
      </c>
      <c r="AZ25" s="35">
        <f t="shared" si="15"/>
        <v>58.97</v>
      </c>
      <c r="BA25" s="35">
        <f t="shared" si="16"/>
        <v>58.97</v>
      </c>
      <c r="BB25" s="35">
        <f t="shared" si="17"/>
        <v>0</v>
      </c>
      <c r="BC25" s="35">
        <f t="shared" si="18"/>
        <v>58.97</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5" t="s">
        <v>3129</v>
      </c>
      <c r="D26" s="2211" t="s">
        <v>3095</v>
      </c>
      <c r="E26" s="35">
        <f t="shared" si="7"/>
        <v>0</v>
      </c>
      <c r="F26" s="36"/>
      <c r="G26" s="37">
        <f t="shared" si="8"/>
        <v>58.97</v>
      </c>
      <c r="H26" s="38">
        <f t="shared" si="9"/>
        <v>58.97</v>
      </c>
      <c r="I26" s="39"/>
      <c r="J26" s="39"/>
      <c r="K26" s="39">
        <v>58.97</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t="str">
        <f t="shared" si="13"/>
        <v>-2层009</v>
      </c>
      <c r="AY26" s="42">
        <f t="shared" si="14"/>
        <v>0</v>
      </c>
      <c r="AZ26" s="35">
        <f t="shared" si="15"/>
        <v>58.97</v>
      </c>
      <c r="BA26" s="35">
        <f t="shared" si="16"/>
        <v>58.97</v>
      </c>
      <c r="BB26" s="35">
        <f t="shared" si="17"/>
        <v>0</v>
      </c>
      <c r="BC26" s="35">
        <f t="shared" si="18"/>
        <v>58.97</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5" t="s">
        <v>3130</v>
      </c>
      <c r="D27" s="2211" t="s">
        <v>3095</v>
      </c>
      <c r="E27" s="35">
        <f t="shared" si="7"/>
        <v>0</v>
      </c>
      <c r="F27" s="36"/>
      <c r="G27" s="37">
        <f t="shared" si="8"/>
        <v>58.97</v>
      </c>
      <c r="H27" s="38">
        <f t="shared" si="9"/>
        <v>58.97</v>
      </c>
      <c r="I27" s="39"/>
      <c r="J27" s="39"/>
      <c r="K27" s="39">
        <v>58.97</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t="str">
        <f t="shared" si="13"/>
        <v>-2层010</v>
      </c>
      <c r="AY27" s="42">
        <f t="shared" si="14"/>
        <v>0</v>
      </c>
      <c r="AZ27" s="35">
        <f t="shared" si="15"/>
        <v>58.97</v>
      </c>
      <c r="BA27" s="35">
        <f t="shared" si="16"/>
        <v>58.97</v>
      </c>
      <c r="BB27" s="35">
        <f t="shared" si="17"/>
        <v>0</v>
      </c>
      <c r="BC27" s="35">
        <f t="shared" si="18"/>
        <v>58.97</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5" t="s">
        <v>3131</v>
      </c>
      <c r="D28" s="2211" t="s">
        <v>3095</v>
      </c>
      <c r="E28" s="35">
        <f t="shared" si="7"/>
        <v>0</v>
      </c>
      <c r="F28" s="36"/>
      <c r="G28" s="37">
        <f t="shared" si="8"/>
        <v>58.97</v>
      </c>
      <c r="H28" s="38">
        <f t="shared" si="9"/>
        <v>58.97</v>
      </c>
      <c r="I28" s="39"/>
      <c r="J28" s="39"/>
      <c r="K28" s="39">
        <v>58.97</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t="str">
        <f t="shared" si="13"/>
        <v>-2层011</v>
      </c>
      <c r="AY28" s="42">
        <f t="shared" si="14"/>
        <v>0</v>
      </c>
      <c r="AZ28" s="35">
        <f t="shared" si="15"/>
        <v>58.97</v>
      </c>
      <c r="BA28" s="35">
        <f t="shared" si="16"/>
        <v>58.97</v>
      </c>
      <c r="BB28" s="35">
        <f t="shared" si="17"/>
        <v>0</v>
      </c>
      <c r="BC28" s="35">
        <f t="shared" si="18"/>
        <v>58.97</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5" t="s">
        <v>3132</v>
      </c>
      <c r="D29" s="2211" t="s">
        <v>3095</v>
      </c>
      <c r="E29" s="35">
        <f t="shared" si="7"/>
        <v>0</v>
      </c>
      <c r="F29" s="36"/>
      <c r="G29" s="37">
        <f t="shared" si="8"/>
        <v>58.97</v>
      </c>
      <c r="H29" s="38">
        <f t="shared" si="9"/>
        <v>58.97</v>
      </c>
      <c r="I29" s="39"/>
      <c r="J29" s="39"/>
      <c r="K29" s="39">
        <v>58.97</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t="str">
        <f t="shared" si="13"/>
        <v>-2层012</v>
      </c>
      <c r="AY29" s="42">
        <f t="shared" si="14"/>
        <v>0</v>
      </c>
      <c r="AZ29" s="35">
        <f t="shared" si="15"/>
        <v>58.97</v>
      </c>
      <c r="BA29" s="35">
        <f t="shared" si="16"/>
        <v>58.97</v>
      </c>
      <c r="BB29" s="35">
        <f t="shared" si="17"/>
        <v>0</v>
      </c>
      <c r="BC29" s="35">
        <f t="shared" si="18"/>
        <v>58.97</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5" t="s">
        <v>3133</v>
      </c>
      <c r="D30" s="2211" t="s">
        <v>3095</v>
      </c>
      <c r="E30" s="35">
        <f t="shared" si="7"/>
        <v>0</v>
      </c>
      <c r="F30" s="36"/>
      <c r="G30" s="37">
        <f t="shared" si="8"/>
        <v>58.97</v>
      </c>
      <c r="H30" s="38">
        <f t="shared" si="9"/>
        <v>58.97</v>
      </c>
      <c r="I30" s="39"/>
      <c r="J30" s="39"/>
      <c r="K30" s="39">
        <v>58.97</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t="str">
        <f t="shared" si="13"/>
        <v>-2层015</v>
      </c>
      <c r="AY30" s="42">
        <f t="shared" si="14"/>
        <v>0</v>
      </c>
      <c r="AZ30" s="35">
        <f t="shared" si="15"/>
        <v>58.97</v>
      </c>
      <c r="BA30" s="35">
        <f t="shared" si="16"/>
        <v>58.97</v>
      </c>
      <c r="BB30" s="35">
        <f t="shared" si="17"/>
        <v>0</v>
      </c>
      <c r="BC30" s="35">
        <f t="shared" si="18"/>
        <v>58.97</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8.5">
      <c r="A31" s="2965" t="s">
        <v>3147</v>
      </c>
      <c r="B31" s="2967">
        <f>ROUND(I5/B3*B32+K5/B3*B34+M5/B3*B33,2)</f>
        <v>0.17</v>
      </c>
      <c r="C31" s="2955" t="s">
        <v>3134</v>
      </c>
      <c r="D31" s="2211" t="s">
        <v>3095</v>
      </c>
      <c r="E31" s="35">
        <f t="shared" si="7"/>
        <v>0</v>
      </c>
      <c r="F31" s="36"/>
      <c r="G31" s="37">
        <f t="shared" si="8"/>
        <v>58.97</v>
      </c>
      <c r="H31" s="38">
        <f t="shared" si="9"/>
        <v>58.97</v>
      </c>
      <c r="I31" s="39"/>
      <c r="J31" s="39"/>
      <c r="K31" s="39">
        <v>58.97</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t="str">
        <f t="shared" si="11"/>
        <v>综合利润率</v>
      </c>
      <c r="AW31" s="1797">
        <f t="shared" si="12"/>
        <v>0.17</v>
      </c>
      <c r="AX31" s="1797" t="str">
        <f t="shared" si="13"/>
        <v>-2层016</v>
      </c>
      <c r="AY31" s="42">
        <f t="shared" si="14"/>
        <v>0</v>
      </c>
      <c r="AZ31" s="35">
        <f t="shared" si="15"/>
        <v>58.97</v>
      </c>
      <c r="BA31" s="35">
        <f t="shared" si="16"/>
        <v>58.97</v>
      </c>
      <c r="BB31" s="35">
        <f t="shared" si="17"/>
        <v>0</v>
      </c>
      <c r="BC31" s="35">
        <f t="shared" si="18"/>
        <v>58.97</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2965" t="s">
        <v>3148</v>
      </c>
      <c r="B32" s="2966">
        <v>0.2</v>
      </c>
      <c r="C32" s="2955" t="s">
        <v>3135</v>
      </c>
      <c r="D32" s="2211" t="s">
        <v>3095</v>
      </c>
      <c r="E32" s="35">
        <f t="shared" si="7"/>
        <v>0</v>
      </c>
      <c r="F32" s="36"/>
      <c r="G32" s="37">
        <f t="shared" si="8"/>
        <v>58.97</v>
      </c>
      <c r="H32" s="38">
        <f t="shared" si="9"/>
        <v>58.97</v>
      </c>
      <c r="I32" s="39"/>
      <c r="J32" s="39"/>
      <c r="K32" s="39">
        <v>58.97</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t="str">
        <f t="shared" si="11"/>
        <v>商业</v>
      </c>
      <c r="AW32" s="1797">
        <f t="shared" si="12"/>
        <v>0.2</v>
      </c>
      <c r="AX32" s="1797" t="str">
        <f t="shared" si="13"/>
        <v>-2层017</v>
      </c>
      <c r="AY32" s="42">
        <f t="shared" si="14"/>
        <v>0</v>
      </c>
      <c r="AZ32" s="35">
        <f t="shared" si="15"/>
        <v>58.97</v>
      </c>
      <c r="BA32" s="35">
        <f t="shared" si="16"/>
        <v>58.97</v>
      </c>
      <c r="BB32" s="35">
        <f t="shared" si="17"/>
        <v>0</v>
      </c>
      <c r="BC32" s="35">
        <f t="shared" si="18"/>
        <v>58.97</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2965" t="s">
        <v>3149</v>
      </c>
      <c r="B33" s="2966">
        <v>0.1</v>
      </c>
      <c r="C33" s="2955" t="s">
        <v>3136</v>
      </c>
      <c r="D33" s="2211" t="s">
        <v>3095</v>
      </c>
      <c r="E33" s="35">
        <f t="shared" si="7"/>
        <v>0</v>
      </c>
      <c r="F33" s="36"/>
      <c r="G33" s="37">
        <f t="shared" si="8"/>
        <v>58.97</v>
      </c>
      <c r="H33" s="38">
        <f t="shared" si="9"/>
        <v>58.97</v>
      </c>
      <c r="I33" s="39"/>
      <c r="J33" s="39"/>
      <c r="K33" s="39">
        <v>58.97</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t="str">
        <f t="shared" si="11"/>
        <v>库房</v>
      </c>
      <c r="AW33" s="1797">
        <f t="shared" si="12"/>
        <v>0.1</v>
      </c>
      <c r="AX33" s="1797" t="str">
        <f t="shared" si="13"/>
        <v>-2层018</v>
      </c>
      <c r="AY33" s="42">
        <f t="shared" si="14"/>
        <v>0</v>
      </c>
      <c r="AZ33" s="35">
        <f t="shared" si="15"/>
        <v>58.97</v>
      </c>
      <c r="BA33" s="35">
        <f t="shared" si="16"/>
        <v>58.97</v>
      </c>
      <c r="BB33" s="35">
        <f t="shared" si="17"/>
        <v>0</v>
      </c>
      <c r="BC33" s="35">
        <f t="shared" si="18"/>
        <v>58.97</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2965" t="s">
        <v>3150</v>
      </c>
      <c r="B34" s="2966">
        <v>0.1</v>
      </c>
      <c r="C34" s="2955" t="s">
        <v>3137</v>
      </c>
      <c r="D34" s="2211" t="s">
        <v>3095</v>
      </c>
      <c r="E34" s="35">
        <f t="shared" si="7"/>
        <v>0</v>
      </c>
      <c r="F34" s="36"/>
      <c r="G34" s="37">
        <f t="shared" si="8"/>
        <v>58.97</v>
      </c>
      <c r="H34" s="38">
        <f t="shared" si="9"/>
        <v>58.97</v>
      </c>
      <c r="I34" s="39"/>
      <c r="J34" s="39"/>
      <c r="K34" s="39">
        <v>58.97</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t="str">
        <f t="shared" si="11"/>
        <v>车库</v>
      </c>
      <c r="AW34" s="1797">
        <f t="shared" si="12"/>
        <v>0.1</v>
      </c>
      <c r="AX34" s="1797" t="str">
        <f t="shared" si="13"/>
        <v>-2层019</v>
      </c>
      <c r="AY34" s="42">
        <f t="shared" si="14"/>
        <v>0</v>
      </c>
      <c r="AZ34" s="35">
        <f t="shared" si="15"/>
        <v>58.97</v>
      </c>
      <c r="BA34" s="35">
        <f t="shared" si="16"/>
        <v>58.97</v>
      </c>
      <c r="BB34" s="35">
        <f t="shared" si="17"/>
        <v>0</v>
      </c>
      <c r="BC34" s="35">
        <f t="shared" si="18"/>
        <v>58.97</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5" t="s">
        <v>3138</v>
      </c>
      <c r="D35" s="2211" t="s">
        <v>3095</v>
      </c>
      <c r="E35" s="35">
        <f t="shared" si="7"/>
        <v>0</v>
      </c>
      <c r="F35" s="36"/>
      <c r="G35" s="37">
        <f t="shared" si="8"/>
        <v>58.97</v>
      </c>
      <c r="H35" s="38">
        <f t="shared" si="9"/>
        <v>58.97</v>
      </c>
      <c r="I35" s="39"/>
      <c r="J35" s="39"/>
      <c r="K35" s="39">
        <v>58.97</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t="str">
        <f t="shared" si="13"/>
        <v>-2层020</v>
      </c>
      <c r="AY35" s="42">
        <f t="shared" si="14"/>
        <v>0</v>
      </c>
      <c r="AZ35" s="35">
        <f t="shared" si="15"/>
        <v>58.97</v>
      </c>
      <c r="BA35" s="35">
        <f t="shared" si="16"/>
        <v>58.97</v>
      </c>
      <c r="BB35" s="35">
        <f t="shared" si="17"/>
        <v>0</v>
      </c>
      <c r="BC35" s="35">
        <f t="shared" si="18"/>
        <v>58.97</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5" t="s">
        <v>3139</v>
      </c>
      <c r="D36" s="2211" t="s">
        <v>3095</v>
      </c>
      <c r="E36" s="35">
        <f t="shared" si="7"/>
        <v>0</v>
      </c>
      <c r="F36" s="36"/>
      <c r="G36" s="37">
        <f t="shared" si="8"/>
        <v>58.97</v>
      </c>
      <c r="H36" s="38">
        <f t="shared" si="9"/>
        <v>58.97</v>
      </c>
      <c r="I36" s="39"/>
      <c r="J36" s="39"/>
      <c r="K36" s="39">
        <v>58.97</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t="str">
        <f t="shared" si="13"/>
        <v>-2层021</v>
      </c>
      <c r="AY36" s="42">
        <f t="shared" si="14"/>
        <v>0</v>
      </c>
      <c r="AZ36" s="35">
        <f t="shared" si="15"/>
        <v>58.97</v>
      </c>
      <c r="BA36" s="35">
        <f t="shared" si="16"/>
        <v>58.97</v>
      </c>
      <c r="BB36" s="35">
        <f t="shared" si="17"/>
        <v>0</v>
      </c>
      <c r="BC36" s="35">
        <f t="shared" si="18"/>
        <v>58.97</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5" t="s">
        <v>3140</v>
      </c>
      <c r="D37" s="2211" t="s">
        <v>3095</v>
      </c>
      <c r="E37" s="35">
        <f t="shared" si="7"/>
        <v>0</v>
      </c>
      <c r="F37" s="36"/>
      <c r="G37" s="37">
        <f t="shared" si="8"/>
        <v>58.97</v>
      </c>
      <c r="H37" s="38">
        <f t="shared" si="9"/>
        <v>58.97</v>
      </c>
      <c r="I37" s="39"/>
      <c r="J37" s="39"/>
      <c r="K37" s="39">
        <v>58.97</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t="str">
        <f t="shared" si="13"/>
        <v>-2层022</v>
      </c>
      <c r="AY37" s="42">
        <f t="shared" si="14"/>
        <v>0</v>
      </c>
      <c r="AZ37" s="35">
        <f t="shared" si="15"/>
        <v>58.97</v>
      </c>
      <c r="BA37" s="35">
        <f t="shared" si="16"/>
        <v>58.97</v>
      </c>
      <c r="BB37" s="35">
        <f t="shared" si="17"/>
        <v>0</v>
      </c>
      <c r="BC37" s="35">
        <f t="shared" si="18"/>
        <v>58.97</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5" t="s">
        <v>3141</v>
      </c>
      <c r="D38" s="2211" t="s">
        <v>3095</v>
      </c>
      <c r="E38" s="35">
        <f t="shared" si="7"/>
        <v>0</v>
      </c>
      <c r="F38" s="36"/>
      <c r="G38" s="37">
        <f t="shared" si="8"/>
        <v>58.97</v>
      </c>
      <c r="H38" s="38">
        <f t="shared" si="9"/>
        <v>58.97</v>
      </c>
      <c r="I38" s="39"/>
      <c r="J38" s="39"/>
      <c r="K38" s="39">
        <v>58.97</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t="str">
        <f t="shared" si="13"/>
        <v>-2层023</v>
      </c>
      <c r="AY38" s="42">
        <f t="shared" si="14"/>
        <v>0</v>
      </c>
      <c r="AZ38" s="35">
        <f t="shared" si="15"/>
        <v>58.97</v>
      </c>
      <c r="BA38" s="35">
        <f t="shared" si="16"/>
        <v>58.97</v>
      </c>
      <c r="BB38" s="35">
        <f t="shared" si="17"/>
        <v>0</v>
      </c>
      <c r="BC38" s="35">
        <f t="shared" si="18"/>
        <v>58.97</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5" t="s">
        <v>3142</v>
      </c>
      <c r="D39" s="2211" t="s">
        <v>3095</v>
      </c>
      <c r="E39" s="35">
        <f t="shared" si="7"/>
        <v>0</v>
      </c>
      <c r="F39" s="36"/>
      <c r="G39" s="37">
        <f t="shared" si="8"/>
        <v>58.97</v>
      </c>
      <c r="H39" s="38">
        <f t="shared" si="9"/>
        <v>58.97</v>
      </c>
      <c r="I39" s="39"/>
      <c r="J39" s="39"/>
      <c r="K39" s="39">
        <v>58.97</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t="str">
        <f t="shared" si="13"/>
        <v>-2层025</v>
      </c>
      <c r="AY39" s="42">
        <f t="shared" si="14"/>
        <v>0</v>
      </c>
      <c r="AZ39" s="35">
        <f t="shared" si="15"/>
        <v>58.97</v>
      </c>
      <c r="BA39" s="35">
        <f t="shared" si="16"/>
        <v>58.97</v>
      </c>
      <c r="BB39" s="35">
        <f t="shared" si="17"/>
        <v>0</v>
      </c>
      <c r="BC39" s="35">
        <f t="shared" si="18"/>
        <v>58.97</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5" t="s">
        <v>3143</v>
      </c>
      <c r="D40" s="2211" t="s">
        <v>3095</v>
      </c>
      <c r="E40" s="35">
        <f t="shared" si="7"/>
        <v>0</v>
      </c>
      <c r="F40" s="36"/>
      <c r="G40" s="37">
        <f t="shared" si="8"/>
        <v>58.97</v>
      </c>
      <c r="H40" s="38">
        <f t="shared" si="9"/>
        <v>58.97</v>
      </c>
      <c r="I40" s="39"/>
      <c r="J40" s="39"/>
      <c r="K40" s="39">
        <v>58.97</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t="str">
        <f t="shared" si="13"/>
        <v>-2层026</v>
      </c>
      <c r="AY40" s="42">
        <f t="shared" si="14"/>
        <v>0</v>
      </c>
      <c r="AZ40" s="35">
        <f t="shared" si="15"/>
        <v>58.97</v>
      </c>
      <c r="BA40" s="35">
        <f t="shared" si="16"/>
        <v>58.97</v>
      </c>
      <c r="BB40" s="35">
        <f t="shared" si="17"/>
        <v>0</v>
      </c>
      <c r="BC40" s="35">
        <f t="shared" si="18"/>
        <v>58.97</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5" t="s">
        <v>3144</v>
      </c>
      <c r="D41" s="2211" t="s">
        <v>3095</v>
      </c>
      <c r="E41" s="35">
        <f t="shared" si="7"/>
        <v>0</v>
      </c>
      <c r="F41" s="36"/>
      <c r="G41" s="37">
        <f t="shared" si="8"/>
        <v>58.97</v>
      </c>
      <c r="H41" s="38">
        <f t="shared" si="9"/>
        <v>58.97</v>
      </c>
      <c r="I41" s="39"/>
      <c r="J41" s="39"/>
      <c r="K41" s="39">
        <v>58.97</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t="str">
        <f t="shared" si="13"/>
        <v>-2层027</v>
      </c>
      <c r="AY41" s="42">
        <f t="shared" si="14"/>
        <v>0</v>
      </c>
      <c r="AZ41" s="35">
        <f t="shared" si="15"/>
        <v>58.97</v>
      </c>
      <c r="BA41" s="35">
        <f t="shared" si="16"/>
        <v>58.97</v>
      </c>
      <c r="BB41" s="35">
        <f t="shared" si="17"/>
        <v>0</v>
      </c>
      <c r="BC41" s="35">
        <f t="shared" si="18"/>
        <v>58.97</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5" t="s">
        <v>3145</v>
      </c>
      <c r="D42" s="2211" t="s">
        <v>3095</v>
      </c>
      <c r="E42" s="35">
        <f t="shared" si="7"/>
        <v>0</v>
      </c>
      <c r="F42" s="36"/>
      <c r="G42" s="37">
        <f t="shared" si="8"/>
        <v>58.97</v>
      </c>
      <c r="H42" s="38">
        <f t="shared" si="9"/>
        <v>58.97</v>
      </c>
      <c r="I42" s="39"/>
      <c r="J42" s="39"/>
      <c r="K42" s="39">
        <v>58.97</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t="str">
        <f t="shared" si="13"/>
        <v>-2层028</v>
      </c>
      <c r="AY42" s="42">
        <f t="shared" si="14"/>
        <v>0</v>
      </c>
      <c r="AZ42" s="35">
        <f t="shared" si="15"/>
        <v>58.97</v>
      </c>
      <c r="BA42" s="35">
        <f t="shared" si="16"/>
        <v>58.97</v>
      </c>
      <c r="BB42" s="35">
        <f t="shared" si="17"/>
        <v>0</v>
      </c>
      <c r="BC42" s="35">
        <f t="shared" si="18"/>
        <v>58.97</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5" t="s">
        <v>3146</v>
      </c>
      <c r="D43" s="2211" t="s">
        <v>3095</v>
      </c>
      <c r="E43" s="35">
        <f t="shared" si="7"/>
        <v>0</v>
      </c>
      <c r="F43" s="36"/>
      <c r="G43" s="37">
        <f t="shared" si="8"/>
        <v>58.97</v>
      </c>
      <c r="H43" s="38">
        <f t="shared" si="9"/>
        <v>58.97</v>
      </c>
      <c r="I43" s="39"/>
      <c r="J43" s="39"/>
      <c r="K43" s="39">
        <v>58.97</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t="str">
        <f t="shared" si="13"/>
        <v>-2层029</v>
      </c>
      <c r="AY43" s="42">
        <f t="shared" si="14"/>
        <v>0</v>
      </c>
      <c r="AZ43" s="35">
        <f t="shared" si="15"/>
        <v>58.97</v>
      </c>
      <c r="BA43" s="35">
        <f t="shared" si="16"/>
        <v>58.97</v>
      </c>
      <c r="BB43" s="35">
        <f t="shared" si="17"/>
        <v>0</v>
      </c>
      <c r="BC43" s="35">
        <f t="shared" si="18"/>
        <v>58.97</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5" t="s">
        <v>3068</v>
      </c>
      <c r="D44" s="2211" t="s">
        <v>3095</v>
      </c>
      <c r="E44" s="35">
        <f t="shared" si="7"/>
        <v>0</v>
      </c>
      <c r="F44" s="36"/>
      <c r="G44" s="37">
        <f t="shared" si="8"/>
        <v>58.97</v>
      </c>
      <c r="H44" s="38">
        <f t="shared" si="9"/>
        <v>58.97</v>
      </c>
      <c r="I44" s="39"/>
      <c r="J44" s="39"/>
      <c r="K44" s="39">
        <v>58.97</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t="str">
        <f t="shared" si="13"/>
        <v>-2-030</v>
      </c>
      <c r="AY44" s="42">
        <f t="shared" si="14"/>
        <v>0</v>
      </c>
      <c r="AZ44" s="35">
        <f t="shared" si="15"/>
        <v>58.97</v>
      </c>
      <c r="BA44" s="35">
        <f t="shared" si="16"/>
        <v>58.97</v>
      </c>
      <c r="BB44" s="35">
        <f t="shared" si="17"/>
        <v>0</v>
      </c>
      <c r="BC44" s="35">
        <f t="shared" si="18"/>
        <v>58.97</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5" t="s">
        <v>3069</v>
      </c>
      <c r="D45" s="2211" t="s">
        <v>3095</v>
      </c>
      <c r="E45" s="35">
        <f t="shared" si="7"/>
        <v>0</v>
      </c>
      <c r="F45" s="36"/>
      <c r="G45" s="37">
        <f t="shared" si="8"/>
        <v>58.97</v>
      </c>
      <c r="H45" s="38">
        <f t="shared" si="9"/>
        <v>58.97</v>
      </c>
      <c r="I45" s="39"/>
      <c r="J45" s="39"/>
      <c r="K45" s="39">
        <v>58.97</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t="str">
        <f t="shared" si="13"/>
        <v>-2-031</v>
      </c>
      <c r="AY45" s="42">
        <f t="shared" si="14"/>
        <v>0</v>
      </c>
      <c r="AZ45" s="35">
        <f t="shared" si="15"/>
        <v>58.97</v>
      </c>
      <c r="BA45" s="35">
        <f t="shared" si="16"/>
        <v>58.97</v>
      </c>
      <c r="BB45" s="35">
        <f t="shared" si="17"/>
        <v>0</v>
      </c>
      <c r="BC45" s="35">
        <f t="shared" si="18"/>
        <v>58.97</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5" t="s">
        <v>3070</v>
      </c>
      <c r="D46" s="2211" t="s">
        <v>3095</v>
      </c>
      <c r="E46" s="35">
        <f t="shared" si="7"/>
        <v>0</v>
      </c>
      <c r="F46" s="36"/>
      <c r="G46" s="37">
        <f t="shared" si="8"/>
        <v>58.97</v>
      </c>
      <c r="H46" s="38">
        <f t="shared" si="9"/>
        <v>58.97</v>
      </c>
      <c r="I46" s="10"/>
      <c r="J46" s="10"/>
      <c r="K46" s="39">
        <v>58.97</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t="str">
        <f t="shared" si="13"/>
        <v>-2-032</v>
      </c>
      <c r="AY46" s="42">
        <f t="shared" si="14"/>
        <v>0</v>
      </c>
      <c r="AZ46" s="35">
        <f t="shared" si="15"/>
        <v>58.97</v>
      </c>
      <c r="BA46" s="35">
        <f t="shared" si="16"/>
        <v>58.97</v>
      </c>
      <c r="BB46" s="35">
        <f t="shared" si="17"/>
        <v>0</v>
      </c>
      <c r="BC46" s="35">
        <f t="shared" si="18"/>
        <v>58.97</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5" t="s">
        <v>3071</v>
      </c>
      <c r="D47" s="2211" t="s">
        <v>3095</v>
      </c>
      <c r="E47" s="35">
        <f t="shared" si="7"/>
        <v>0</v>
      </c>
      <c r="F47" s="36"/>
      <c r="G47" s="37">
        <f t="shared" si="8"/>
        <v>58.97</v>
      </c>
      <c r="H47" s="38">
        <f t="shared" si="9"/>
        <v>58.97</v>
      </c>
      <c r="I47" s="39"/>
      <c r="J47" s="39"/>
      <c r="K47" s="39">
        <v>58.97</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t="str">
        <f t="shared" si="13"/>
        <v>-2-033</v>
      </c>
      <c r="AY47" s="42">
        <f t="shared" si="14"/>
        <v>0</v>
      </c>
      <c r="AZ47" s="35">
        <f t="shared" si="15"/>
        <v>58.97</v>
      </c>
      <c r="BA47" s="35">
        <f t="shared" si="16"/>
        <v>58.97</v>
      </c>
      <c r="BB47" s="35">
        <f t="shared" si="17"/>
        <v>0</v>
      </c>
      <c r="BC47" s="35">
        <f t="shared" si="18"/>
        <v>58.97</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5" t="s">
        <v>3072</v>
      </c>
      <c r="D48" s="2211" t="s">
        <v>3095</v>
      </c>
      <c r="E48" s="35">
        <f t="shared" si="7"/>
        <v>0</v>
      </c>
      <c r="F48" s="36"/>
      <c r="G48" s="37">
        <f t="shared" si="8"/>
        <v>58.97</v>
      </c>
      <c r="H48" s="38">
        <f t="shared" si="9"/>
        <v>58.97</v>
      </c>
      <c r="I48" s="39"/>
      <c r="J48" s="39"/>
      <c r="K48" s="39">
        <v>58.97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t="str">
        <f t="shared" si="13"/>
        <v>-2-035</v>
      </c>
      <c r="AY48" s="42">
        <f t="shared" si="14"/>
        <v>0</v>
      </c>
      <c r="AZ48" s="35">
        <f t="shared" si="15"/>
        <v>58.97</v>
      </c>
      <c r="BA48" s="35">
        <f t="shared" si="16"/>
        <v>58.97</v>
      </c>
      <c r="BB48" s="35">
        <f t="shared" si="17"/>
        <v>0</v>
      </c>
      <c r="BC48" s="35">
        <f t="shared" si="18"/>
        <v>58.97</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5" t="s">
        <v>3073</v>
      </c>
      <c r="D49" s="2211" t="s">
        <v>3095</v>
      </c>
      <c r="E49" s="35">
        <f t="shared" si="7"/>
        <v>0</v>
      </c>
      <c r="F49" s="36"/>
      <c r="G49" s="37">
        <f t="shared" si="8"/>
        <v>58.97</v>
      </c>
      <c r="H49" s="38">
        <f t="shared" si="9"/>
        <v>58.97</v>
      </c>
      <c r="I49" s="39"/>
      <c r="J49" s="39"/>
      <c r="K49" s="39">
        <v>58.97</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t="str">
        <f t="shared" si="13"/>
        <v>-2-036</v>
      </c>
      <c r="AY49" s="42">
        <f t="shared" si="14"/>
        <v>0</v>
      </c>
      <c r="AZ49" s="35">
        <f t="shared" si="15"/>
        <v>58.97</v>
      </c>
      <c r="BA49" s="35">
        <f t="shared" si="16"/>
        <v>58.97</v>
      </c>
      <c r="BB49" s="35">
        <f t="shared" si="17"/>
        <v>0</v>
      </c>
      <c r="BC49" s="35">
        <f t="shared" si="18"/>
        <v>58.97</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5" t="s">
        <v>3074</v>
      </c>
      <c r="D50" s="2211" t="s">
        <v>3095</v>
      </c>
      <c r="E50" s="35">
        <f t="shared" si="7"/>
        <v>0</v>
      </c>
      <c r="F50" s="36"/>
      <c r="G50" s="37">
        <f t="shared" si="8"/>
        <v>58.97</v>
      </c>
      <c r="H50" s="38">
        <f t="shared" si="9"/>
        <v>58.97</v>
      </c>
      <c r="I50" s="39"/>
      <c r="J50" s="39"/>
      <c r="K50" s="39">
        <v>58.97</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t="str">
        <f t="shared" si="13"/>
        <v>-2-037</v>
      </c>
      <c r="AY50" s="42">
        <f t="shared" si="14"/>
        <v>0</v>
      </c>
      <c r="AZ50" s="35">
        <f t="shared" si="15"/>
        <v>58.97</v>
      </c>
      <c r="BA50" s="35">
        <f t="shared" si="16"/>
        <v>58.97</v>
      </c>
      <c r="BB50" s="35">
        <f t="shared" si="17"/>
        <v>0</v>
      </c>
      <c r="BC50" s="35">
        <f t="shared" si="18"/>
        <v>58.97</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5" t="s">
        <v>3075</v>
      </c>
      <c r="D51" s="2211" t="s">
        <v>3095</v>
      </c>
      <c r="E51" s="35">
        <f t="shared" si="7"/>
        <v>0</v>
      </c>
      <c r="F51" s="36"/>
      <c r="G51" s="37">
        <f t="shared" si="8"/>
        <v>58.97</v>
      </c>
      <c r="H51" s="38">
        <f t="shared" si="9"/>
        <v>58.97</v>
      </c>
      <c r="I51" s="39"/>
      <c r="J51" s="39"/>
      <c r="K51" s="39">
        <v>58.97</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t="str">
        <f t="shared" si="13"/>
        <v>-2-038</v>
      </c>
      <c r="AY51" s="42">
        <f t="shared" si="14"/>
        <v>0</v>
      </c>
      <c r="AZ51" s="35">
        <f t="shared" si="15"/>
        <v>58.97</v>
      </c>
      <c r="BA51" s="35">
        <f t="shared" si="16"/>
        <v>58.97</v>
      </c>
      <c r="BB51" s="35">
        <f t="shared" si="17"/>
        <v>0</v>
      </c>
      <c r="BC51" s="35">
        <f t="shared" si="18"/>
        <v>58.97</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5" t="s">
        <v>3076</v>
      </c>
      <c r="D52" s="2211" t="s">
        <v>3095</v>
      </c>
      <c r="E52" s="35">
        <f t="shared" si="7"/>
        <v>0</v>
      </c>
      <c r="F52" s="36"/>
      <c r="G52" s="37">
        <f t="shared" si="8"/>
        <v>58.97</v>
      </c>
      <c r="H52" s="38">
        <f t="shared" si="9"/>
        <v>58.97</v>
      </c>
      <c r="I52" s="39"/>
      <c r="J52" s="39"/>
      <c r="K52" s="39">
        <v>58.97</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t="str">
        <f t="shared" si="13"/>
        <v>-2-039</v>
      </c>
      <c r="AY52" s="42">
        <f t="shared" si="14"/>
        <v>0</v>
      </c>
      <c r="AZ52" s="35">
        <f t="shared" si="15"/>
        <v>58.97</v>
      </c>
      <c r="BA52" s="35">
        <f t="shared" si="16"/>
        <v>58.97</v>
      </c>
      <c r="BB52" s="35">
        <f t="shared" si="17"/>
        <v>0</v>
      </c>
      <c r="BC52" s="35">
        <f t="shared" si="18"/>
        <v>58.97</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5" t="s">
        <v>3077</v>
      </c>
      <c r="D53" s="2211" t="s">
        <v>3095</v>
      </c>
      <c r="E53" s="35">
        <f t="shared" si="7"/>
        <v>0</v>
      </c>
      <c r="F53" s="36"/>
      <c r="G53" s="37">
        <f t="shared" si="8"/>
        <v>58.97</v>
      </c>
      <c r="H53" s="38">
        <f t="shared" si="9"/>
        <v>58.97</v>
      </c>
      <c r="I53" s="39"/>
      <c r="J53" s="39"/>
      <c r="K53" s="39">
        <v>58.97</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t="str">
        <f t="shared" si="13"/>
        <v>-2-050</v>
      </c>
      <c r="AY53" s="42">
        <f t="shared" si="14"/>
        <v>0</v>
      </c>
      <c r="AZ53" s="35">
        <f t="shared" si="15"/>
        <v>58.97</v>
      </c>
      <c r="BA53" s="35">
        <f t="shared" si="16"/>
        <v>58.97</v>
      </c>
      <c r="BB53" s="35">
        <f t="shared" si="17"/>
        <v>0</v>
      </c>
      <c r="BC53" s="35">
        <f t="shared" si="18"/>
        <v>58.97</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5" t="s">
        <v>3078</v>
      </c>
      <c r="D54" s="2211" t="s">
        <v>3095</v>
      </c>
      <c r="E54" s="35">
        <f t="shared" si="7"/>
        <v>0</v>
      </c>
      <c r="F54" s="36"/>
      <c r="G54" s="37">
        <f t="shared" si="8"/>
        <v>58.97</v>
      </c>
      <c r="H54" s="38">
        <f t="shared" si="9"/>
        <v>58.97</v>
      </c>
      <c r="I54" s="39"/>
      <c r="J54" s="39"/>
      <c r="K54" s="39">
        <v>58.97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t="str">
        <f t="shared" si="13"/>
        <v>-2-051</v>
      </c>
      <c r="AY54" s="42">
        <f t="shared" si="14"/>
        <v>0</v>
      </c>
      <c r="AZ54" s="35">
        <f t="shared" si="15"/>
        <v>58.97</v>
      </c>
      <c r="BA54" s="35">
        <f t="shared" si="16"/>
        <v>58.97</v>
      </c>
      <c r="BB54" s="35">
        <f t="shared" si="17"/>
        <v>0</v>
      </c>
      <c r="BC54" s="35">
        <f t="shared" si="18"/>
        <v>58.97</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5" t="s">
        <v>3079</v>
      </c>
      <c r="D55" s="2211" t="s">
        <v>3095</v>
      </c>
      <c r="E55" s="35">
        <f t="shared" si="7"/>
        <v>0</v>
      </c>
      <c r="F55" s="36"/>
      <c r="G55" s="37">
        <f t="shared" si="8"/>
        <v>58.97</v>
      </c>
      <c r="H55" s="38">
        <f t="shared" si="9"/>
        <v>58.97</v>
      </c>
      <c r="I55" s="39"/>
      <c r="J55" s="39"/>
      <c r="K55" s="39">
        <v>58.97</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t="str">
        <f t="shared" si="13"/>
        <v>-2-052</v>
      </c>
      <c r="AY55" s="42">
        <f t="shared" si="14"/>
        <v>0</v>
      </c>
      <c r="AZ55" s="35">
        <f t="shared" si="15"/>
        <v>58.97</v>
      </c>
      <c r="BA55" s="35">
        <f t="shared" si="16"/>
        <v>58.97</v>
      </c>
      <c r="BB55" s="35">
        <f t="shared" si="17"/>
        <v>0</v>
      </c>
      <c r="BC55" s="35">
        <f t="shared" si="18"/>
        <v>58.97</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5" t="s">
        <v>3080</v>
      </c>
      <c r="D56" s="2211" t="s">
        <v>3095</v>
      </c>
      <c r="E56" s="35">
        <f t="shared" si="7"/>
        <v>0</v>
      </c>
      <c r="F56" s="36"/>
      <c r="G56" s="37">
        <f t="shared" si="8"/>
        <v>58.97</v>
      </c>
      <c r="H56" s="38">
        <f t="shared" si="9"/>
        <v>58.97</v>
      </c>
      <c r="I56" s="39"/>
      <c r="J56" s="39"/>
      <c r="K56" s="39">
        <v>58.97</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t="str">
        <f t="shared" si="13"/>
        <v>-2-053</v>
      </c>
      <c r="AY56" s="42">
        <f t="shared" si="14"/>
        <v>0</v>
      </c>
      <c r="AZ56" s="35">
        <f t="shared" si="15"/>
        <v>58.97</v>
      </c>
      <c r="BA56" s="35">
        <f t="shared" si="16"/>
        <v>58.97</v>
      </c>
      <c r="BB56" s="35">
        <f t="shared" si="17"/>
        <v>0</v>
      </c>
      <c r="BC56" s="35">
        <f t="shared" si="18"/>
        <v>58.97</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5" t="s">
        <v>3081</v>
      </c>
      <c r="D57" s="2211" t="s">
        <v>3095</v>
      </c>
      <c r="E57" s="35">
        <f t="shared" si="7"/>
        <v>0</v>
      </c>
      <c r="F57" s="36"/>
      <c r="G57" s="37">
        <f t="shared" si="8"/>
        <v>58.97</v>
      </c>
      <c r="H57" s="38">
        <f t="shared" si="9"/>
        <v>58.97</v>
      </c>
      <c r="I57" s="39"/>
      <c r="J57" s="39"/>
      <c r="K57" s="39">
        <v>58.97</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t="str">
        <f t="shared" si="13"/>
        <v>-2-055</v>
      </c>
      <c r="AY57" s="42">
        <f t="shared" si="14"/>
        <v>0</v>
      </c>
      <c r="AZ57" s="35">
        <f t="shared" si="15"/>
        <v>58.97</v>
      </c>
      <c r="BA57" s="35">
        <f t="shared" si="16"/>
        <v>58.97</v>
      </c>
      <c r="BB57" s="35">
        <f t="shared" si="17"/>
        <v>0</v>
      </c>
      <c r="BC57" s="35">
        <f t="shared" si="18"/>
        <v>58.97</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5" t="s">
        <v>3082</v>
      </c>
      <c r="D58" s="2211" t="s">
        <v>3095</v>
      </c>
      <c r="E58" s="35">
        <f t="shared" si="7"/>
        <v>0</v>
      </c>
      <c r="F58" s="36"/>
      <c r="G58" s="37">
        <f t="shared" si="8"/>
        <v>58.97</v>
      </c>
      <c r="H58" s="38">
        <f t="shared" si="9"/>
        <v>58.97</v>
      </c>
      <c r="I58" s="39"/>
      <c r="J58" s="39"/>
      <c r="K58" s="39">
        <v>58.97</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t="str">
        <f t="shared" si="13"/>
        <v>-2-056</v>
      </c>
      <c r="AY58" s="42">
        <f t="shared" si="14"/>
        <v>0</v>
      </c>
      <c r="AZ58" s="35">
        <f t="shared" si="15"/>
        <v>58.97</v>
      </c>
      <c r="BA58" s="35">
        <f t="shared" si="16"/>
        <v>58.97</v>
      </c>
      <c r="BB58" s="35">
        <f t="shared" si="17"/>
        <v>0</v>
      </c>
      <c r="BC58" s="35">
        <f>IF($D58="是",K51-L58,0)</f>
        <v>58.97</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5" t="s">
        <v>3083</v>
      </c>
      <c r="D59" s="2211" t="s">
        <v>3095</v>
      </c>
      <c r="E59" s="35">
        <f t="shared" si="7"/>
        <v>0</v>
      </c>
      <c r="F59" s="36"/>
      <c r="G59" s="37">
        <f t="shared" si="8"/>
        <v>58.97</v>
      </c>
      <c r="H59" s="38">
        <f t="shared" si="9"/>
        <v>58.97</v>
      </c>
      <c r="I59" s="39"/>
      <c r="J59" s="39"/>
      <c r="K59" s="39">
        <v>58.97</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t="str">
        <f t="shared" si="13"/>
        <v>-2-057</v>
      </c>
      <c r="AY59" s="42">
        <f t="shared" si="14"/>
        <v>0</v>
      </c>
      <c r="AZ59" s="35">
        <f t="shared" si="15"/>
        <v>58.97</v>
      </c>
      <c r="BA59" s="35">
        <f t="shared" si="16"/>
        <v>58.97</v>
      </c>
      <c r="BB59" s="35">
        <f t="shared" si="17"/>
        <v>0</v>
      </c>
      <c r="BC59" s="35">
        <f t="shared" si="18"/>
        <v>58.97</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5" t="s">
        <v>3084</v>
      </c>
      <c r="D60" s="2211" t="s">
        <v>3095</v>
      </c>
      <c r="E60" s="35">
        <f t="shared" si="7"/>
        <v>0</v>
      </c>
      <c r="F60" s="36"/>
      <c r="G60" s="37">
        <f t="shared" si="8"/>
        <v>58.97</v>
      </c>
      <c r="H60" s="38">
        <f t="shared" si="9"/>
        <v>58.97</v>
      </c>
      <c r="I60" s="39"/>
      <c r="J60" s="39"/>
      <c r="K60" s="39">
        <v>58.97</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t="str">
        <f t="shared" si="13"/>
        <v>-2-058</v>
      </c>
      <c r="AY60" s="42">
        <f t="shared" si="14"/>
        <v>0</v>
      </c>
      <c r="AZ60" s="35">
        <f t="shared" si="15"/>
        <v>58.97</v>
      </c>
      <c r="BA60" s="35">
        <f t="shared" si="16"/>
        <v>58.97</v>
      </c>
      <c r="BB60" s="35">
        <f t="shared" si="17"/>
        <v>0</v>
      </c>
      <c r="BC60" s="35">
        <f t="shared" si="18"/>
        <v>58.97</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5" t="s">
        <v>3085</v>
      </c>
      <c r="D61" s="2211" t="s">
        <v>3095</v>
      </c>
      <c r="E61" s="35">
        <f t="shared" si="7"/>
        <v>0</v>
      </c>
      <c r="F61" s="36"/>
      <c r="G61" s="37">
        <f t="shared" si="8"/>
        <v>58.97</v>
      </c>
      <c r="H61" s="38">
        <f t="shared" si="9"/>
        <v>58.97</v>
      </c>
      <c r="I61" s="39"/>
      <c r="J61" s="39"/>
      <c r="K61" s="39">
        <v>58.97</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t="str">
        <f t="shared" si="13"/>
        <v>-2-059</v>
      </c>
      <c r="AY61" s="42">
        <f t="shared" si="14"/>
        <v>0</v>
      </c>
      <c r="AZ61" s="35">
        <f t="shared" si="15"/>
        <v>58.97</v>
      </c>
      <c r="BA61" s="35">
        <f t="shared" si="16"/>
        <v>58.97</v>
      </c>
      <c r="BB61" s="35">
        <f t="shared" si="17"/>
        <v>0</v>
      </c>
      <c r="BC61" s="35">
        <f t="shared" si="18"/>
        <v>58.97</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5" t="s">
        <v>3086</v>
      </c>
      <c r="D62" s="2211" t="s">
        <v>3095</v>
      </c>
      <c r="E62" s="35">
        <f t="shared" si="7"/>
        <v>0</v>
      </c>
      <c r="F62" s="36"/>
      <c r="G62" s="37">
        <f t="shared" si="8"/>
        <v>58.97</v>
      </c>
      <c r="H62" s="38">
        <f t="shared" si="9"/>
        <v>58.97</v>
      </c>
      <c r="I62" s="39"/>
      <c r="J62" s="39"/>
      <c r="K62" s="39">
        <v>58.97</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t="str">
        <f t="shared" si="13"/>
        <v>-2-060</v>
      </c>
      <c r="AY62" s="42">
        <f t="shared" si="14"/>
        <v>0</v>
      </c>
      <c r="AZ62" s="35">
        <f t="shared" si="15"/>
        <v>58.97</v>
      </c>
      <c r="BA62" s="35">
        <f t="shared" si="16"/>
        <v>58.97</v>
      </c>
      <c r="BB62" s="35">
        <f t="shared" si="17"/>
        <v>0</v>
      </c>
      <c r="BC62" s="35">
        <f t="shared" si="18"/>
        <v>58.97</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5" t="s">
        <v>3087</v>
      </c>
      <c r="D63" s="2211" t="s">
        <v>3095</v>
      </c>
      <c r="E63" s="35">
        <f t="shared" si="7"/>
        <v>0</v>
      </c>
      <c r="F63" s="36"/>
      <c r="G63" s="37">
        <f t="shared" si="8"/>
        <v>58.97</v>
      </c>
      <c r="H63" s="38">
        <f t="shared" si="9"/>
        <v>58.97</v>
      </c>
      <c r="I63" s="39"/>
      <c r="J63" s="39"/>
      <c r="K63" s="39">
        <v>58.97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t="str">
        <f t="shared" si="13"/>
        <v>-2-061</v>
      </c>
      <c r="AY63" s="42">
        <f t="shared" si="14"/>
        <v>0</v>
      </c>
      <c r="AZ63" s="35">
        <f t="shared" si="15"/>
        <v>58.97</v>
      </c>
      <c r="BA63" s="35">
        <f t="shared" si="16"/>
        <v>58.97</v>
      </c>
      <c r="BB63" s="35">
        <f t="shared" si="17"/>
        <v>0</v>
      </c>
      <c r="BC63" s="35">
        <f t="shared" si="18"/>
        <v>58.97</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5" t="s">
        <v>3088</v>
      </c>
      <c r="D64" s="2211" t="s">
        <v>3095</v>
      </c>
      <c r="E64" s="35">
        <f t="shared" si="7"/>
        <v>0</v>
      </c>
      <c r="F64" s="36"/>
      <c r="G64" s="37">
        <f t="shared" si="8"/>
        <v>2731.93</v>
      </c>
      <c r="H64" s="38">
        <f t="shared" si="9"/>
        <v>2731.93</v>
      </c>
      <c r="I64" s="39"/>
      <c r="J64" s="39"/>
      <c r="K64" s="39"/>
      <c r="L64" s="39"/>
      <c r="M64" s="39">
        <v>2731.93</v>
      </c>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t="str">
        <f t="shared" si="13"/>
        <v>-1-101</v>
      </c>
      <c r="AY64" s="42">
        <f t="shared" si="14"/>
        <v>0</v>
      </c>
      <c r="AZ64" s="35">
        <f t="shared" si="15"/>
        <v>2731.93</v>
      </c>
      <c r="BA64" s="35">
        <f t="shared" si="16"/>
        <v>2731.93</v>
      </c>
      <c r="BB64" s="35">
        <f t="shared" si="17"/>
        <v>0</v>
      </c>
      <c r="BC64" s="35">
        <f t="shared" si="18"/>
        <v>0</v>
      </c>
      <c r="BD64" s="35">
        <f t="shared" si="19"/>
        <v>2731.93</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5" t="s">
        <v>3065</v>
      </c>
      <c r="D65" s="2211" t="s">
        <v>3095</v>
      </c>
      <c r="E65" s="35">
        <f t="shared" si="7"/>
        <v>0</v>
      </c>
      <c r="F65" s="36"/>
      <c r="G65" s="37">
        <f t="shared" si="8"/>
        <v>3523.08</v>
      </c>
      <c r="H65" s="38">
        <f t="shared" si="9"/>
        <v>3523.08</v>
      </c>
      <c r="I65" s="39">
        <v>3523.08</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t="str">
        <f t="shared" si="13"/>
        <v>1-101</v>
      </c>
      <c r="AY65" s="42">
        <f t="shared" si="14"/>
        <v>0</v>
      </c>
      <c r="AZ65" s="35">
        <f t="shared" si="15"/>
        <v>3523.08</v>
      </c>
      <c r="BA65" s="35">
        <f t="shared" si="16"/>
        <v>3523.08</v>
      </c>
      <c r="BB65" s="35">
        <f t="shared" si="17"/>
        <v>3523.08</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5" t="s">
        <v>3066</v>
      </c>
      <c r="D66" s="2211" t="s">
        <v>3095</v>
      </c>
      <c r="E66" s="35">
        <f t="shared" si="7"/>
        <v>0</v>
      </c>
      <c r="F66" s="36"/>
      <c r="G66" s="37">
        <f t="shared" si="8"/>
        <v>3761.51</v>
      </c>
      <c r="H66" s="38">
        <f t="shared" si="9"/>
        <v>3761.51</v>
      </c>
      <c r="I66" s="39">
        <v>3761.51</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t="str">
        <f t="shared" si="13"/>
        <v>2-201</v>
      </c>
      <c r="AY66" s="42">
        <f t="shared" si="14"/>
        <v>0</v>
      </c>
      <c r="AZ66" s="35">
        <f t="shared" si="15"/>
        <v>3761.51</v>
      </c>
      <c r="BA66" s="35">
        <f t="shared" si="16"/>
        <v>3761.51</v>
      </c>
      <c r="BB66" s="35">
        <f t="shared" si="17"/>
        <v>3761.51</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5" t="s">
        <v>3067</v>
      </c>
      <c r="D67" s="2211" t="s">
        <v>3095</v>
      </c>
      <c r="E67" s="35">
        <f t="shared" si="7"/>
        <v>0</v>
      </c>
      <c r="F67" s="36"/>
      <c r="G67" s="37">
        <f t="shared" si="8"/>
        <v>3761.51</v>
      </c>
      <c r="H67" s="38">
        <f t="shared" si="9"/>
        <v>3761.51</v>
      </c>
      <c r="I67" s="39">
        <v>3761.51</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t="str">
        <f t="shared" si="13"/>
        <v>3-301</v>
      </c>
      <c r="AY67" s="42">
        <f t="shared" si="14"/>
        <v>0</v>
      </c>
      <c r="AZ67" s="35">
        <f t="shared" si="15"/>
        <v>3761.51</v>
      </c>
      <c r="BA67" s="35">
        <f t="shared" si="16"/>
        <v>3761.51</v>
      </c>
      <c r="BB67" s="35">
        <f t="shared" si="17"/>
        <v>3761.51</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5"/>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5"/>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5"/>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5"/>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5"/>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5"/>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5"/>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5"/>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5"/>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5"/>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5"/>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5"/>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5"/>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5"/>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5"/>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5"/>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5"/>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5"/>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5"/>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5"/>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5"/>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5"/>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5"/>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5"/>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5"/>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5"/>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5"/>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5"/>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5"/>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5"/>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5"/>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5"/>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5"/>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5"/>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5"/>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5"/>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5"/>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5"/>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5"/>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5"/>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5"/>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5"/>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55"/>
      <c r="D110" s="2216"/>
      <c r="E110" s="35">
        <f t="shared" si="7"/>
        <v>0</v>
      </c>
      <c r="F110" s="44"/>
      <c r="G110" s="37">
        <f t="shared" ref="G110:G141" si="36">H110+AC110+AT110</f>
        <v>0</v>
      </c>
      <c r="H110" s="38">
        <f t="shared" ref="H110:H141" si="37">SUMIF(I$12:AB$12,"总值",I110:AB110)</f>
        <v>0</v>
      </c>
      <c r="I110" s="39"/>
      <c r="J110" s="39"/>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55"/>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55"/>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5"/>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5"/>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5"/>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5"/>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5"/>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5"/>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5"/>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5"/>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5"/>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5"/>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5"/>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5"/>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5"/>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5"/>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5"/>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5"/>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5"/>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5"/>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5"/>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5"/>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5"/>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5"/>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5"/>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5"/>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5"/>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5"/>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5"/>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5"/>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5"/>
      <c r="D141" s="2216"/>
      <c r="E141" s="35">
        <f t="shared" si="61"/>
        <v>0</v>
      </c>
      <c r="F141" s="36"/>
      <c r="G141" s="37">
        <f t="shared" si="36"/>
        <v>0</v>
      </c>
      <c r="H141" s="38">
        <f t="shared" si="37"/>
        <v>0</v>
      </c>
      <c r="I141" s="10"/>
      <c r="J141" s="10"/>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5"/>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5"/>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5"/>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5"/>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5"/>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5"/>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5"/>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5"/>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5"/>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5"/>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5"/>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6"/>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6"/>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6"/>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6"/>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6"/>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6"/>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6"/>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6"/>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6"/>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6"/>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6"/>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6"/>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6"/>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6"/>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6"/>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6"/>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6"/>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6"/>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6"/>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6"/>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6"/>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6"/>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6"/>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6"/>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6"/>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6"/>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6"/>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6"/>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39"/>
      <c r="J205" s="39"/>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10"/>
      <c r="J236" s="10"/>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0" sqref="I4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1932</v>
      </c>
      <c r="B1" s="1394"/>
      <c r="C1" s="1394"/>
      <c r="D1" s="1394"/>
      <c r="E1" s="1394"/>
      <c r="F1" s="1394"/>
      <c r="G1" s="1394"/>
      <c r="H1" s="1394"/>
      <c r="I1" s="1394"/>
      <c r="J1" s="1394"/>
      <c r="K1" s="1394"/>
      <c r="L1" s="1394"/>
      <c r="M1" s="1394"/>
      <c r="N1" s="1394"/>
      <c r="O1" s="1394"/>
      <c r="P1" s="1394"/>
    </row>
    <row r="2" spans="1:16" ht="15">
      <c r="A2" s="3067" t="s">
        <v>1933</v>
      </c>
      <c r="B2" s="3067"/>
      <c r="C2" s="3067"/>
      <c r="D2" s="970" t="s">
        <v>1909</v>
      </c>
      <c r="E2" s="2225" t="s">
        <v>1910</v>
      </c>
      <c r="F2" s="1394"/>
      <c r="G2" s="2226"/>
      <c r="H2" s="2227"/>
      <c r="I2" s="2228" t="s">
        <v>1934</v>
      </c>
      <c r="J2" s="1394"/>
      <c r="K2" s="1394"/>
      <c r="L2" s="1394"/>
      <c r="M2" s="1394"/>
      <c r="N2" s="1429"/>
      <c r="O2" s="1394"/>
      <c r="P2" s="1394"/>
    </row>
    <row r="3" spans="1:16" ht="15.75" thickBot="1">
      <c r="A3" s="3068" t="s">
        <v>1907</v>
      </c>
      <c r="B3" s="3068"/>
      <c r="C3" s="3068"/>
      <c r="D3" s="46">
        <f>'数据-基础表'!AY6</f>
        <v>0</v>
      </c>
      <c r="E3" s="46">
        <f>'数据-基础表'!AZ5</f>
        <v>30726.569999999992</v>
      </c>
      <c r="F3" s="1394"/>
      <c r="G3" s="1401"/>
      <c r="H3" s="1249" t="s">
        <v>1908</v>
      </c>
      <c r="I3" s="55" t="e">
        <f>ROUND('数据-基础表'!B3/'数据-基础表'!A3,2)</f>
        <v>#DIV/0!</v>
      </c>
      <c r="J3" s="1394"/>
      <c r="K3" s="1394"/>
      <c r="L3" s="1394"/>
      <c r="M3" s="1394"/>
      <c r="N3" s="1429"/>
      <c r="O3" s="1394"/>
      <c r="P3" s="1394"/>
    </row>
    <row r="4" spans="1:16" ht="15">
      <c r="A4" s="3069"/>
      <c r="B4" s="3070"/>
      <c r="C4" s="3071"/>
      <c r="D4" s="2229" t="s">
        <v>1909</v>
      </c>
      <c r="E4" s="2230" t="s">
        <v>1910</v>
      </c>
      <c r="F4" s="1394"/>
      <c r="G4" s="2231" t="s">
        <v>1935</v>
      </c>
      <c r="H4" s="1249" t="s">
        <v>1915</v>
      </c>
      <c r="I4" s="55" t="e">
        <f>ROUND(SUMIF('数据-基础表'!I9:AS9,"地上",'数据-基础表'!I5:AS5)/'数据-基础表'!A3,2)</f>
        <v>#DIV/0!</v>
      </c>
      <c r="J4" s="1394"/>
      <c r="K4" s="1394"/>
      <c r="L4" s="1394"/>
      <c r="M4" s="1394"/>
      <c r="N4" s="1429"/>
      <c r="O4" s="1394"/>
      <c r="P4" s="1394"/>
    </row>
    <row r="5" spans="1:16">
      <c r="A5" s="47" t="s">
        <v>1911</v>
      </c>
      <c r="B5" s="3072" t="s">
        <v>1912</v>
      </c>
      <c r="C5" s="3072"/>
      <c r="D5" s="48">
        <f>ROUND($D$3*E5/$E$3,2)</f>
        <v>0</v>
      </c>
      <c r="E5" s="49">
        <f>SUMIF('数据-基础表'!$11:$11,"住宅",'数据-基础表'!$5:$5)</f>
        <v>0</v>
      </c>
      <c r="F5" s="1394"/>
      <c r="G5" s="1401"/>
      <c r="H5" s="1249" t="s">
        <v>1908</v>
      </c>
      <c r="I5" s="55" t="e">
        <f>ROUND(E31/D31,2)</f>
        <v>#DIV/0!</v>
      </c>
      <c r="J5" s="1394"/>
      <c r="K5" s="1394"/>
      <c r="L5" s="1394"/>
      <c r="M5" s="1394"/>
      <c r="N5" s="1394"/>
      <c r="O5" s="1394"/>
      <c r="P5" s="1394"/>
    </row>
    <row r="6" spans="1:16" ht="15" thickBot="1">
      <c r="A6" s="2232"/>
      <c r="B6" s="3072" t="s">
        <v>1913</v>
      </c>
      <c r="C6" s="3072"/>
      <c r="D6" s="48">
        <f>ROUND($D$3*E6/$E$3,2)</f>
        <v>0</v>
      </c>
      <c r="E6" s="49">
        <f>E3-E5</f>
        <v>30726.569999999992</v>
      </c>
      <c r="F6" s="1394"/>
      <c r="G6" s="2233" t="s">
        <v>1914</v>
      </c>
      <c r="H6" s="1401" t="s">
        <v>1915</v>
      </c>
      <c r="I6" s="942" t="e">
        <f>ROUND(F31/D31,2)</f>
        <v>#DIV/0!</v>
      </c>
      <c r="J6" s="1394"/>
      <c r="K6" s="1394"/>
      <c r="L6" s="1394"/>
      <c r="M6" s="1394"/>
      <c r="N6" s="1394"/>
      <c r="O6" s="1394"/>
      <c r="P6" s="1394"/>
    </row>
    <row r="7" spans="1:16" ht="15">
      <c r="A7" s="3064"/>
      <c r="B7" s="3065"/>
      <c r="C7" s="3066"/>
      <c r="D7" s="2229" t="s">
        <v>1909</v>
      </c>
      <c r="E7" s="2234" t="s">
        <v>1916</v>
      </c>
      <c r="F7" s="1394"/>
      <c r="G7" s="2226" t="s">
        <v>1917</v>
      </c>
      <c r="H7" s="64"/>
      <c r="I7" s="420"/>
      <c r="J7" s="1394"/>
      <c r="K7" s="1394"/>
      <c r="L7" s="1394"/>
      <c r="M7" s="1394"/>
      <c r="N7" s="1394"/>
      <c r="O7" s="1394"/>
      <c r="P7" s="1394"/>
    </row>
    <row r="8" spans="1:16">
      <c r="A8" s="47" t="s">
        <v>1918</v>
      </c>
      <c r="B8" s="50" t="s">
        <v>1919</v>
      </c>
      <c r="C8" s="48" t="s">
        <v>1920</v>
      </c>
      <c r="D8" s="48">
        <f t="shared" ref="D8:D15" si="0">ROUND($D$3*E8/$E$3,2)</f>
        <v>0</v>
      </c>
      <c r="E8" s="51">
        <f>SUMIF('数据-基础表'!BB10:BK10,"地上",'数据-基础表'!BB5:BK5)</f>
        <v>21737.040000000001</v>
      </c>
      <c r="F8" s="1394"/>
      <c r="G8" s="2235"/>
      <c r="H8" s="2235"/>
      <c r="I8" s="1394"/>
      <c r="J8" s="1394"/>
      <c r="K8" s="1394"/>
      <c r="L8" s="1394"/>
      <c r="M8" s="1394"/>
      <c r="N8" s="1394"/>
      <c r="O8" s="1394"/>
      <c r="P8" s="1394"/>
    </row>
    <row r="9" spans="1:16">
      <c r="A9" s="2236"/>
      <c r="B9" s="2237"/>
      <c r="C9" s="48" t="s">
        <v>1921</v>
      </c>
      <c r="D9" s="48">
        <f t="shared" si="0"/>
        <v>0</v>
      </c>
      <c r="E9" s="52">
        <v>0</v>
      </c>
      <c r="F9" s="1394"/>
      <c r="G9" s="2235"/>
      <c r="H9" s="2235"/>
      <c r="I9" s="1394"/>
      <c r="J9" s="1394"/>
      <c r="K9" s="1394"/>
      <c r="L9" s="1394"/>
      <c r="M9" s="1394"/>
      <c r="N9" s="1394"/>
      <c r="O9" s="1394"/>
      <c r="P9" s="1394"/>
    </row>
    <row r="10" spans="1:16">
      <c r="A10" s="2236"/>
      <c r="B10" s="2237"/>
      <c r="C10" s="48" t="s">
        <v>1930</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1922</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1923</v>
      </c>
      <c r="D12" s="48">
        <f t="shared" si="0"/>
        <v>0</v>
      </c>
      <c r="E12" s="51">
        <f>SUMPRODUCT(('数据-基础表'!BB10:BK10="地下")*('数据-基础表'!BB11:BK11="仓储")*('数据-基础表'!BB5:BK5))</f>
        <v>6335.88</v>
      </c>
      <c r="F12" s="1394"/>
      <c r="G12" s="2235"/>
      <c r="H12" s="2235"/>
      <c r="I12" s="1394"/>
      <c r="J12" s="1394"/>
      <c r="K12" s="1394"/>
      <c r="L12" s="1394"/>
      <c r="M12" s="1394"/>
      <c r="N12" s="1394"/>
      <c r="O12" s="1394"/>
      <c r="P12" s="1394"/>
    </row>
    <row r="13" spans="1:16">
      <c r="A13" s="2236"/>
      <c r="B13" s="2237"/>
      <c r="C13" s="48" t="s">
        <v>1924</v>
      </c>
      <c r="D13" s="48">
        <f t="shared" si="0"/>
        <v>0</v>
      </c>
      <c r="E13" s="51">
        <f>SUMPRODUCT(('数据-基础表'!BB10:BK10="地下")*('数据-基础表'!BB11:BK11="车库")*('数据-基础表'!BB5:BK5))</f>
        <v>2653.6499999999987</v>
      </c>
      <c r="F13" s="1394"/>
      <c r="G13" s="2235"/>
      <c r="H13" s="2235"/>
      <c r="I13" s="1394"/>
      <c r="J13" s="1394"/>
      <c r="K13" s="1394"/>
      <c r="L13" s="1394"/>
      <c r="M13" s="1394"/>
      <c r="N13" s="1394"/>
      <c r="O13" s="1394"/>
      <c r="P13" s="1394"/>
    </row>
    <row r="14" spans="1:16">
      <c r="A14" s="2236"/>
      <c r="B14" s="2237"/>
      <c r="C14" s="48" t="s">
        <v>1936</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1931</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1925</v>
      </c>
      <c r="D16" s="50">
        <f>SUM(D8:D15)</f>
        <v>0</v>
      </c>
      <c r="E16" s="53">
        <f>SUM(E8:E15)</f>
        <v>30726.57</v>
      </c>
      <c r="F16" s="1394"/>
      <c r="G16" s="2235"/>
      <c r="H16" s="2238" t="s">
        <v>1937</v>
      </c>
      <c r="I16" s="2239"/>
      <c r="J16" s="1394"/>
      <c r="K16" s="3061" t="s">
        <v>1937</v>
      </c>
      <c r="L16" s="3062"/>
      <c r="M16" s="3062"/>
      <c r="N16" s="3062"/>
      <c r="O16" s="3062"/>
      <c r="P16" s="3063"/>
    </row>
    <row r="17" spans="1:19" ht="15">
      <c r="A17" s="2240" t="s">
        <v>1938</v>
      </c>
      <c r="B17" s="2241" t="s">
        <v>1939</v>
      </c>
      <c r="C17" s="2242" t="s">
        <v>1940</v>
      </c>
      <c r="D17" s="2243" t="s">
        <v>1928</v>
      </c>
      <c r="E17" s="2244" t="s">
        <v>1929</v>
      </c>
      <c r="F17" s="2245"/>
      <c r="G17" s="2246"/>
      <c r="H17" s="2247" t="s">
        <v>1941</v>
      </c>
      <c r="I17" s="2248" t="s">
        <v>1926</v>
      </c>
      <c r="J17" s="1394"/>
      <c r="K17" s="3058" t="s">
        <v>1942</v>
      </c>
      <c r="L17" s="3059"/>
      <c r="M17" s="3060"/>
      <c r="N17" s="3058" t="s">
        <v>1943</v>
      </c>
      <c r="O17" s="3059"/>
      <c r="P17" s="3060"/>
      <c r="R17" s="2226" t="s">
        <v>1944</v>
      </c>
      <c r="S17" s="64"/>
    </row>
    <row r="18" spans="1:19" ht="15">
      <c r="A18" s="2236"/>
      <c r="B18" s="2249"/>
      <c r="C18" s="2250"/>
      <c r="D18" s="2251"/>
      <c r="E18" s="2252" t="s">
        <v>1945</v>
      </c>
      <c r="F18" s="2253" t="s">
        <v>1946</v>
      </c>
      <c r="G18" s="2254" t="s">
        <v>1947</v>
      </c>
      <c r="H18" s="1264" t="s">
        <v>1948</v>
      </c>
      <c r="I18" s="2255" t="s">
        <v>1949</v>
      </c>
      <c r="J18" s="1394"/>
      <c r="K18" s="1264" t="s">
        <v>1950</v>
      </c>
      <c r="L18" s="2256" t="s">
        <v>1951</v>
      </c>
      <c r="M18" s="1048" t="s">
        <v>1952</v>
      </c>
      <c r="N18" s="1264" t="s">
        <v>1950</v>
      </c>
      <c r="O18" s="2256" t="s">
        <v>1951</v>
      </c>
      <c r="P18" s="1048" t="s">
        <v>1952</v>
      </c>
      <c r="R18" s="1249" t="s">
        <v>1953</v>
      </c>
      <c r="S18" s="1249" t="s">
        <v>1954</v>
      </c>
    </row>
    <row r="19" spans="1:19">
      <c r="A19" s="2257"/>
      <c r="B19" s="50" t="s">
        <v>1927</v>
      </c>
      <c r="C19" s="2957" t="s">
        <v>3105</v>
      </c>
      <c r="D19" s="48">
        <f>ROUND($D$3*E19/$E$3,2)</f>
        <v>0</v>
      </c>
      <c r="E19" s="56">
        <f t="shared" ref="E19:E26" si="1">SUM(F19:G19)</f>
        <v>30726.57</v>
      </c>
      <c r="F19" s="57">
        <f>'数据-基础表'!I5</f>
        <v>21737.040000000001</v>
      </c>
      <c r="G19" s="58">
        <f>'数据-基础表'!K5+'数据-基础表'!M5</f>
        <v>8989.5299999999988</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0</v>
      </c>
      <c r="S19" s="1250">
        <f t="shared" si="5"/>
        <v>30726.57</v>
      </c>
    </row>
    <row r="20" spans="1:19">
      <c r="A20" s="2261"/>
      <c r="B20" s="50" t="s">
        <v>1955</v>
      </c>
      <c r="C20" s="2957"/>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0</v>
      </c>
    </row>
    <row r="21" spans="1:19">
      <c r="A21" s="2261"/>
      <c r="B21" s="50" t="s">
        <v>1955</v>
      </c>
      <c r="C21" s="2258"/>
      <c r="D21" s="48">
        <f t="shared" si="6"/>
        <v>0</v>
      </c>
      <c r="E21" s="56">
        <f t="shared" si="1"/>
        <v>0</v>
      </c>
      <c r="F21" s="57"/>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1955</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1955</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1955</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1956</v>
      </c>
      <c r="D27" s="1395">
        <f>SUM(D19:D26)</f>
        <v>0</v>
      </c>
      <c r="E27" s="1396">
        <f>IF(SUM(E19:E26)='数据-基础表'!BA5,SUM(E19:E26),IF(F27="地上面积有误","面积有误","地下面积有误"))</f>
        <v>30726.57</v>
      </c>
      <c r="F27" s="1395">
        <f>IF(SUM(F19:F26)=E8,SUM(F19:F26),"地上面积有误")</f>
        <v>21737.040000000001</v>
      </c>
      <c r="G27" s="1397">
        <f>SUM(G19:G26)</f>
        <v>8989.5299999999988</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30726.57</v>
      </c>
    </row>
    <row r="28" spans="1:19">
      <c r="A28" s="2261"/>
      <c r="B28" s="50" t="s">
        <v>1957</v>
      </c>
      <c r="C28" s="1261" t="s">
        <v>1958</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1957</v>
      </c>
      <c r="C29" s="2265"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10" t="s">
        <v>1960</v>
      </c>
      <c r="D31" s="729">
        <f>D27+D30</f>
        <v>0</v>
      </c>
      <c r="E31" s="729">
        <f>E27+E30</f>
        <v>30726.57</v>
      </c>
      <c r="F31" s="730">
        <f>F27+F30</f>
        <v>21737.040000000001</v>
      </c>
      <c r="G31" s="731">
        <f>G27+G30</f>
        <v>8989.5299999999988</v>
      </c>
      <c r="H31" s="1394"/>
      <c r="I31" s="1394"/>
      <c r="J31" s="1394"/>
      <c r="K31" s="1394"/>
      <c r="L31" s="1394"/>
      <c r="M31" s="1394"/>
      <c r="N31" s="1394"/>
      <c r="O31" s="1394"/>
      <c r="P31" s="1394"/>
    </row>
    <row r="32" spans="1:19">
      <c r="A32" s="2231"/>
      <c r="B32" s="2231" t="s">
        <v>1961</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9.625" style="2273" customWidth="1"/>
    <col min="22" max="22" width="6.375" style="2273" customWidth="1"/>
    <col min="23" max="25" width="6.75" style="2273" customWidth="1"/>
    <col min="26" max="26" width="9.25" style="2273" customWidth="1"/>
    <col min="27"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1963</v>
      </c>
      <c r="B2" s="1268">
        <f>项目基本情况!D3</f>
        <v>43130</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2" t="s">
        <v>1968</v>
      </c>
      <c r="AA4" s="2242"/>
      <c r="AB4" s="2242"/>
      <c r="AC4" s="2242"/>
      <c r="AD4" s="2242"/>
      <c r="AE4" s="2240" t="s">
        <v>1969</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1970</v>
      </c>
      <c r="B5" s="2288" t="s">
        <v>1971</v>
      </c>
      <c r="C5" s="2289" t="s">
        <v>1972</v>
      </c>
      <c r="D5" s="2290" t="s">
        <v>1973</v>
      </c>
      <c r="E5" s="1270" t="s">
        <v>1974</v>
      </c>
      <c r="F5" s="2291" t="s">
        <v>1975</v>
      </c>
      <c r="G5" s="1270" t="s">
        <v>1976</v>
      </c>
      <c r="H5" s="1270" t="s">
        <v>1977</v>
      </c>
      <c r="I5" s="1270" t="s">
        <v>1978</v>
      </c>
      <c r="J5" s="2292" t="s">
        <v>1979</v>
      </c>
      <c r="K5" s="2293" t="s">
        <v>1980</v>
      </c>
      <c r="L5" s="2294" t="s">
        <v>1981</v>
      </c>
      <c r="M5" s="2295" t="s">
        <v>1982</v>
      </c>
      <c r="N5" s="2296" t="s">
        <v>3097</v>
      </c>
      <c r="O5" s="2294" t="s">
        <v>1983</v>
      </c>
      <c r="P5" s="2297" t="s">
        <v>1984</v>
      </c>
      <c r="Q5" s="69" t="s">
        <v>1985</v>
      </c>
      <c r="R5" s="2298" t="s">
        <v>1986</v>
      </c>
      <c r="S5" s="2299" t="s">
        <v>1987</v>
      </c>
      <c r="T5" s="2300" t="s">
        <v>1988</v>
      </c>
      <c r="U5" s="1269" t="s">
        <v>1989</v>
      </c>
      <c r="V5" s="1270" t="s">
        <v>1990</v>
      </c>
      <c r="W5" s="1270" t="s">
        <v>1991</v>
      </c>
      <c r="X5" s="71"/>
      <c r="Y5" s="70" t="s">
        <v>1992</v>
      </c>
      <c r="Z5" s="2301" t="s">
        <v>1989</v>
      </c>
      <c r="AA5" s="1270" t="s">
        <v>1990</v>
      </c>
      <c r="AB5" s="1270" t="s">
        <v>1991</v>
      </c>
      <c r="AC5" s="71"/>
      <c r="AD5" s="71" t="s">
        <v>1992</v>
      </c>
      <c r="AE5" s="1269" t="s">
        <v>1993</v>
      </c>
      <c r="AF5" s="1270" t="s">
        <v>1994</v>
      </c>
      <c r="AG5" s="70" t="s">
        <v>1995</v>
      </c>
      <c r="AH5" s="1269" t="s">
        <v>1996</v>
      </c>
      <c r="AI5" s="2301" t="s">
        <v>1997</v>
      </c>
      <c r="AJ5" s="2301" t="s">
        <v>1998</v>
      </c>
      <c r="AK5" s="1270" t="s">
        <v>1999</v>
      </c>
      <c r="AL5" s="1270" t="s">
        <v>2000</v>
      </c>
      <c r="AM5" s="70" t="s">
        <v>2001</v>
      </c>
      <c r="AN5" s="2302" t="s">
        <v>2002</v>
      </c>
      <c r="AO5" s="2072" t="s">
        <v>2003</v>
      </c>
      <c r="AP5" s="1251"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全部租赁权</v>
      </c>
      <c r="B6" s="2305" t="str">
        <f>IF(A6=0,"","经营性")</f>
        <v>经营性</v>
      </c>
      <c r="C6" s="2306" t="s">
        <v>1377</v>
      </c>
      <c r="D6" s="1053">
        <f>SUMIF(项目基本情况!D$12:I$12,C6,项目基本情况!D$14:I$14)</f>
        <v>40</v>
      </c>
      <c r="E6" s="1050">
        <f>IF(B6="","",SUMIF(项目基本情况!D$12:I$12,C6,项目基本情况!D$13:I$13))</f>
        <v>50433</v>
      </c>
      <c r="F6" s="72">
        <f>SUMIF(项目基本情况!D$12:I$12,C6,项目基本情况!D$15:I$15)</f>
        <v>20</v>
      </c>
      <c r="G6" s="73">
        <f>IF(ISERROR(ROUND(POWER(1+H6,D6-F6)*(POWER(1+H6,F6)-1)/(POWER(1+H6,D6)-1),3)),0,ROUND(POWER(1+H6,D6-F6)*(POWER(1+H6,F6)-1)/(POWER(1+H6,D6)-1),3))</f>
        <v>0.72599999999999998</v>
      </c>
      <c r="H6" s="2970">
        <v>0.05</v>
      </c>
      <c r="I6" s="2971">
        <v>0.05</v>
      </c>
      <c r="J6" s="74">
        <v>0.08</v>
      </c>
      <c r="K6" s="1253">
        <f>SUMIF('数据-汇总表'!C$19:C$33,A6,'数据-汇总表'!E$19:E$33)</f>
        <v>30726.57</v>
      </c>
      <c r="L6" s="803">
        <v>2200</v>
      </c>
      <c r="M6" s="75">
        <f t="shared" ref="M6:M14" si="0">ROUND(K6*L6/10000,0)</f>
        <v>6760</v>
      </c>
      <c r="N6" s="2960">
        <f>ROUND(1-(2018-2010)/60,2)</f>
        <v>0.87</v>
      </c>
      <c r="O6" s="75" t="str">
        <f>IF($N$5="成新度","——",ROUND(M6*N6,0))</f>
        <v>——</v>
      </c>
      <c r="P6" s="76" t="str">
        <f>IF($N$5="成新度","——",M6-O6)</f>
        <v>——</v>
      </c>
      <c r="Q6" s="804">
        <f>'数据-基础表'!B31</f>
        <v>0.17</v>
      </c>
      <c r="R6" s="77">
        <f ca="1">SUMIF('数据-汇总表'!C$19:C$33,A6,'数据-汇总表'!R$19:R$27)</f>
        <v>0</v>
      </c>
      <c r="S6" s="54">
        <f>IF('数据-汇总表'!$I$17="按面积比例",SUMIF('数据-汇总表'!C$19:C$33,A6,'数据-汇总表'!K$19:K$33),SUMIF('数据-汇总表'!C$19:C$33,A6,'数据-汇总表'!N$19:N$33))</f>
        <v>0</v>
      </c>
      <c r="T6" s="1445">
        <f>ROUND($L$14*S6/10000,0)</f>
        <v>0</v>
      </c>
      <c r="U6" s="78">
        <f>1680*10000</f>
        <v>16800000</v>
      </c>
      <c r="V6" s="2974">
        <v>0.01</v>
      </c>
      <c r="W6" s="79">
        <v>0</v>
      </c>
      <c r="X6" s="1263"/>
      <c r="Y6" s="80">
        <f>N6</f>
        <v>0.87</v>
      </c>
      <c r="Z6" s="2961">
        <f>ROUND(4.4*365*K16*(1-AB6),0)</f>
        <v>46879528</v>
      </c>
      <c r="AA6" s="74">
        <v>2.5000000000000001E-2</v>
      </c>
      <c r="AB6" s="74">
        <v>0.05</v>
      </c>
      <c r="AC6" s="1263"/>
      <c r="AD6" s="2960">
        <f>ROUND(1-(2030-2010)/60,2)</f>
        <v>0.67</v>
      </c>
      <c r="AE6" s="1264">
        <f ca="1">IF(AN6="",0,SUMIF(INDIRECT("'"&amp;AN6&amp;"'"&amp;"!E:E"),$AE$5,INDIRECT("'"&amp;AN6&amp;"'"&amp;"!F:F")))</f>
        <v>20</v>
      </c>
      <c r="AF6" s="1806">
        <v>12.6</v>
      </c>
      <c r="AG6" s="147">
        <f ca="1">IF(AF6="",0,AE6-AF6)</f>
        <v>7.4</v>
      </c>
      <c r="AH6" s="83">
        <v>1</v>
      </c>
      <c r="AI6" s="85">
        <v>1</v>
      </c>
      <c r="AJ6" s="86"/>
      <c r="AK6" s="87">
        <v>0</v>
      </c>
      <c r="AL6" s="88">
        <v>1.5E-3</v>
      </c>
      <c r="AM6" s="89">
        <v>5.0000000000000001E-3</v>
      </c>
      <c r="AN6" s="2307" t="s">
        <v>3098</v>
      </c>
      <c r="AO6" s="55">
        <f ca="1">SUMIF(INDIRECT("'"&amp;AN6&amp;"'"&amp;"!A:A"),"总价",INDIRECT("'"&amp;AN6&amp;"'"&amp;"!B:B"))</f>
        <v>28699</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2007</v>
      </c>
      <c r="B14" s="2305" t="s">
        <v>2008</v>
      </c>
      <c r="C14" s="2310" t="s">
        <v>2007</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2009</v>
      </c>
      <c r="B15" s="2305" t="s">
        <v>2008</v>
      </c>
      <c r="C15" s="2310" t="s">
        <v>2010</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2011</v>
      </c>
      <c r="B16" s="97"/>
      <c r="C16" s="1008"/>
      <c r="D16" s="2312"/>
      <c r="E16" s="97"/>
      <c r="F16" s="97"/>
      <c r="G16" s="98">
        <f>ROUND(SUMPRODUCT(G6:G13,K6:K13)/SUMPRODUCT((G6:G13&gt;0)*(K6:K13)),3)</f>
        <v>0.72599999999999998</v>
      </c>
      <c r="H16" s="99">
        <f>ROUND(SUMPRODUCT(H6:H13,K6:K13)/SUMPRODUCT((H6:H13&gt;0)*(K6:K13)),3)</f>
        <v>0.05</v>
      </c>
      <c r="I16" s="100"/>
      <c r="J16" s="100"/>
      <c r="K16" s="101">
        <f>SUM(K6:K15)</f>
        <v>30726.57</v>
      </c>
      <c r="L16" s="102">
        <f>ROUND(M16*10000/SUM(K6:K14),0)</f>
        <v>2200</v>
      </c>
      <c r="M16" s="102">
        <f>SUM(M6:M14)</f>
        <v>6760</v>
      </c>
      <c r="N16" s="103">
        <f>ROUND(SUMPRODUCT(M6:M14,N6:N14)/M16,3)</f>
        <v>0.87</v>
      </c>
      <c r="O16" s="102">
        <f>SUM(O6:O14)</f>
        <v>0</v>
      </c>
      <c r="P16" s="102">
        <f>SUM(P6:P14)</f>
        <v>0</v>
      </c>
      <c r="Q16" s="104">
        <f>ROUND(SUMPRODUCT(Q6:Q13,K6:K13)/SUMPRODUCT((Q6:Q13&gt;0)*(K6:K13)),2)</f>
        <v>0.17</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2972"/>
      <c r="I17" s="2972">
        <v>5.5</v>
      </c>
      <c r="J17" s="1583"/>
      <c r="K17" s="2973">
        <v>32433.84</v>
      </c>
      <c r="L17" s="2973">
        <v>2200</v>
      </c>
      <c r="M17" s="1583"/>
      <c r="N17" s="1583"/>
      <c r="O17" s="1583"/>
      <c r="P17" s="1583"/>
      <c r="Q17" s="2972">
        <v>15</v>
      </c>
      <c r="R17" s="1583"/>
      <c r="S17" s="1583"/>
      <c r="T17" s="1583"/>
      <c r="U17" s="1583"/>
      <c r="V17" s="1583"/>
      <c r="W17" s="1583"/>
      <c r="X17" s="1583"/>
      <c r="Y17" s="1583"/>
      <c r="Z17" s="2972">
        <v>4.4000000000000004</v>
      </c>
      <c r="AA17" s="2972">
        <v>3</v>
      </c>
      <c r="AB17" s="1583"/>
      <c r="AC17" s="1583"/>
      <c r="AD17" s="1583"/>
      <c r="AE17" s="1583"/>
      <c r="AF17" s="1583"/>
      <c r="AG17" s="1583"/>
      <c r="AH17" s="1583"/>
      <c r="AI17" s="1583"/>
      <c r="AJ17" s="1583"/>
      <c r="AK17" s="2972">
        <v>0</v>
      </c>
      <c r="AL17" s="2972">
        <v>0.1</v>
      </c>
      <c r="AM17" s="2972">
        <v>0.3</v>
      </c>
    </row>
    <row r="18" spans="1:67" ht="15" thickBot="1">
      <c r="A18" s="68" t="s">
        <v>2012</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2013</v>
      </c>
      <c r="B19" s="112">
        <v>0</v>
      </c>
      <c r="C19" s="2275" t="s">
        <v>2014</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2015</v>
      </c>
      <c r="B20" s="113">
        <v>1</v>
      </c>
      <c r="C20" s="2275" t="s">
        <v>2016</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2017</v>
      </c>
      <c r="B21" s="113">
        <v>1</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2018</v>
      </c>
      <c r="B22" s="114">
        <f>B19+B20</f>
        <v>1</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2019</v>
      </c>
      <c r="B23" s="114">
        <f>B19+B21</f>
        <v>1</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2020</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f ca="1">P26</f>
        <v>95</v>
      </c>
      <c r="AL25" s="1583"/>
      <c r="AM25" s="1583"/>
    </row>
    <row r="26" spans="1:67" ht="15" thickBot="1">
      <c r="A26" s="2274" t="s">
        <v>2021</v>
      </c>
      <c r="B26" s="2318" t="s">
        <v>2022</v>
      </c>
      <c r="C26" s="2319" t="s">
        <v>2023</v>
      </c>
      <c r="D26" s="2276"/>
      <c r="E26" s="2275"/>
      <c r="F26" s="2275"/>
      <c r="G26" s="2275"/>
      <c r="H26" s="2275"/>
      <c r="I26" s="2275"/>
      <c r="J26" s="2275"/>
      <c r="K26" s="168"/>
      <c r="L26" s="168"/>
      <c r="M26" s="1583"/>
      <c r="N26" s="1583"/>
      <c r="O26" s="1583"/>
      <c r="P26" s="1583">
        <f ca="1">结果表!G19-结果表!J19</f>
        <v>95</v>
      </c>
      <c r="Q26" s="1583"/>
      <c r="R26" s="1583"/>
      <c r="S26" s="1583"/>
      <c r="T26" s="1583"/>
      <c r="U26" s="1583"/>
      <c r="V26" s="1583"/>
      <c r="W26" s="1583"/>
      <c r="X26" s="1583">
        <f ca="1">P26</f>
        <v>95</v>
      </c>
      <c r="Y26" s="1583"/>
      <c r="Z26" s="1583"/>
      <c r="AA26" s="1583"/>
      <c r="AB26" s="1583"/>
      <c r="AC26" s="1583"/>
      <c r="AD26" s="1583"/>
      <c r="AE26" s="1583"/>
      <c r="AF26" s="1583"/>
      <c r="AG26" s="1583"/>
      <c r="AH26" s="1583"/>
      <c r="AI26" s="1583"/>
      <c r="AJ26" s="1583"/>
      <c r="AK26" s="1583"/>
      <c r="AL26" s="1583"/>
      <c r="AM26" s="1583"/>
    </row>
    <row r="27" spans="1:67" s="2322" customFormat="1" ht="27.75">
      <c r="A27" s="2320" t="s">
        <v>2024</v>
      </c>
      <c r="B27" s="116"/>
      <c r="C27" s="1766" t="s">
        <v>2025</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2026</v>
      </c>
      <c r="B28" s="119">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2027</v>
      </c>
      <c r="B29" s="121">
        <f>ROUND(K16*B28/10000,0)</f>
        <v>615</v>
      </c>
      <c r="C29" s="1766" t="s">
        <v>2028</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2029</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2030</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2031</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2032</v>
      </c>
      <c r="B33" s="726">
        <v>0.03</v>
      </c>
      <c r="C33" s="1765" t="s">
        <v>2033</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2034</v>
      </c>
      <c r="B34" s="122">
        <v>0</v>
      </c>
      <c r="C34" s="1765" t="s">
        <v>2035</v>
      </c>
      <c r="D34" s="2276" t="s">
        <v>2036</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2037</v>
      </c>
      <c r="B35" s="119">
        <v>200</v>
      </c>
      <c r="C35" s="1765" t="s">
        <v>2038</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2039</v>
      </c>
      <c r="B36" s="123">
        <v>1.4999999999999999E-2</v>
      </c>
      <c r="C36" s="1765" t="s">
        <v>2040</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2041</v>
      </c>
      <c r="B37" s="124">
        <v>0.02</v>
      </c>
      <c r="C37" s="1765" t="s">
        <v>2042</v>
      </c>
      <c r="D37" s="2983">
        <v>1</v>
      </c>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2043</v>
      </c>
      <c r="B38" s="122">
        <v>0.02</v>
      </c>
      <c r="C38" s="1765" t="s">
        <v>2042</v>
      </c>
      <c r="D38" s="2983">
        <v>1</v>
      </c>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2044</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2045</v>
      </c>
      <c r="B40" s="1302">
        <f ca="1">存贷款利率!G1</f>
        <v>4.3499999999999997E-2</v>
      </c>
      <c r="C40" s="1765" t="s">
        <v>2046</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2047</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2048</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2049</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2050</v>
      </c>
      <c r="B44" s="128">
        <v>7.0000000000000007E-2</v>
      </c>
      <c r="C44" s="1765" t="s">
        <v>2051</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2052</v>
      </c>
      <c r="B45" s="126">
        <v>0.03</v>
      </c>
      <c r="C45" s="1766" t="s">
        <v>2053</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2054</v>
      </c>
      <c r="B46" s="126">
        <v>0.02</v>
      </c>
      <c r="C46" s="1766" t="s">
        <v>2055</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2056</v>
      </c>
      <c r="B47" s="129">
        <v>0</v>
      </c>
      <c r="C47" s="1766" t="s">
        <v>2057</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2058</v>
      </c>
      <c r="B48" s="130">
        <v>0.03</v>
      </c>
      <c r="C48" s="1773" t="s">
        <v>2059</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2060</v>
      </c>
      <c r="B49" s="126">
        <v>5.0000000000000001E-4</v>
      </c>
      <c r="C49" s="1773" t="s">
        <v>2061</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2062</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2063</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2064</v>
      </c>
      <c r="B52" s="133">
        <f>SUMIF(A54:A63,B53,B54:B63)</f>
        <v>0</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2065</v>
      </c>
      <c r="B53" s="2334"/>
      <c r="C53" s="1429" t="s">
        <v>2066</v>
      </c>
      <c r="D53" s="2335" t="s">
        <v>2067</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2068</v>
      </c>
      <c r="B54" s="84"/>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2069</v>
      </c>
      <c r="B55" s="84"/>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2070</v>
      </c>
      <c r="B56" s="84"/>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2071</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2072</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2073</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2074</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2075</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2076</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2077</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3" t="s">
        <v>2078</v>
      </c>
      <c r="B1" s="3074"/>
      <c r="C1" s="3074"/>
      <c r="D1" s="3074"/>
      <c r="E1" s="3074"/>
      <c r="F1" s="3074"/>
      <c r="G1" s="307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54">
      <c r="A3" s="415" t="s">
        <v>2081</v>
      </c>
      <c r="B3" s="1270" t="s">
        <v>2082</v>
      </c>
      <c r="C3" s="2368" t="s">
        <v>2083</v>
      </c>
      <c r="D3" s="2369"/>
      <c r="E3" s="431" t="s">
        <v>2081</v>
      </c>
      <c r="F3" s="2370" t="s">
        <v>2084</v>
      </c>
      <c r="G3" s="2371" t="s">
        <v>2085</v>
      </c>
      <c r="H3" s="2366"/>
      <c r="I3" s="2366"/>
      <c r="J3" s="2366"/>
      <c r="K3" s="2366"/>
      <c r="L3" s="2366"/>
      <c r="M3" s="2366"/>
      <c r="N3" s="2366"/>
      <c r="O3" s="2366"/>
      <c r="P3" s="2366"/>
      <c r="Q3" s="2366"/>
      <c r="R3" s="2366"/>
    </row>
    <row r="4" spans="1:29" ht="41.25">
      <c r="A4" s="431"/>
      <c r="B4" s="1797" t="s">
        <v>2086</v>
      </c>
      <c r="C4" s="2372" t="s">
        <v>2087</v>
      </c>
      <c r="D4" s="2369"/>
      <c r="E4" s="2373"/>
      <c r="F4" s="42" t="s">
        <v>2088</v>
      </c>
      <c r="G4" s="2374" t="s">
        <v>2089</v>
      </c>
      <c r="H4" s="2366"/>
      <c r="I4" s="2366"/>
      <c r="J4" s="2366"/>
      <c r="K4" s="2366"/>
      <c r="L4" s="2366"/>
      <c r="M4" s="2366"/>
      <c r="N4" s="2366"/>
      <c r="O4" s="2366"/>
      <c r="P4" s="2366"/>
      <c r="Q4" s="2366"/>
      <c r="R4" s="2366"/>
    </row>
    <row r="5" spans="1:29" ht="41.25">
      <c r="A5" s="431"/>
      <c r="B5" s="1797" t="s">
        <v>2090</v>
      </c>
      <c r="C5" s="2372" t="s">
        <v>2091</v>
      </c>
      <c r="D5" s="2369"/>
      <c r="E5" s="2373"/>
      <c r="F5" s="1797" t="s">
        <v>2092</v>
      </c>
      <c r="G5" s="2374" t="s">
        <v>2093</v>
      </c>
      <c r="H5" s="2366"/>
      <c r="I5" s="2366"/>
      <c r="J5" s="2366"/>
      <c r="K5" s="2366"/>
      <c r="L5" s="2366"/>
      <c r="M5" s="2366"/>
      <c r="N5" s="2366"/>
      <c r="O5" s="2366"/>
      <c r="P5" s="2366"/>
      <c r="Q5" s="2366"/>
      <c r="R5" s="2366"/>
    </row>
    <row r="6" spans="1:29" ht="54">
      <c r="A6" s="431"/>
      <c r="B6" s="1797" t="s">
        <v>2094</v>
      </c>
      <c r="C6" s="2374" t="s">
        <v>2089</v>
      </c>
      <c r="D6" s="2369"/>
      <c r="E6" s="2373"/>
      <c r="F6" s="1797" t="s">
        <v>2095</v>
      </c>
      <c r="G6" s="2374" t="s">
        <v>2096</v>
      </c>
      <c r="H6" s="2366"/>
      <c r="I6" s="2366"/>
      <c r="J6" s="2366"/>
      <c r="K6" s="2366"/>
      <c r="L6" s="2366"/>
      <c r="M6" s="2366"/>
      <c r="N6" s="2366"/>
      <c r="O6" s="2366"/>
      <c r="P6" s="2366"/>
      <c r="Q6" s="2366"/>
      <c r="R6" s="2366"/>
    </row>
    <row r="7" spans="1:29" ht="41.25" thickBot="1">
      <c r="A7" s="431"/>
      <c r="B7" s="1797" t="s">
        <v>2092</v>
      </c>
      <c r="C7" s="2374" t="s">
        <v>2093</v>
      </c>
      <c r="D7" s="2375"/>
      <c r="E7" s="2376"/>
      <c r="F7" s="2377" t="s">
        <v>2097</v>
      </c>
      <c r="G7" s="2378" t="s">
        <v>2098</v>
      </c>
      <c r="H7" s="2366"/>
      <c r="I7" s="2366"/>
      <c r="J7" s="2366"/>
      <c r="K7" s="2366"/>
      <c r="L7" s="2366"/>
      <c r="M7" s="2366"/>
      <c r="N7" s="2366"/>
      <c r="O7" s="2366"/>
      <c r="P7" s="2366"/>
      <c r="Q7" s="2366"/>
      <c r="R7" s="2366"/>
    </row>
    <row r="8" spans="1:29" ht="27">
      <c r="A8" s="431"/>
      <c r="B8" s="1797" t="s">
        <v>2095</v>
      </c>
      <c r="C8" s="2374" t="s">
        <v>2096</v>
      </c>
      <c r="D8" s="2375"/>
      <c r="E8" s="2375"/>
      <c r="F8" s="1135"/>
      <c r="G8" s="1135"/>
      <c r="H8" s="2366"/>
      <c r="I8" s="2366"/>
      <c r="J8" s="2366"/>
      <c r="K8" s="2366"/>
      <c r="L8" s="2366"/>
      <c r="M8" s="2366"/>
      <c r="N8" s="2366"/>
      <c r="O8" s="2366"/>
      <c r="P8" s="2366"/>
      <c r="Q8" s="2366"/>
      <c r="R8" s="2366"/>
    </row>
    <row r="9" spans="1:29" ht="27">
      <c r="A9" s="431"/>
      <c r="B9" s="1797" t="s">
        <v>2099</v>
      </c>
      <c r="C9" s="2372" t="s">
        <v>2100</v>
      </c>
      <c r="D9" s="2369"/>
      <c r="E9" s="2375"/>
      <c r="F9" s="1135"/>
      <c r="G9" s="1135"/>
      <c r="H9" s="2366"/>
      <c r="I9" s="2366"/>
      <c r="J9" s="2366"/>
      <c r="K9" s="2366"/>
      <c r="L9" s="2366"/>
      <c r="M9" s="2366"/>
      <c r="N9" s="2366"/>
      <c r="O9" s="2366"/>
      <c r="P9" s="2366"/>
      <c r="Q9" s="2366"/>
      <c r="R9" s="2366"/>
    </row>
    <row r="10" spans="1:29" s="117" customFormat="1" ht="15.75" thickBot="1">
      <c r="A10" s="2379"/>
      <c r="B10" s="2380" t="s">
        <v>2101</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69" t="s">
        <v>2082</v>
      </c>
      <c r="C15" s="2401" t="str">
        <f>C3</f>
        <v>估价对象周边居住用地比例、居住小区规模和社区发展完善程度，综合评价居住社区成熟度一般</v>
      </c>
      <c r="D15" s="2369"/>
      <c r="E15" s="2402" t="s">
        <v>2106</v>
      </c>
      <c r="F15" s="1269" t="s">
        <v>2107</v>
      </c>
      <c r="G15" s="135" t="str">
        <f>G3</f>
        <v>估价对象位于XX开发区，园区建设成熟度XX，产业集聚程度XX</v>
      </c>
    </row>
    <row r="16" spans="1:29" ht="42.75">
      <c r="A16" s="645"/>
      <c r="B16" s="2403" t="s">
        <v>2086</v>
      </c>
      <c r="C16" s="2404" t="str">
        <f>C4</f>
        <v>估价对象位于XX商圈，周边商业氛围成熟，人流量大，商业繁华度好</v>
      </c>
      <c r="D16" s="2369"/>
      <c r="E16" s="2405"/>
      <c r="F16" s="2406" t="s">
        <v>2088</v>
      </c>
      <c r="G16" s="136" t="str">
        <f>G4</f>
        <v>估价对象周边道路状况、公共交通通达情况、停车便捷程度，综合评价交通便捷度较好</v>
      </c>
    </row>
    <row r="17" spans="1:18" ht="42.75">
      <c r="A17" s="645"/>
      <c r="B17" s="2403" t="s">
        <v>2090</v>
      </c>
      <c r="C17" s="2404" t="str">
        <f>C5</f>
        <v>估价对象位于XX商圈，周边办公楼项目较多，入驻率高，办公集聚程度较好</v>
      </c>
      <c r="D17" s="2375"/>
      <c r="E17" s="2405"/>
      <c r="F17" s="2406" t="s">
        <v>2108</v>
      </c>
      <c r="G17" s="1571"/>
    </row>
    <row r="18" spans="1:18" ht="57">
      <c r="A18" s="645"/>
      <c r="B18" s="2406" t="s">
        <v>2094</v>
      </c>
      <c r="C18" s="136" t="str">
        <f>C6</f>
        <v>估价对象周边道路状况、公共交通通达情况、停车便捷程度，综合评价交通便捷度较好</v>
      </c>
      <c r="D18" s="2375"/>
      <c r="E18" s="2405"/>
      <c r="F18" s="2406" t="s">
        <v>2097</v>
      </c>
      <c r="G18" s="136" t="str">
        <f>G7</f>
        <v>该园区内是否有污染型企业，绿化情况，卫生条件，整体环境状况判断</v>
      </c>
    </row>
    <row r="19" spans="1:18" ht="28.5">
      <c r="A19" s="645"/>
      <c r="B19" s="2406" t="s">
        <v>2109</v>
      </c>
      <c r="C19" s="1571"/>
      <c r="D19" s="2369"/>
      <c r="E19" s="2405"/>
      <c r="F19" s="1797" t="s">
        <v>2092</v>
      </c>
      <c r="G19" s="136" t="str">
        <f>G5</f>
        <v>估价对象所在区域公共配套设施齐备情况</v>
      </c>
    </row>
    <row r="20" spans="1:18" ht="28.5">
      <c r="A20" s="645"/>
      <c r="B20" s="2406" t="s">
        <v>2110</v>
      </c>
      <c r="C20" s="2404" t="str">
        <f>C9</f>
        <v>区域自然环境：；人文环境；综合评价环境状况一般</v>
      </c>
      <c r="D20" s="2375"/>
      <c r="E20" s="2405"/>
      <c r="F20" s="1797" t="s">
        <v>2111</v>
      </c>
      <c r="G20" s="136" t="str">
        <f>G6</f>
        <v>估价对象所在区域基础设施水平</v>
      </c>
    </row>
    <row r="21" spans="1:18" ht="28.5">
      <c r="A21" s="645"/>
      <c r="B21" s="1797" t="s">
        <v>2092</v>
      </c>
      <c r="C21" s="136" t="str">
        <f>C7</f>
        <v>估价对象所在区域公共配套设施齐备情况</v>
      </c>
      <c r="D21" s="2369"/>
      <c r="E21" s="2405"/>
      <c r="F21" s="2406" t="s">
        <v>2112</v>
      </c>
      <c r="G21" s="2407"/>
    </row>
    <row r="22" spans="1:18" ht="13.5" customHeight="1">
      <c r="A22" s="645"/>
      <c r="B22" s="1797" t="s">
        <v>2095</v>
      </c>
      <c r="C22" s="136" t="str">
        <f>C8</f>
        <v>估价对象所在区域基础设施水平</v>
      </c>
      <c r="D22" s="2369"/>
      <c r="E22" s="2405"/>
      <c r="F22" s="2406" t="s">
        <v>2101</v>
      </c>
      <c r="G22" s="1571"/>
    </row>
    <row r="23" spans="1:18" s="2366"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30726.57</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43130</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28699</v>
      </c>
      <c r="C5" s="1745">
        <f ca="1">ROUND(B5*10000/$B$1,0)</f>
        <v>9340</v>
      </c>
      <c r="D5" s="1745" t="e">
        <f ca="1">ROUND(B5*10000/$B$2,0)</f>
        <v>#DIV/0!</v>
      </c>
      <c r="E5" s="1744"/>
      <c r="F5" s="1742"/>
      <c r="G5" s="1742"/>
    </row>
    <row r="6" spans="1:10" ht="16.5">
      <c r="A6" s="1745" t="s">
        <v>1356</v>
      </c>
      <c r="B6" s="1745">
        <f ca="1">SUM(G14:G23)</f>
        <v>28699</v>
      </c>
      <c r="C6" s="1745">
        <f ca="1">ROUND(B6*10000/$B$1,0)</f>
        <v>9340</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30726.57</v>
      </c>
      <c r="C14" s="1743">
        <f>结果表!C118</f>
        <v>0</v>
      </c>
      <c r="D14" s="1743">
        <f ca="1">结果表!H118</f>
        <v>28699</v>
      </c>
      <c r="E14" s="1743">
        <f ca="1">ROUND(D14*10000/B14,0)</f>
        <v>9340</v>
      </c>
      <c r="F14" s="1743" t="e">
        <f ca="1">ROUND(D14*10000/C14,0)</f>
        <v>#DIV/0!</v>
      </c>
      <c r="G14" s="1743">
        <f ca="1">结果表!D122</f>
        <v>28699</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99" zoomScaleNormal="100" zoomScaleSheetLayoutView="100" zoomScalePageLayoutView="80" workbookViewId="0">
      <selection activeCell="I118" sqref="I118"/>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2115</v>
      </c>
      <c r="B1" s="2417"/>
      <c r="C1" s="2418" t="s">
        <v>3104</v>
      </c>
      <c r="D1" s="2417"/>
      <c r="E1" s="2417"/>
      <c r="F1" s="2419" t="s">
        <v>2116</v>
      </c>
      <c r="G1" s="2068" t="s">
        <v>3058</v>
      </c>
      <c r="H1" s="2420" t="str">
        <f>IF(G1="现房","——","估价对象范围")</f>
        <v>——</v>
      </c>
      <c r="I1" s="2421" t="s">
        <v>3113</v>
      </c>
    </row>
    <row r="2" spans="1:12" ht="21.75" customHeight="1" thickBot="1">
      <c r="A2" s="3108" t="str">
        <f>项目基本情况!S2</f>
        <v>北京市北京市朝阳区东风乡绿隔地区第四宗地J-7地块7#商业楼-1层-101等6套房屋、J-8地块8#商业楼-2层001等49套房屋商业、库房、车位用房房地产</v>
      </c>
      <c r="B2" s="3109"/>
      <c r="C2" s="3109"/>
      <c r="D2" s="3109"/>
      <c r="E2" s="3109"/>
      <c r="F2" s="3109"/>
      <c r="G2" s="3109"/>
      <c r="H2" s="3109"/>
      <c r="I2" s="3110"/>
    </row>
    <row r="3" spans="1:12" ht="12.75">
      <c r="A3" s="3112" t="s">
        <v>2117</v>
      </c>
      <c r="B3" s="3113"/>
      <c r="C3" s="3113"/>
      <c r="D3" s="3113"/>
      <c r="E3" s="3113"/>
      <c r="F3" s="3113"/>
      <c r="G3" s="3113"/>
      <c r="H3" s="3113"/>
      <c r="I3" s="3113"/>
    </row>
    <row r="4" spans="1:12" ht="14.25">
      <c r="A4" s="2424" t="s">
        <v>2118</v>
      </c>
      <c r="B4" s="2425" t="s">
        <v>2119</v>
      </c>
      <c r="C4" s="2426" t="s">
        <v>3112</v>
      </c>
      <c r="D4" s="2426" t="s">
        <v>3098</v>
      </c>
      <c r="E4" s="3105" t="s">
        <v>2120</v>
      </c>
      <c r="F4" s="3106"/>
      <c r="G4" s="3106"/>
      <c r="H4" s="3106"/>
      <c r="I4" s="3114"/>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88" t="s">
        <v>2121</v>
      </c>
      <c r="B5" s="3029">
        <v>25</v>
      </c>
      <c r="C5" s="3091"/>
      <c r="D5" s="3111"/>
      <c r="E5" s="140" t="s">
        <v>2122</v>
      </c>
      <c r="F5" s="2428"/>
      <c r="G5" s="2428"/>
      <c r="H5" s="2428"/>
      <c r="I5" s="1833"/>
    </row>
    <row r="6" spans="1:12" ht="12.75">
      <c r="A6" s="3088"/>
      <c r="B6" s="3029"/>
      <c r="C6" s="3092"/>
      <c r="D6" s="3111"/>
      <c r="E6" s="140" t="s">
        <v>2123</v>
      </c>
      <c r="F6" s="2428"/>
      <c r="G6" s="2428"/>
      <c r="H6" s="2428"/>
      <c r="I6" s="1833"/>
    </row>
    <row r="7" spans="1:12" ht="12.75">
      <c r="A7" s="3088"/>
      <c r="B7" s="3029"/>
      <c r="C7" s="3093"/>
      <c r="D7" s="3111"/>
      <c r="E7" s="140" t="s">
        <v>2124</v>
      </c>
      <c r="F7" s="2428"/>
      <c r="G7" s="2428"/>
      <c r="H7" s="2428"/>
      <c r="I7" s="1833"/>
    </row>
    <row r="8" spans="1:12" ht="12.75">
      <c r="A8" s="3088" t="s">
        <v>2125</v>
      </c>
      <c r="B8" s="3029">
        <v>15</v>
      </c>
      <c r="C8" s="3091"/>
      <c r="D8" s="3111"/>
      <c r="E8" s="140" t="s">
        <v>2126</v>
      </c>
      <c r="F8" s="2428"/>
      <c r="G8" s="2428"/>
      <c r="H8" s="2428"/>
      <c r="I8" s="1833"/>
    </row>
    <row r="9" spans="1:12" ht="12.75">
      <c r="A9" s="3088"/>
      <c r="B9" s="3029"/>
      <c r="C9" s="3093"/>
      <c r="D9" s="3111"/>
      <c r="E9" s="140" t="s">
        <v>2127</v>
      </c>
      <c r="F9" s="2428"/>
      <c r="G9" s="2428"/>
      <c r="H9" s="2428"/>
      <c r="I9" s="1833"/>
    </row>
    <row r="10" spans="1:12" ht="12.75">
      <c r="A10" s="3088" t="s">
        <v>2128</v>
      </c>
      <c r="B10" s="3029">
        <v>15</v>
      </c>
      <c r="C10" s="3091"/>
      <c r="D10" s="3111"/>
      <c r="E10" s="140" t="s">
        <v>2129</v>
      </c>
      <c r="F10" s="2428"/>
      <c r="G10" s="2428"/>
      <c r="H10" s="2428"/>
      <c r="I10" s="1833"/>
    </row>
    <row r="11" spans="1:12" ht="12.75">
      <c r="A11" s="3088"/>
      <c r="B11" s="3029"/>
      <c r="C11" s="3093"/>
      <c r="D11" s="3111"/>
      <c r="E11" s="140" t="s">
        <v>2130</v>
      </c>
      <c r="F11" s="2428"/>
      <c r="G11" s="2428"/>
      <c r="H11" s="2428"/>
      <c r="I11" s="1833"/>
    </row>
    <row r="12" spans="1:12" ht="12.75">
      <c r="A12" s="3088" t="s">
        <v>2131</v>
      </c>
      <c r="B12" s="3029">
        <v>15</v>
      </c>
      <c r="C12" s="3091"/>
      <c r="D12" s="3111"/>
      <c r="E12" s="140" t="s">
        <v>2132</v>
      </c>
      <c r="F12" s="2428"/>
      <c r="G12" s="2428"/>
      <c r="H12" s="2428"/>
      <c r="I12" s="1833"/>
    </row>
    <row r="13" spans="1:12" ht="12.75">
      <c r="A13" s="3088"/>
      <c r="B13" s="3029"/>
      <c r="C13" s="3093"/>
      <c r="D13" s="3111"/>
      <c r="E13" s="140" t="s">
        <v>2133</v>
      </c>
      <c r="F13" s="2428"/>
      <c r="G13" s="2428"/>
      <c r="H13" s="2428"/>
      <c r="I13" s="1833"/>
    </row>
    <row r="14" spans="1:12" ht="12.75">
      <c r="A14" s="3088" t="s">
        <v>2134</v>
      </c>
      <c r="B14" s="3029">
        <v>30</v>
      </c>
      <c r="C14" s="3091">
        <v>0</v>
      </c>
      <c r="D14" s="3111">
        <v>100</v>
      </c>
      <c r="E14" s="140" t="s">
        <v>2135</v>
      </c>
      <c r="F14" s="2428"/>
      <c r="G14" s="2428"/>
      <c r="H14" s="2428"/>
      <c r="I14" s="1833"/>
    </row>
    <row r="15" spans="1:12" ht="12.75">
      <c r="A15" s="3088"/>
      <c r="B15" s="3029"/>
      <c r="C15" s="3092"/>
      <c r="D15" s="3111"/>
      <c r="E15" s="140" t="s">
        <v>2136</v>
      </c>
      <c r="F15" s="2428"/>
      <c r="G15" s="2428"/>
      <c r="H15" s="2428"/>
      <c r="I15" s="1833"/>
    </row>
    <row r="16" spans="1:12" ht="12.75">
      <c r="A16" s="3088"/>
      <c r="B16" s="3029"/>
      <c r="C16" s="3093"/>
      <c r="D16" s="3111"/>
      <c r="E16" s="140" t="s">
        <v>2137</v>
      </c>
      <c r="F16" s="2428"/>
      <c r="G16" s="2428"/>
      <c r="H16" s="2428"/>
      <c r="I16" s="1833"/>
    </row>
    <row r="17" spans="1:35" ht="15">
      <c r="A17" s="2429" t="s">
        <v>2138</v>
      </c>
      <c r="B17" s="64"/>
      <c r="C17" s="141">
        <f>SUM(C5:C16)</f>
        <v>0</v>
      </c>
      <c r="D17" s="141">
        <f>SUM(D5:D16)</f>
        <v>100</v>
      </c>
      <c r="E17" s="138"/>
      <c r="F17" s="138"/>
      <c r="G17" s="138"/>
      <c r="H17" s="138"/>
      <c r="I17" s="138"/>
      <c r="K17" s="2427"/>
      <c r="L17" s="2430" t="s">
        <v>2139</v>
      </c>
      <c r="M17" s="2430" t="s">
        <v>2140</v>
      </c>
    </row>
    <row r="18" spans="1:35" ht="15.75" thickBot="1">
      <c r="A18" s="2431" t="s">
        <v>2141</v>
      </c>
      <c r="B18" s="2432"/>
      <c r="C18" s="142">
        <f>ROUND(C17/SUM(C17:D17),2)</f>
        <v>0</v>
      </c>
      <c r="D18" s="142">
        <f>1-C18</f>
        <v>1</v>
      </c>
      <c r="E18" s="138"/>
      <c r="F18" s="138"/>
      <c r="G18" s="138"/>
      <c r="H18" s="138"/>
      <c r="I18" s="138"/>
      <c r="J18" s="2968" t="s">
        <v>3151</v>
      </c>
      <c r="K18" s="2427" t="s">
        <v>2142</v>
      </c>
      <c r="L18" s="2427">
        <f>IF(C1="",'数据-汇总表'!E3,SUMIF(项目类型,C1,'数据-汇总表'!E17:E26)+SUMIF(项目类型,C1,'数据-汇总表'!I17:I26))</f>
        <v>30726.57</v>
      </c>
      <c r="M18" s="2427">
        <f>IF(C1="",'数据-汇总表'!E3,SUMIF(项目类型,C1,'数据-汇总表'!E17:E26))</f>
        <v>30726.57</v>
      </c>
    </row>
    <row r="19" spans="1:35" ht="15">
      <c r="A19" s="2433" t="s">
        <v>2143</v>
      </c>
      <c r="B19" s="2434" t="s">
        <v>2144</v>
      </c>
      <c r="C19" s="143">
        <f ca="1">SUMIF(INDIRECT("'"&amp;C4&amp;"'"&amp;"!A:A"),结果表!B19,INDIRECT("'"&amp;C4&amp;"'"&amp;"!B:B"))</f>
        <v>10450</v>
      </c>
      <c r="D19" s="144">
        <f ca="1">SUMIF(INDIRECT("'"&amp;D4&amp;"'"&amp;"!A:A"),结果表!B19,INDIRECT("'"&amp;D4&amp;"'"&amp;"!B:B"))</f>
        <v>28699</v>
      </c>
      <c r="E19" s="2433" t="s">
        <v>2145</v>
      </c>
      <c r="F19" s="2434" t="s">
        <v>2144</v>
      </c>
      <c r="G19" s="145">
        <f ca="1">ROUND(C19*$C$18+D19*$D$18,0)</f>
        <v>28699</v>
      </c>
      <c r="H19" s="2435" t="s">
        <v>2146</v>
      </c>
      <c r="I19" s="138"/>
      <c r="J19" s="2969">
        <v>28604</v>
      </c>
      <c r="K19" s="2427" t="s">
        <v>2147</v>
      </c>
      <c r="L19" s="2427">
        <f>IF(C1="",'数据-汇总表'!D3,SUMIF(项目类型,C1,'数据-汇总表'!D17:D26)+SUMIF(项目类型,C1,'数据-汇总表'!H17:H27))</f>
        <v>0</v>
      </c>
      <c r="M19" s="2427">
        <f>IF(C1="",'数据-汇总表'!D3,SUMIF(项目类型,C1,'数据-汇总表'!D17:D26))</f>
        <v>0</v>
      </c>
    </row>
    <row r="20" spans="1:35" ht="15">
      <c r="A20" s="2436"/>
      <c r="B20" s="1249" t="s">
        <v>2148</v>
      </c>
      <c r="C20" s="146">
        <f ca="1">SUMIF(INDIRECT("'"&amp;C4&amp;"'"&amp;"!A:A"),结果表!B20,INDIRECT("'"&amp;C4&amp;"'"&amp;"!B:B"))</f>
        <v>3401</v>
      </c>
      <c r="D20" s="147">
        <f ca="1">SUMIF(INDIRECT("'"&amp;D4&amp;"'"&amp;"!A:A"),结果表!B20,INDIRECT("'"&amp;D4&amp;"'"&amp;"!B:B"))</f>
        <v>9340</v>
      </c>
      <c r="E20" s="2436"/>
      <c r="F20" s="1249" t="s">
        <v>2148</v>
      </c>
      <c r="G20" s="148">
        <f ca="1">ROUND(C20*$C$18+D20*$D$18,0)</f>
        <v>9340</v>
      </c>
      <c r="H20" s="983" t="s">
        <v>2149</v>
      </c>
      <c r="I20" s="138"/>
    </row>
    <row r="21" spans="1:35" ht="15" customHeight="1" thickBot="1">
      <c r="A21" s="1003"/>
      <c r="B21" s="2437" t="s">
        <v>2150</v>
      </c>
      <c r="C21" s="789" t="e">
        <f ca="1">ROUND(C19*10000/L19,0)</f>
        <v>#DIV/0!</v>
      </c>
      <c r="D21" s="790" t="e">
        <f ca="1">ROUND(D19*10000/L19,0)</f>
        <v>#DIV/0!</v>
      </c>
      <c r="E21" s="1003"/>
      <c r="F21" s="2437" t="s">
        <v>2150</v>
      </c>
      <c r="G21" s="149" t="e">
        <f ca="1">ROUND(G19*10000/L19,0)</f>
        <v>#DIV/0!</v>
      </c>
      <c r="H21" s="2438" t="s">
        <v>2149</v>
      </c>
      <c r="I21" s="138"/>
    </row>
    <row r="22" spans="1:35" ht="15" thickBot="1">
      <c r="A22" s="2279" t="s">
        <v>2151</v>
      </c>
      <c r="B22" s="2439"/>
      <c r="C22" s="2440"/>
      <c r="D22" s="791">
        <f ca="1">IF(C19&lt;D19,D19/C19-1,C19/D19-1)</f>
        <v>1.7463157894736843</v>
      </c>
      <c r="E22" s="138"/>
      <c r="F22" s="138"/>
      <c r="G22" s="138"/>
      <c r="H22" s="138"/>
      <c r="I22" s="138"/>
    </row>
    <row r="23" spans="1:35" ht="12.75">
      <c r="A23" s="2417"/>
      <c r="B23" s="2417"/>
      <c r="C23" s="2417"/>
      <c r="D23" s="2417"/>
      <c r="E23" s="138"/>
      <c r="F23" s="138"/>
      <c r="G23" s="138"/>
      <c r="H23" s="138"/>
      <c r="I23" s="138"/>
    </row>
    <row r="24" spans="1:35" ht="14.25" hidden="1">
      <c r="A24" s="3082" t="s">
        <v>2152</v>
      </c>
      <c r="B24" s="2434" t="s">
        <v>2144</v>
      </c>
      <c r="C24" s="145">
        <f>IF(B30=0,0,D30)</f>
        <v>0</v>
      </c>
      <c r="D24" s="2441"/>
      <c r="E24" s="138"/>
      <c r="F24" s="138"/>
      <c r="G24" s="138"/>
      <c r="H24" s="138"/>
      <c r="I24" s="138"/>
    </row>
    <row r="25" spans="1:35" ht="14.25" hidden="1">
      <c r="A25" s="3083"/>
      <c r="B25" s="1249" t="s">
        <v>2148</v>
      </c>
      <c r="C25" s="150">
        <f>IF(B30=0,0,C30)</f>
        <v>0</v>
      </c>
      <c r="D25" s="2442"/>
      <c r="E25" s="138"/>
      <c r="F25" s="138"/>
      <c r="G25" s="138"/>
      <c r="H25" s="138"/>
      <c r="I25" s="138"/>
    </row>
    <row r="26" spans="1:35" ht="13.5" hidden="1" customHeight="1">
      <c r="A26" s="2443" t="s">
        <v>2153</v>
      </c>
      <c r="B26" s="151" t="s">
        <v>2154</v>
      </c>
      <c r="C26" s="151" t="s">
        <v>2155</v>
      </c>
      <c r="D26" s="152" t="s">
        <v>2156</v>
      </c>
      <c r="E26" s="138"/>
      <c r="F26" s="138"/>
      <c r="G26" s="138"/>
      <c r="H26" s="138"/>
      <c r="I26" s="138"/>
    </row>
    <row r="27" spans="1:35" ht="14.25" hidden="1">
      <c r="A27" s="2443"/>
      <c r="B27" s="151">
        <v>0</v>
      </c>
      <c r="C27" s="151">
        <v>0</v>
      </c>
      <c r="D27" s="152">
        <f>ROUND(C27*B27/10000,0)</f>
        <v>0</v>
      </c>
      <c r="E27" s="138"/>
      <c r="F27" s="138"/>
      <c r="G27" s="138"/>
      <c r="H27" s="138"/>
      <c r="I27" s="138"/>
    </row>
    <row r="28" spans="1:35" ht="14.25" hidden="1">
      <c r="A28" s="2443"/>
      <c r="B28" s="151"/>
      <c r="C28" s="151"/>
      <c r="D28" s="152"/>
      <c r="E28" s="138"/>
      <c r="F28" s="138"/>
      <c r="G28" s="138"/>
      <c r="H28" s="138"/>
      <c r="I28" s="138"/>
    </row>
    <row r="29" spans="1:35" ht="14.25" hidden="1">
      <c r="A29" s="2443"/>
      <c r="B29" s="151"/>
      <c r="C29" s="151"/>
      <c r="D29" s="152"/>
      <c r="E29" s="138"/>
      <c r="F29" s="138"/>
      <c r="G29" s="138"/>
      <c r="H29" s="138"/>
      <c r="I29" s="138"/>
    </row>
    <row r="30" spans="1:35" ht="14.25" hidden="1">
      <c r="A30" s="151" t="s">
        <v>2157</v>
      </c>
      <c r="B30" s="151"/>
      <c r="C30" s="151"/>
      <c r="D30" s="151"/>
      <c r="E30" s="2926" t="s">
        <v>3040</v>
      </c>
      <c r="F30" s="138"/>
      <c r="G30" s="138"/>
      <c r="H30" s="138"/>
      <c r="I30" s="138"/>
    </row>
    <row r="31" spans="1:35" s="2445" customFormat="1" ht="15" hidden="1"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hidden="1" thickBot="1">
      <c r="A32" s="2446" t="s">
        <v>2158</v>
      </c>
      <c r="B32" s="2447"/>
      <c r="C32" s="153">
        <f ca="1">IF(D32="总价",G19-C24,G20-C25)</f>
        <v>28699</v>
      </c>
      <c r="D32" s="2448" t="s">
        <v>2159</v>
      </c>
      <c r="E32" s="138"/>
      <c r="F32" s="138"/>
      <c r="G32" s="138"/>
      <c r="H32" s="138"/>
      <c r="I32" s="138"/>
    </row>
    <row r="33" spans="1:15" ht="15" hidden="1">
      <c r="A33" s="960" t="s">
        <v>2160</v>
      </c>
      <c r="B33" s="2449"/>
      <c r="C33" s="2450"/>
      <c r="D33" s="2451"/>
      <c r="E33" s="2452" t="s">
        <v>2161</v>
      </c>
      <c r="F33" s="2453" t="str">
        <f>IF(D32="楼面单价","取值（单价）","取值（总价）")</f>
        <v>取值（总价）</v>
      </c>
      <c r="G33" s="138"/>
      <c r="H33" s="138"/>
      <c r="I33" s="138"/>
    </row>
    <row r="34" spans="1:15" ht="15" hidden="1">
      <c r="A34" s="2454"/>
      <c r="B34" s="2455"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6" t="s">
        <v>2163</v>
      </c>
      <c r="F34" s="1738"/>
      <c r="G34" s="138"/>
      <c r="H34" s="138"/>
      <c r="I34" s="138"/>
    </row>
    <row r="35" spans="1:15" ht="15.75" hidden="1" thickBot="1">
      <c r="A35" s="2457"/>
      <c r="B35" s="2458"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hidden="1" thickBot="1">
      <c r="A36" s="3100" t="s">
        <v>2166</v>
      </c>
      <c r="B36" s="2460" t="s">
        <v>2167</v>
      </c>
      <c r="C36" s="154"/>
      <c r="D36" s="2461"/>
      <c r="E36" s="2462"/>
      <c r="F36" s="2463"/>
      <c r="G36" s="138"/>
      <c r="H36" s="138"/>
      <c r="I36" s="138"/>
    </row>
    <row r="37" spans="1:15" ht="15.75" hidden="1" thickBot="1">
      <c r="A37" s="3101"/>
      <c r="B37" s="2265" t="s">
        <v>2168</v>
      </c>
      <c r="C37" s="156"/>
      <c r="D37" s="1394"/>
      <c r="E37" s="1394"/>
      <c r="F37" s="2463"/>
      <c r="G37" s="138"/>
      <c r="H37" s="138"/>
      <c r="I37" s="138"/>
    </row>
    <row r="38" spans="1:15" ht="15.75" hidden="1" thickBot="1">
      <c r="A38" s="3102"/>
      <c r="B38" s="2464" t="s">
        <v>2169</v>
      </c>
      <c r="C38" s="727"/>
      <c r="D38" s="2465" t="s">
        <v>2170</v>
      </c>
      <c r="E38" s="1394"/>
      <c r="F38" s="2463"/>
      <c r="G38" s="138"/>
      <c r="H38" s="138"/>
      <c r="I38" s="138"/>
    </row>
    <row r="39" spans="1:15" ht="15" hidden="1">
      <c r="A39" s="2436" t="s">
        <v>2171</v>
      </c>
      <c r="B39" s="2466" t="s">
        <v>2172</v>
      </c>
      <c r="C39" s="2467" t="s">
        <v>2173</v>
      </c>
      <c r="D39" s="2467" t="s">
        <v>2174</v>
      </c>
      <c r="E39" s="2468" t="s">
        <v>2175</v>
      </c>
      <c r="F39" s="2463"/>
      <c r="G39" s="138"/>
      <c r="H39" s="138"/>
      <c r="I39" s="138"/>
    </row>
    <row r="40" spans="1:15" ht="14.25" hidden="1">
      <c r="A40" s="2469" t="s">
        <v>2176</v>
      </c>
      <c r="B40" s="158"/>
      <c r="C40" s="159"/>
      <c r="D40" s="159"/>
      <c r="E40" s="160"/>
      <c r="F40" s="2463"/>
      <c r="G40" s="138"/>
      <c r="H40" s="138"/>
      <c r="I40" s="138"/>
    </row>
    <row r="41" spans="1:15" ht="14.25" hidden="1">
      <c r="A41" s="2469" t="s">
        <v>2177</v>
      </c>
      <c r="B41" s="158"/>
      <c r="C41" s="159"/>
      <c r="D41" s="159"/>
      <c r="E41" s="160"/>
      <c r="F41" s="2463"/>
      <c r="G41" s="138"/>
      <c r="H41" s="138"/>
      <c r="I41" s="138"/>
    </row>
    <row r="42" spans="1:15" ht="15" hidden="1" thickBot="1">
      <c r="A42" s="2470"/>
      <c r="B42" s="161"/>
      <c r="C42" s="162"/>
      <c r="D42" s="162"/>
      <c r="E42" s="163"/>
      <c r="F42" s="2463"/>
      <c r="G42" s="138"/>
      <c r="H42" s="138"/>
      <c r="I42" s="138"/>
    </row>
    <row r="43" spans="1:15" ht="12.75" hidden="1">
      <c r="A43" s="2163"/>
      <c r="B43" s="2163"/>
      <c r="C43" s="2163"/>
      <c r="D43" s="2163"/>
      <c r="E43" s="2163"/>
      <c r="F43" s="2471"/>
      <c r="G43" s="2471"/>
      <c r="H43" s="2471"/>
      <c r="I43" s="2472"/>
    </row>
    <row r="44" spans="1:15" ht="18.75" hidden="1">
      <c r="A44" s="2473" t="s">
        <v>2178</v>
      </c>
      <c r="B44" s="2474"/>
      <c r="C44" s="2474"/>
      <c r="D44" s="2475"/>
      <c r="E44" s="2475"/>
      <c r="F44" s="2476"/>
      <c r="G44" s="2476"/>
      <c r="H44" s="2476"/>
      <c r="I44" s="2476"/>
      <c r="J44" s="2477" t="s">
        <v>2179</v>
      </c>
      <c r="K44" s="2478"/>
      <c r="L44" s="2478"/>
      <c r="M44" s="2478"/>
      <c r="N44" s="2478"/>
      <c r="O44" s="2478"/>
    </row>
    <row r="45" spans="1:15" ht="14.25" hidden="1" customHeight="1" thickBot="1">
      <c r="A45" s="3079" t="s">
        <v>2180</v>
      </c>
      <c r="B45" s="3080"/>
      <c r="C45" s="3081"/>
      <c r="D45" s="164">
        <f ca="1">ROUND(H101*F45,0)</f>
        <v>28699</v>
      </c>
      <c r="E45" s="165" t="s">
        <v>2181</v>
      </c>
      <c r="F45" s="166">
        <v>1</v>
      </c>
      <c r="G45" s="167" t="s">
        <v>2182</v>
      </c>
      <c r="H45" s="138"/>
      <c r="I45" s="138"/>
      <c r="J45" s="3139" t="s">
        <v>2183</v>
      </c>
      <c r="K45" s="3139"/>
      <c r="L45" s="3139"/>
      <c r="M45" s="3139"/>
      <c r="N45" s="3139"/>
      <c r="O45" s="3139"/>
    </row>
    <row r="46" spans="1:15" ht="14.25" hidden="1" customHeight="1">
      <c r="A46" s="3076" t="s">
        <v>2184</v>
      </c>
      <c r="B46" s="3077"/>
      <c r="C46" s="3077"/>
      <c r="D46" s="3077"/>
      <c r="E46" s="3077"/>
      <c r="F46" s="3077"/>
      <c r="G46" s="3078"/>
      <c r="H46" s="2479"/>
      <c r="I46" s="168"/>
      <c r="J46" s="1811">
        <v>1</v>
      </c>
      <c r="K46" s="3139" t="s">
        <v>2185</v>
      </c>
      <c r="L46" s="3139"/>
      <c r="M46" s="3159"/>
      <c r="N46" s="3159"/>
      <c r="O46" s="3159"/>
    </row>
    <row r="47" spans="1:15" ht="12" hidden="1" customHeight="1">
      <c r="A47" s="169" t="s">
        <v>2186</v>
      </c>
      <c r="B47" s="170"/>
      <c r="C47" s="171"/>
      <c r="D47" s="172" t="s">
        <v>2187</v>
      </c>
      <c r="E47" s="24" t="s">
        <v>2188</v>
      </c>
      <c r="F47" s="173" t="s">
        <v>2189</v>
      </c>
      <c r="G47" s="174" t="s">
        <v>2190</v>
      </c>
      <c r="H47" s="2479"/>
      <c r="I47" s="168"/>
      <c r="J47" s="1811">
        <v>2</v>
      </c>
      <c r="K47" s="3139" t="s">
        <v>2191</v>
      </c>
      <c r="L47" s="3139"/>
      <c r="M47" s="3160">
        <f>'数据-取费表'!B2</f>
        <v>43130</v>
      </c>
      <c r="N47" s="3160"/>
      <c r="O47" s="3160"/>
    </row>
    <row r="48" spans="1:15" ht="25.5" hidden="1">
      <c r="A48" s="3107" t="s">
        <v>2192</v>
      </c>
      <c r="B48" s="3090"/>
      <c r="C48" s="3090"/>
      <c r="D48" s="140">
        <f>IF(H48="情况1",0,IF(H48="情况2",D52,IF(H48="情况3",D53,IF(H48="情况4",D54))))</f>
        <v>0</v>
      </c>
      <c r="E48" s="1800" t="str">
        <f>IF(H48="情况4","(销售额-原购置价)×税（费）率","销售额×税（费）率")</f>
        <v>销售额×税（费）率</v>
      </c>
      <c r="F48" s="175" t="str">
        <f>IF(H48="情况1","免征",'数据-取费表'!B41)</f>
        <v>免征</v>
      </c>
      <c r="G48" s="2480" t="s">
        <v>2193</v>
      </c>
      <c r="H48" s="2481" t="s">
        <v>2194</v>
      </c>
      <c r="I48" s="2479"/>
      <c r="J48" s="1811">
        <v>3</v>
      </c>
      <c r="K48" s="3139" t="s">
        <v>2195</v>
      </c>
      <c r="L48" s="3139"/>
      <c r="M48" s="3161">
        <f ca="1">H101</f>
        <v>28699</v>
      </c>
      <c r="N48" s="3161"/>
      <c r="O48" s="3161"/>
    </row>
    <row r="49" spans="1:35" ht="25.5" hidden="1" customHeight="1">
      <c r="A49" s="176" t="s">
        <v>2196</v>
      </c>
      <c r="B49" s="3075" t="s">
        <v>2197</v>
      </c>
      <c r="C49" s="3075"/>
      <c r="D49" s="177">
        <v>0</v>
      </c>
      <c r="E49" s="23" t="s">
        <v>2198</v>
      </c>
      <c r="F49" s="28" t="s">
        <v>34</v>
      </c>
      <c r="G49" s="3145"/>
      <c r="H49" s="138"/>
      <c r="I49" s="2482"/>
      <c r="J49" s="1811">
        <v>4</v>
      </c>
      <c r="K49" s="3139" t="str">
        <f>IF(项目基本情况!E8="房地产抵押价值","房地产抵押价值","抵押担保权已注销时的房地产抵押价值")</f>
        <v>房地产抵押价值</v>
      </c>
      <c r="L49" s="3139"/>
      <c r="M49" s="3161">
        <f ca="1">IF(项目基本情况!E8="房地产抵押价值",H107,H109)</f>
        <v>28699</v>
      </c>
      <c r="N49" s="3161"/>
      <c r="O49" s="3161"/>
    </row>
    <row r="50" spans="1:35" ht="25.5" hidden="1" customHeight="1">
      <c r="A50" s="178"/>
      <c r="B50" s="3075" t="s">
        <v>2199</v>
      </c>
      <c r="C50" s="3075"/>
      <c r="D50" s="179"/>
      <c r="E50" s="31"/>
      <c r="F50" s="180"/>
      <c r="G50" s="3146"/>
      <c r="H50" s="138"/>
      <c r="I50" s="2482"/>
      <c r="J50" s="3139" t="s">
        <v>2200</v>
      </c>
      <c r="K50" s="3139"/>
      <c r="L50" s="3139"/>
      <c r="M50" s="3139"/>
      <c r="N50" s="3139"/>
      <c r="O50" s="3139"/>
    </row>
    <row r="51" spans="1:35" ht="12" hidden="1" customHeight="1">
      <c r="A51" s="181"/>
      <c r="B51" s="3075" t="s">
        <v>2201</v>
      </c>
      <c r="C51" s="3075"/>
      <c r="D51" s="182"/>
      <c r="E51" s="30"/>
      <c r="F51" s="180"/>
      <c r="G51" s="3147"/>
      <c r="H51" s="138"/>
      <c r="I51" s="2482"/>
      <c r="J51" s="2483" t="s">
        <v>2202</v>
      </c>
      <c r="K51" s="3139" t="s">
        <v>2203</v>
      </c>
      <c r="L51" s="3139"/>
      <c r="M51" s="2483" t="s">
        <v>2204</v>
      </c>
      <c r="N51" s="2483" t="s">
        <v>2205</v>
      </c>
      <c r="O51" s="2483" t="s">
        <v>2206</v>
      </c>
    </row>
    <row r="52" spans="1:35" ht="24" hidden="1" customHeight="1">
      <c r="A52" s="183" t="s">
        <v>2207</v>
      </c>
      <c r="B52" s="3075" t="s">
        <v>2208</v>
      </c>
      <c r="C52" s="3075"/>
      <c r="D52" s="182">
        <f ca="1">ROUND(D45*'数据-取费表'!B41/(1+'数据-取费表'!C42),0)</f>
        <v>1531</v>
      </c>
      <c r="E52" s="11" t="s">
        <v>2209</v>
      </c>
      <c r="F52" s="184">
        <f>'数据-取费表'!B41</f>
        <v>5.6000000000000001E-2</v>
      </c>
      <c r="G52" s="2484"/>
      <c r="H52" s="138"/>
      <c r="I52" s="2482"/>
      <c r="J52" s="1811">
        <v>1</v>
      </c>
      <c r="K52" s="3140" t="s">
        <v>2210</v>
      </c>
      <c r="L52" s="3140"/>
      <c r="M52" s="1753">
        <f>D48</f>
        <v>0</v>
      </c>
      <c r="N52" s="1811" t="str">
        <f>E48</f>
        <v>销售额×税（费）率</v>
      </c>
      <c r="O52" s="1754" t="str">
        <f>F48</f>
        <v>免征</v>
      </c>
    </row>
    <row r="53" spans="1:35" ht="12" hidden="1" customHeight="1">
      <c r="A53" s="183" t="s">
        <v>2211</v>
      </c>
      <c r="B53" s="3098" t="s">
        <v>2212</v>
      </c>
      <c r="C53" s="3099"/>
      <c r="D53" s="182">
        <f ca="1">ROUND(D45*'数据-取费表'!B41/(1+'数据-取费表'!C42),0)</f>
        <v>1531</v>
      </c>
      <c r="E53" s="11" t="s">
        <v>2209</v>
      </c>
      <c r="F53" s="184">
        <f>'数据-取费表'!B41</f>
        <v>5.6000000000000001E-2</v>
      </c>
      <c r="G53" s="2484"/>
      <c r="H53" s="138"/>
      <c r="I53" s="2482"/>
      <c r="J53" s="1811">
        <v>2</v>
      </c>
      <c r="K53" s="3140" t="s">
        <v>2213</v>
      </c>
      <c r="L53" s="3140"/>
      <c r="M53" s="1753">
        <f t="shared" ref="M53:O54" ca="1" si="0">D55</f>
        <v>14</v>
      </c>
      <c r="N53" s="1811" t="str">
        <f t="shared" si="0"/>
        <v>销售额×税（费）率</v>
      </c>
      <c r="O53" s="1754">
        <f t="shared" si="0"/>
        <v>5.0000000000000001E-4</v>
      </c>
    </row>
    <row r="54" spans="1:35" ht="12" hidden="1" customHeight="1">
      <c r="A54" s="183" t="s">
        <v>2214</v>
      </c>
      <c r="B54" s="3098" t="s">
        <v>2215</v>
      </c>
      <c r="C54" s="3099"/>
      <c r="D54" s="182">
        <f ca="1">C68</f>
        <v>1531</v>
      </c>
      <c r="E54" s="30" t="s">
        <v>2216</v>
      </c>
      <c r="F54" s="184">
        <f>'数据-取费表'!B41</f>
        <v>5.6000000000000001E-2</v>
      </c>
      <c r="G54" s="2484"/>
      <c r="H54" s="2485"/>
      <c r="I54" s="2482"/>
      <c r="J54" s="1811">
        <v>3</v>
      </c>
      <c r="K54" s="3140" t="s">
        <v>2217</v>
      </c>
      <c r="L54" s="3140"/>
      <c r="M54" s="1753">
        <f t="shared" ca="1" si="0"/>
        <v>16243</v>
      </c>
      <c r="N54" s="1811" t="str">
        <f t="shared" si="0"/>
        <v>增值额×税（费）率</v>
      </c>
      <c r="O54" s="1755" t="str">
        <f t="shared" si="0"/>
        <v>——</v>
      </c>
    </row>
    <row r="55" spans="1:35" ht="24" hidden="1" customHeight="1">
      <c r="A55" s="3089" t="s">
        <v>2218</v>
      </c>
      <c r="B55" s="3090"/>
      <c r="C55" s="3090"/>
      <c r="D55" s="185">
        <f ca="1">IF(H55="个人住宅",0,ROUND(D45*I55,0))</f>
        <v>14</v>
      </c>
      <c r="E55" s="11" t="s">
        <v>2219</v>
      </c>
      <c r="F55" s="184">
        <f>IF(H55="正常",I55,"免征")</f>
        <v>5.0000000000000001E-4</v>
      </c>
      <c r="G55" s="2484"/>
      <c r="H55" s="2481" t="s">
        <v>2220</v>
      </c>
      <c r="I55" s="186">
        <f>'数据-取费表'!B49</f>
        <v>5.0000000000000001E-4</v>
      </c>
      <c r="J55" s="1811" t="str">
        <f>IF(H59="非个人房产","",4)</f>
        <v/>
      </c>
      <c r="K55" s="3140" t="str">
        <f>IF(H59="非个人房产","——","个人所得税")</f>
        <v>——</v>
      </c>
      <c r="L55" s="3140"/>
      <c r="M55" s="1756" t="str">
        <f>D59</f>
        <v>——</v>
      </c>
      <c r="N55" s="1809" t="str">
        <f>E59</f>
        <v>——</v>
      </c>
      <c r="O55" s="1757" t="str">
        <f>F59</f>
        <v>——</v>
      </c>
    </row>
    <row r="56" spans="1:35" ht="24.75" hidden="1">
      <c r="A56" s="3089" t="s">
        <v>2221</v>
      </c>
      <c r="B56" s="3090"/>
      <c r="C56" s="3090"/>
      <c r="D56" s="185">
        <f ca="1">IF(H56="个人住宅",D57,D58)</f>
        <v>16243</v>
      </c>
      <c r="E56" s="11" t="s">
        <v>2222</v>
      </c>
      <c r="F56" s="184" t="str">
        <f>IF(H56="正常",F58,"免征")</f>
        <v>——</v>
      </c>
      <c r="G56" s="2486" t="s">
        <v>2223</v>
      </c>
      <c r="H56" s="2487" t="s">
        <v>2220</v>
      </c>
      <c r="I56" s="2488"/>
      <c r="J56" s="1811" t="str">
        <f>IF(项目基本情况!K6="上海银行",IF(J55="",4,J55+1),"")</f>
        <v/>
      </c>
      <c r="K56" s="3163" t="str">
        <f>IF(项目基本情况!K6="上海银行","其他处置费用","")</f>
        <v/>
      </c>
      <c r="L56" s="3164"/>
      <c r="M56" s="1753" t="str">
        <f>IF(项目基本情况!K6="上海银行",M69,"")</f>
        <v/>
      </c>
      <c r="N56" s="3166" t="str">
        <f>IF(项目基本情况!K6="上海银行","包含处置中涉及的律师、诉讼、拍卖、评估等费用","")</f>
        <v/>
      </c>
      <c r="O56" s="3167"/>
    </row>
    <row r="57" spans="1:35" ht="12.75" hidden="1">
      <c r="A57" s="183" t="s">
        <v>2196</v>
      </c>
      <c r="B57" s="3105" t="s">
        <v>2224</v>
      </c>
      <c r="C57" s="3114"/>
      <c r="D57" s="187">
        <v>0</v>
      </c>
      <c r="E57" s="23" t="s">
        <v>2198</v>
      </c>
      <c r="F57" s="155"/>
      <c r="G57" s="2484"/>
      <c r="H57" s="2488"/>
      <c r="I57" s="2488"/>
      <c r="J57" s="3140">
        <f>IF(AND(J55="",J56=""),4,IF(项目基本情况!K6="上海银行",结果表!J56+1,结果表!J55+1))</f>
        <v>4</v>
      </c>
      <c r="K57" s="3140" t="s">
        <v>2225</v>
      </c>
      <c r="L57" s="2489" t="s">
        <v>2226</v>
      </c>
      <c r="M57" s="1758"/>
      <c r="N57" s="1759">
        <f ca="1">SUMIF(M52:M56,"&lt;9e307")</f>
        <v>16257</v>
      </c>
      <c r="O57" s="2490"/>
      <c r="P57" s="1752">
        <f ca="1">N57/M49</f>
        <v>0.56646573051325833</v>
      </c>
    </row>
    <row r="58" spans="1:35" ht="24.75" hidden="1">
      <c r="A58" s="183" t="s">
        <v>2207</v>
      </c>
      <c r="B58" s="3105" t="s">
        <v>2227</v>
      </c>
      <c r="C58" s="3106"/>
      <c r="D58" s="185">
        <f ca="1">IF(H58="转让取得",C81,C97)</f>
        <v>16243</v>
      </c>
      <c r="E58" s="11" t="s">
        <v>2222</v>
      </c>
      <c r="F58" s="24" t="s">
        <v>34</v>
      </c>
      <c r="G58" s="2484"/>
      <c r="H58" s="2487" t="s">
        <v>2228</v>
      </c>
      <c r="I58" s="2488"/>
      <c r="J58" s="3140"/>
      <c r="K58" s="3140"/>
      <c r="L58" s="2489" t="s">
        <v>2229</v>
      </c>
      <c r="M58" s="1760"/>
      <c r="N58" s="2491" t="str">
        <f ca="1">NUMBERSTRING(INT(N57*10000),2)&amp;"元整"</f>
        <v>壹亿陆仟贰佰伍拾柒万元整</v>
      </c>
      <c r="O58" s="2492"/>
    </row>
    <row r="59" spans="1:35" ht="24.75" hidden="1" thickBot="1">
      <c r="A59" s="3143" t="s">
        <v>2230</v>
      </c>
      <c r="B59" s="3144"/>
      <c r="C59" s="3144"/>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141">
        <f>J57+1</f>
        <v>5</v>
      </c>
      <c r="K59" s="3140" t="s">
        <v>2232</v>
      </c>
      <c r="L59" s="1811" t="s">
        <v>2226</v>
      </c>
      <c r="M59" s="1761"/>
      <c r="N59" s="1762">
        <f ca="1">M49-N57</f>
        <v>12442</v>
      </c>
      <c r="O59" s="2494"/>
    </row>
    <row r="60" spans="1:35" ht="12" hidden="1" customHeight="1">
      <c r="A60" s="2495"/>
      <c r="B60" s="2417"/>
      <c r="C60" s="2417"/>
      <c r="D60" s="2417"/>
      <c r="E60" s="2164"/>
      <c r="F60" s="2488"/>
      <c r="G60" s="2488"/>
      <c r="H60" s="2496"/>
      <c r="I60" s="138"/>
      <c r="J60" s="3142"/>
      <c r="K60" s="3140"/>
      <c r="L60" s="2489" t="s">
        <v>2229</v>
      </c>
      <c r="M60" s="1760"/>
      <c r="N60" s="2491" t="str">
        <f ca="1">NUMBERSTRING(INT(N59*10000),2)&amp;"元整"</f>
        <v>壹亿贰仟肆佰肆拾贰万元整</v>
      </c>
      <c r="O60" s="2492"/>
    </row>
    <row r="61" spans="1:35" ht="13.5" hidden="1" thickBot="1">
      <c r="A61" s="3087" t="s">
        <v>2233</v>
      </c>
      <c r="B61" s="3087"/>
      <c r="C61" s="3087"/>
      <c r="D61" s="3087"/>
      <c r="E61" s="3087"/>
      <c r="F61" s="2488"/>
      <c r="G61" s="2488"/>
      <c r="H61" s="2496"/>
      <c r="I61" s="138"/>
      <c r="J61" s="1811">
        <f>J59+1</f>
        <v>6</v>
      </c>
      <c r="K61" s="3140" t="s">
        <v>2234</v>
      </c>
      <c r="L61" s="3140"/>
      <c r="M61" s="1763"/>
      <c r="N61" s="1764">
        <f ca="1">ROUND(N59*10000/'数据-汇总表'!E3,0)</f>
        <v>4049</v>
      </c>
      <c r="O61" s="2497"/>
    </row>
    <row r="62" spans="1:35" ht="12.75" hidden="1">
      <c r="A62" s="3103" t="s">
        <v>2235</v>
      </c>
      <c r="B62" s="3104"/>
      <c r="C62" s="1803"/>
      <c r="D62" s="1803" t="s">
        <v>2236</v>
      </c>
      <c r="E62" s="192" t="s">
        <v>2237</v>
      </c>
      <c r="F62" s="2488"/>
      <c r="G62" s="2488"/>
      <c r="H62" s="2496"/>
      <c r="I62" s="138"/>
    </row>
    <row r="63" spans="1:35" ht="12.75" hidden="1">
      <c r="A63" s="203" t="s">
        <v>775</v>
      </c>
      <c r="B63" s="193" t="s">
        <v>2238</v>
      </c>
      <c r="C63" s="194">
        <f ca="1">ROUND((C64+C65)/(1+'数据-取费表'!C42),0)</f>
        <v>27332</v>
      </c>
      <c r="D63" s="195"/>
      <c r="E63" s="196"/>
      <c r="F63" s="2488"/>
      <c r="G63" s="2488"/>
      <c r="H63" s="2496"/>
      <c r="I63" s="138"/>
      <c r="J63" s="3165" t="s">
        <v>2239</v>
      </c>
      <c r="K63" s="2498" t="s">
        <v>2240</v>
      </c>
      <c r="L63" s="1751">
        <f ca="1">IF(M49&gt;10000,M49*0.5%,IF(AND(M49&gt;1000,M49&lt;=10000),M49*1%,IF(AND(M49&gt;100,M49&lt;=1000),M49*3%,IF(AND(M49&gt;10,M49&lt;=100),M49*5%,M49*8%))))</f>
        <v>143.495</v>
      </c>
      <c r="M63" s="24">
        <f ca="1">ROUND(L63,1)</f>
        <v>143.5</v>
      </c>
      <c r="Z63" s="2422"/>
      <c r="AI63" s="2423"/>
    </row>
    <row r="64" spans="1:35" ht="14.25" hidden="1" customHeight="1">
      <c r="A64" s="197" t="s">
        <v>770</v>
      </c>
      <c r="B64" s="198" t="s">
        <v>2241</v>
      </c>
      <c r="C64" s="199">
        <f ca="1">D45</f>
        <v>28699</v>
      </c>
      <c r="D64" s="200" t="s">
        <v>32</v>
      </c>
      <c r="E64" s="201"/>
      <c r="F64" s="2488"/>
      <c r="G64" s="2488"/>
      <c r="H64" s="2496"/>
      <c r="I64" s="138"/>
      <c r="J64" s="3165"/>
      <c r="K64" s="2498" t="s">
        <v>2242</v>
      </c>
      <c r="L64" s="1751">
        <f ca="1">IF(M49&gt;2000,M49*0.5%,IF(AND(M49&gt;1000,M49&lt;=2000),M49*0.6%,IF(AND(M49&gt;500,M49&lt;=1000),M49*0.7%,IF(AND(M49&gt;200,M49&lt;=500),M49*0.8%,IF(AND(M49&gt;100,M49&lt;=200),M49*0.9%,IF(AND(M49&gt;50,M49&lt;=100),M49*1%,IF(AND(M49&gt;20,M49&lt;=50),M49*1.5%,IF(AND(M49&gt;10,M49&lt;=20),M49*2%,IF(AND(M49&gt;1,M49&lt;=10),M49*2.5%)))))))))</f>
        <v>143.495</v>
      </c>
      <c r="M64" s="24">
        <f t="shared" ref="M64:M65" ca="1" si="1">ROUND(L64,1)</f>
        <v>143.5</v>
      </c>
      <c r="N64" s="138" t="s">
        <v>2243</v>
      </c>
      <c r="Z64" s="2422"/>
      <c r="AI64" s="2423"/>
    </row>
    <row r="65" spans="1:35" ht="14.25" hidden="1" customHeight="1">
      <c r="A65" s="197" t="s">
        <v>771</v>
      </c>
      <c r="B65" s="198" t="s">
        <v>2244</v>
      </c>
      <c r="C65" s="202"/>
      <c r="D65" s="200"/>
      <c r="E65" s="201"/>
      <c r="F65" s="2488"/>
      <c r="G65" s="2488"/>
      <c r="H65" s="2496"/>
      <c r="I65" s="138"/>
      <c r="J65" s="3165"/>
      <c r="K65" s="2498" t="s">
        <v>2245</v>
      </c>
      <c r="L65" s="1751">
        <f ca="1">IF(M49&gt;1000,M49*0.1%,IF(AND(M49&gt;500,M49&lt;=1000),M49*0.5%,IF(AND(M49&gt;50,M49&lt;=500),M49*1%,IF(AND(M49&gt;1,M49&lt;=50),M49*1.5%))))</f>
        <v>28.699000000000002</v>
      </c>
      <c r="M65" s="24">
        <f t="shared" ca="1" si="1"/>
        <v>28.7</v>
      </c>
      <c r="N65" s="138" t="s">
        <v>2243</v>
      </c>
      <c r="Z65" s="2422"/>
      <c r="AI65" s="2423"/>
    </row>
    <row r="66" spans="1:35" ht="14.25" hidden="1" customHeight="1">
      <c r="A66" s="203" t="s">
        <v>772</v>
      </c>
      <c r="B66" s="204" t="s">
        <v>2246</v>
      </c>
      <c r="C66" s="205"/>
      <c r="D66" s="206" t="s">
        <v>32</v>
      </c>
      <c r="E66" s="1775" t="s">
        <v>1371</v>
      </c>
      <c r="F66" s="2488"/>
      <c r="G66" s="2488"/>
      <c r="H66" s="2496"/>
      <c r="I66" s="138"/>
      <c r="J66" s="3165"/>
      <c r="K66" s="2498" t="s">
        <v>2247</v>
      </c>
      <c r="L66" s="1751">
        <f ca="1">M49*0.5%</f>
        <v>143.495</v>
      </c>
      <c r="M66" s="24">
        <f ca="1">IF(L66&gt;0.5,0.5,ROUND(L66,0))</f>
        <v>0.5</v>
      </c>
      <c r="N66" s="138" t="s">
        <v>2248</v>
      </c>
      <c r="Z66" s="2422"/>
      <c r="AI66" s="2423"/>
    </row>
    <row r="67" spans="1:35" ht="14.25" hidden="1" customHeight="1">
      <c r="A67" s="203" t="s">
        <v>773</v>
      </c>
      <c r="B67" s="204" t="s">
        <v>2249</v>
      </c>
      <c r="C67" s="207">
        <f ca="1">C63-C66</f>
        <v>27332</v>
      </c>
      <c r="D67" s="200" t="s">
        <v>32</v>
      </c>
      <c r="E67" s="201"/>
      <c r="F67" s="2488"/>
      <c r="G67" s="2488"/>
      <c r="H67" s="2496"/>
      <c r="I67" s="138"/>
      <c r="J67" s="3165"/>
      <c r="K67" s="2498" t="s">
        <v>2250</v>
      </c>
      <c r="L67" s="1751">
        <f ca="1">IF(M49&gt;=10000,(8.25+(M49-10000)*0.01%),IF(AND(M49&gt;=8000,M49&lt;10000),(7.85+(M49-8000)*0.02%),IF(AND(M49&gt;=5000,M49&lt;8000),(6.65+(M49-5000)*0.04%),IF(AND(M49&gt;=2000,M49&lt;5000),(4.25+(PM49-2000)*0.08%),IF(AND(M49&gt;=1000,M49&lt;2000),(2.75+(M49-1000)*0.15%),IF(AND(M49&gt;=100,M49&lt;1000),(0.5+(M49-100)*0.25%),IF(AND(M49&gt;0,M49&lt;100),M49*0.5%)))))))</f>
        <v>10.119899999999999</v>
      </c>
      <c r="M67" s="24">
        <f ca="1">ROUND(L67*0.9,1)</f>
        <v>9.1</v>
      </c>
      <c r="Z67" s="2422"/>
      <c r="AI67" s="2423"/>
    </row>
    <row r="68" spans="1:35" ht="14.25" hidden="1" customHeight="1" thickBot="1">
      <c r="A68" s="208" t="s">
        <v>774</v>
      </c>
      <c r="B68" s="209" t="s">
        <v>2251</v>
      </c>
      <c r="C68" s="210">
        <f ca="1">IF(C67&lt;=0,0,ROUND(C67*D68,0))</f>
        <v>1531</v>
      </c>
      <c r="D68" s="211">
        <f>'数据-取费表'!B41</f>
        <v>5.6000000000000001E-2</v>
      </c>
      <c r="E68" s="212"/>
      <c r="F68" s="2488"/>
      <c r="G68" s="2488"/>
      <c r="H68" s="2496"/>
      <c r="I68" s="138"/>
      <c r="J68" s="3165"/>
      <c r="K68" s="2498" t="s">
        <v>2252</v>
      </c>
      <c r="L68" s="1751">
        <f ca="1">IF(M49&gt;10000,M49*0.5%,IF(AND(M49&gt;5000,M49&lt;=10000),M49*1%,IF(AND(M49&gt;1000,M49&lt;=5000),M49*2%,IF(AND(M49&gt;200,M49&lt;=1000),M49*3%,M49*5%))))</f>
        <v>143.495</v>
      </c>
      <c r="M68" s="24">
        <f ca="1">ROUND(L68,1)</f>
        <v>143.5</v>
      </c>
      <c r="Z68" s="2422"/>
      <c r="AI68" s="2423"/>
    </row>
    <row r="69" spans="1:35" s="2445" customFormat="1" ht="16.5" hidden="1" customHeight="1">
      <c r="A69" s="2499"/>
      <c r="B69" s="2500"/>
      <c r="C69" s="2501"/>
      <c r="D69" s="2502"/>
      <c r="E69" s="2503"/>
      <c r="F69" s="2164"/>
      <c r="G69" s="2164"/>
      <c r="H69" s="2163"/>
      <c r="I69" s="2417"/>
      <c r="J69" s="3165"/>
      <c r="K69" s="2498" t="s">
        <v>2253</v>
      </c>
      <c r="L69" s="2504"/>
      <c r="M69" s="24">
        <f ca="1">ROUND(SUM(M63:M68),0)</f>
        <v>469</v>
      </c>
      <c r="N69" s="1752">
        <f ca="1">M69/M49</f>
        <v>1.6342032823443327E-2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hidden="1" thickBot="1">
      <c r="A70" s="3124" t="s">
        <v>2254</v>
      </c>
      <c r="B70" s="3125"/>
      <c r="C70" s="3125"/>
      <c r="D70" s="3125"/>
      <c r="E70" s="3125"/>
      <c r="F70" s="3125"/>
      <c r="G70" s="3125"/>
      <c r="H70" s="312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103" t="s">
        <v>2235</v>
      </c>
      <c r="B71" s="3104"/>
      <c r="C71" s="1803"/>
      <c r="D71" s="1803"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2255</v>
      </c>
      <c r="C72" s="207">
        <f ca="1">ROUND(D45/(1+'数据-取费表'!C42),0)</f>
        <v>27332</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2256</v>
      </c>
      <c r="C73" s="207">
        <f ca="1">C74+C78</f>
        <v>164</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2257</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2258</v>
      </c>
      <c r="C75" s="218"/>
      <c r="D75" s="200" t="s">
        <v>32</v>
      </c>
      <c r="E75" s="219" t="s">
        <v>2259</v>
      </c>
      <c r="F75" s="2510" t="s">
        <v>2260</v>
      </c>
      <c r="G75" s="219" t="s">
        <v>2261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2262</v>
      </c>
      <c r="C76" s="200">
        <f>IF(F75="购房发票",ROUND(C75*H75*D76,0),0)</f>
        <v>0</v>
      </c>
      <c r="D76" s="222">
        <v>0.05</v>
      </c>
      <c r="E76" s="3098" t="s">
        <v>2263</v>
      </c>
      <c r="F76" s="3075"/>
      <c r="G76" s="3075"/>
      <c r="H76" s="312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2" t="s">
        <v>2266</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2267</v>
      </c>
      <c r="C78" s="225">
        <f ca="1">ROUND(D45*D78/(1+'数据-取费表'!C42),0)</f>
        <v>164</v>
      </c>
      <c r="D78" s="226">
        <f>'数据-取费表'!B43</f>
        <v>6.000000000000001E-3</v>
      </c>
      <c r="E78" s="3084" t="s">
        <v>2268</v>
      </c>
      <c r="F78" s="3085"/>
      <c r="G78" s="3085"/>
      <c r="H78" s="309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2269</v>
      </c>
      <c r="C79" s="207">
        <f ca="1">C72-C73</f>
        <v>27168</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2270</v>
      </c>
      <c r="C80" s="227">
        <f ca="1">IF(C79&lt;=0,0,C79/C73)</f>
        <v>165.65853658536585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2271</v>
      </c>
      <c r="C81" s="228">
        <f ca="1">ROUND(IF(C79&lt;=0,0,IF(C80&gt;=200%,C79*60%-C73*35%,IF(C80&gt;=100%,C79*50%-C73*15%,IF(C80&gt;=50%,C79*40%-C73*5%,IF(C80&lt;50%,C79*30%,0))))),0)</f>
        <v>16243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124" t="s">
        <v>2272</v>
      </c>
      <c r="B83" s="3125"/>
      <c r="C83" s="3125"/>
      <c r="D83" s="3125"/>
      <c r="E83" s="3125"/>
      <c r="F83" s="3125"/>
      <c r="G83" s="3125"/>
      <c r="H83" s="312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103" t="s">
        <v>2235</v>
      </c>
      <c r="B84" s="3104"/>
      <c r="C84" s="1803"/>
      <c r="D84" s="1803"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2255</v>
      </c>
      <c r="C85" s="207">
        <f ca="1">ROUND(D45/(1+'数据-取费表'!C42),0)</f>
        <v>27332</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2256</v>
      </c>
      <c r="C86" s="207">
        <f ca="1">IF(H88="仅含出让金",C87+C90+C91+C92+C93+C94,C87+C91+C92+C93+C94)</f>
        <v>164</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2273</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2274</v>
      </c>
      <c r="C88" s="236"/>
      <c r="D88" s="226"/>
      <c r="E88" s="237" t="s">
        <v>2275</v>
      </c>
      <c r="F88" s="1799"/>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2264</v>
      </c>
      <c r="C89" s="225">
        <f>ROUND(C88*D89,0)</f>
        <v>0</v>
      </c>
      <c r="D89" s="226">
        <f>'数据-取费表'!B48+'数据-取费表'!B49</f>
        <v>3.0499999999999999E-2</v>
      </c>
      <c r="E89" s="237" t="s">
        <v>2277</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2278</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2279</v>
      </c>
      <c r="B91" s="198" t="s">
        <v>2280</v>
      </c>
      <c r="C91" s="225">
        <f>IF(H91="——",成本法!C33,I91)</f>
        <v>0</v>
      </c>
      <c r="D91" s="226"/>
      <c r="E91" s="3084" t="s">
        <v>2281</v>
      </c>
      <c r="F91" s="3085"/>
      <c r="G91" s="3085"/>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2283</v>
      </c>
      <c r="B92" s="198" t="s">
        <v>2284</v>
      </c>
      <c r="C92" s="225">
        <f>ROUND((C87+C90+C91)*D92,0)</f>
        <v>0</v>
      </c>
      <c r="D92" s="226">
        <v>0.1</v>
      </c>
      <c r="E92" s="3084" t="s">
        <v>2285</v>
      </c>
      <c r="F92" s="3085"/>
      <c r="G92" s="3085"/>
      <c r="H92" s="309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2286</v>
      </c>
      <c r="B93" s="198" t="s">
        <v>2267</v>
      </c>
      <c r="C93" s="225">
        <f ca="1">ROUND(D45*D93/(1+'数据-取费表'!C42),0)</f>
        <v>164</v>
      </c>
      <c r="D93" s="226">
        <f>'数据-取费表'!B43</f>
        <v>6.000000000000001E-3</v>
      </c>
      <c r="E93" s="3084" t="s">
        <v>2268</v>
      </c>
      <c r="F93" s="3085"/>
      <c r="G93" s="3085"/>
      <c r="H93" s="309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2287</v>
      </c>
      <c r="B94" s="198" t="s">
        <v>2288</v>
      </c>
      <c r="C94" s="236">
        <f>ROUND((C87+C90+C91)*D94,0)</f>
        <v>0</v>
      </c>
      <c r="D94" s="226">
        <v>0.2</v>
      </c>
      <c r="E94" s="3095" t="s">
        <v>2289</v>
      </c>
      <c r="F94" s="3096"/>
      <c r="G94" s="3096"/>
      <c r="H94" s="309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2269</v>
      </c>
      <c r="C95" s="207">
        <f ca="1">ROUND(C85-C86,0)</f>
        <v>27168</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2270</v>
      </c>
      <c r="C96" s="227">
        <f ca="1">IF(C95&lt;=0,0,C95/C86)</f>
        <v>165.65853658536585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2271</v>
      </c>
      <c r="C97" s="228">
        <f ca="1">ROUND(IF(C95&lt;=0,0,IF(C96&gt;=200%,C95*60%-C86*35%,IF(C96&gt;=100%,C95*50%-C86*15%,IF(C96&gt;=50%,C95*40%-C86*5%,IF(C96&lt;50%,C95*30%,0))))),0)</f>
        <v>16243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4"/>
      <c r="F98" s="2164"/>
      <c r="G98" s="2164"/>
      <c r="H98" s="2163"/>
      <c r="I98" s="138"/>
    </row>
    <row r="99" spans="1:35" ht="21.75" customHeight="1" thickBot="1">
      <c r="A99" s="2473" t="s">
        <v>2290</v>
      </c>
      <c r="B99" s="2417"/>
      <c r="C99" s="2417"/>
      <c r="D99" s="2417"/>
      <c r="E99" s="2164"/>
      <c r="F99" s="2164"/>
      <c r="G99" s="2164"/>
      <c r="H99" s="2163"/>
      <c r="I99" s="138"/>
    </row>
    <row r="100" spans="1:35" ht="18.75" customHeight="1">
      <c r="A100" s="3069" t="s">
        <v>2291</v>
      </c>
      <c r="B100" s="3070"/>
      <c r="C100" s="3070"/>
      <c r="D100" s="3086"/>
      <c r="E100" s="3070" t="s">
        <v>2292</v>
      </c>
      <c r="F100" s="3070"/>
      <c r="G100" s="3070"/>
      <c r="H100" s="3086"/>
      <c r="I100" s="138"/>
    </row>
    <row r="101" spans="1:35" ht="18.75" customHeight="1">
      <c r="A101" s="3148" t="s">
        <v>2293</v>
      </c>
      <c r="B101" s="3149"/>
      <c r="C101" s="736" t="str">
        <f>C4</f>
        <v>成本法</v>
      </c>
      <c r="D101" s="737" t="str">
        <f>D4</f>
        <v>收益法-出租</v>
      </c>
      <c r="E101" s="3162" t="s">
        <v>2294</v>
      </c>
      <c r="F101" s="3116"/>
      <c r="G101" s="2519" t="s">
        <v>2295</v>
      </c>
      <c r="H101" s="1047">
        <f ca="1">H118</f>
        <v>28699</v>
      </c>
      <c r="I101" s="138"/>
      <c r="J101" s="795" t="e">
        <f ca="1">ROUND(H101*10000/租金案例!O8,0)</f>
        <v>#DIV/0!</v>
      </c>
    </row>
    <row r="102" spans="1:35" ht="18.75" customHeight="1">
      <c r="A102" s="3118" t="s">
        <v>2296</v>
      </c>
      <c r="B102" s="2519" t="s">
        <v>2295</v>
      </c>
      <c r="C102" s="736">
        <f ca="1">C19</f>
        <v>10450</v>
      </c>
      <c r="D102" s="737">
        <f ca="1">D19</f>
        <v>28699</v>
      </c>
      <c r="E102" s="3162"/>
      <c r="F102" s="3116"/>
      <c r="G102" s="2519" t="s">
        <v>2297</v>
      </c>
      <c r="H102" s="371">
        <f ca="1">I118</f>
        <v>9340</v>
      </c>
      <c r="I102" s="138"/>
    </row>
    <row r="103" spans="1:35" ht="42.75" customHeight="1">
      <c r="A103" s="3118"/>
      <c r="B103" s="2519" t="s">
        <v>2297</v>
      </c>
      <c r="C103" s="738">
        <f ca="1">C20</f>
        <v>3401</v>
      </c>
      <c r="D103" s="739">
        <f ca="1">D20</f>
        <v>9340</v>
      </c>
      <c r="E103" s="3157" t="s">
        <v>2298</v>
      </c>
      <c r="F103" s="3158"/>
      <c r="G103" s="2520" t="s">
        <v>2299</v>
      </c>
      <c r="H103" s="1047">
        <f>IF(D36="正常操作",H104+H105+H106,H105+H106)</f>
        <v>0</v>
      </c>
      <c r="I103" s="138"/>
    </row>
    <row r="104" spans="1:35" ht="18.75" customHeight="1">
      <c r="A104" s="3118" t="s">
        <v>2300</v>
      </c>
      <c r="B104" s="2521" t="s">
        <v>2295</v>
      </c>
      <c r="C104" s="740">
        <f ca="1">H118</f>
        <v>28699</v>
      </c>
      <c r="D104" s="741"/>
      <c r="E104" s="2265" t="s">
        <v>2301</v>
      </c>
      <c r="F104" s="2256"/>
      <c r="G104" s="2520" t="s">
        <v>2299</v>
      </c>
      <c r="H104" s="1048">
        <f>IF(D36="同一抵押权人同一抵押物续贷",C36&amp;"（未扣减，详见特别提示）",C36)</f>
        <v>0</v>
      </c>
      <c r="I104" s="138"/>
    </row>
    <row r="105" spans="1:35" ht="18.75" customHeight="1" thickBot="1">
      <c r="A105" s="3119"/>
      <c r="B105" s="2522" t="s">
        <v>2297</v>
      </c>
      <c r="C105" s="742">
        <f ca="1">I118</f>
        <v>9340</v>
      </c>
      <c r="D105" s="743"/>
      <c r="E105" s="2265" t="s">
        <v>2302</v>
      </c>
      <c r="F105" s="2256"/>
      <c r="G105" s="2520" t="s">
        <v>2299</v>
      </c>
      <c r="H105" s="1048">
        <f>C37</f>
        <v>0</v>
      </c>
      <c r="I105" s="138"/>
    </row>
    <row r="106" spans="1:35" ht="18.75" customHeight="1">
      <c r="A106" s="2417" t="s">
        <v>2303</v>
      </c>
      <c r="B106" s="2417"/>
      <c r="C106" s="2417"/>
      <c r="D106" s="2417"/>
      <c r="E106" s="2523" t="s">
        <v>2304</v>
      </c>
      <c r="F106" s="2256"/>
      <c r="G106" s="2520" t="s">
        <v>2299</v>
      </c>
      <c r="H106" s="1048">
        <f>C38</f>
        <v>0</v>
      </c>
      <c r="I106" s="138"/>
    </row>
    <row r="107" spans="1:35" ht="18.75" customHeight="1">
      <c r="A107" s="138"/>
      <c r="B107" s="138"/>
      <c r="C107" s="138"/>
      <c r="D107" s="138"/>
      <c r="E107" s="3115" t="str">
        <f>IF(项目基本情况!E8="已注销","——","3.房地产抵押价值")</f>
        <v>3.房地产抵押价值</v>
      </c>
      <c r="F107" s="3116"/>
      <c r="G107" s="2519" t="s">
        <v>2295</v>
      </c>
      <c r="H107" s="1047">
        <f ca="1">IF(E107="——","——",H101-H103)</f>
        <v>28699</v>
      </c>
      <c r="I107" s="138"/>
    </row>
    <row r="108" spans="1:35" ht="18.75" customHeight="1">
      <c r="A108" s="138"/>
      <c r="B108" s="138"/>
      <c r="C108" s="138"/>
      <c r="D108" s="138"/>
      <c r="E108" s="3115"/>
      <c r="F108" s="3116"/>
      <c r="G108" s="2519" t="s">
        <v>2297</v>
      </c>
      <c r="H108" s="371">
        <f ca="1">ROUND(H107*10000/'数据-汇总表'!E3,0)</f>
        <v>9340</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116"/>
      <c r="G109" s="2519" t="s">
        <v>2295</v>
      </c>
      <c r="H109" s="348" t="str">
        <f>IF(E109="——","——",H101-H105-H106)</f>
        <v>——</v>
      </c>
      <c r="I109" s="138"/>
    </row>
    <row r="110" spans="1:35" ht="18.75" customHeight="1">
      <c r="A110" s="138"/>
      <c r="B110" s="138"/>
      <c r="C110" s="138"/>
      <c r="D110" s="138"/>
      <c r="E110" s="3115"/>
      <c r="F110" s="3116"/>
      <c r="G110" s="2519" t="s">
        <v>2297</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19" t="s">
        <v>2295</v>
      </c>
      <c r="H111" s="1047" t="str">
        <f>IF(E111="——","——",N59)</f>
        <v>——</v>
      </c>
      <c r="I111" s="138"/>
    </row>
    <row r="112" spans="1:35" ht="18.75" customHeight="1" thickBot="1">
      <c r="A112" s="138"/>
      <c r="B112" s="138"/>
      <c r="C112" s="138"/>
      <c r="D112" s="138"/>
      <c r="E112" s="3152"/>
      <c r="F112" s="3153"/>
      <c r="G112" s="2524" t="s">
        <v>2297</v>
      </c>
      <c r="H112" s="790" t="str">
        <f>IF(E111="——","——",N61)</f>
        <v>——</v>
      </c>
      <c r="I112" s="138"/>
    </row>
    <row r="113" spans="1:11" ht="18.75" customHeight="1">
      <c r="A113" s="138"/>
      <c r="B113" s="138"/>
      <c r="C113" s="138"/>
      <c r="D113" s="138"/>
      <c r="E113" s="3120" t="s">
        <v>2303</v>
      </c>
      <c r="F113" s="3120"/>
      <c r="G113" s="3120"/>
      <c r="H113" s="3120"/>
      <c r="I113" s="138"/>
    </row>
    <row r="114" spans="1:11" ht="3.75" customHeight="1">
      <c r="A114" s="2417"/>
      <c r="B114" s="2417"/>
      <c r="C114" s="2417"/>
      <c r="D114" s="2417"/>
      <c r="E114" s="2495"/>
      <c r="F114" s="2495"/>
      <c r="G114" s="2495"/>
      <c r="H114" s="2495"/>
      <c r="I114" s="2417"/>
    </row>
    <row r="115" spans="1:11" ht="18.75" customHeight="1">
      <c r="A115" s="3133" t="s">
        <v>2305</v>
      </c>
      <c r="B115" s="3134"/>
      <c r="C115" s="3134"/>
      <c r="D115" s="3134"/>
      <c r="E115" s="3134"/>
      <c r="F115" s="3134"/>
      <c r="G115" s="3134"/>
      <c r="H115" s="3134"/>
      <c r="I115" s="3135"/>
    </row>
    <row r="116" spans="1:11" ht="27" customHeight="1">
      <c r="A116" s="3029" t="s">
        <v>2306</v>
      </c>
      <c r="B116" s="3121" t="s">
        <v>2307</v>
      </c>
      <c r="C116" s="3121" t="s">
        <v>2308</v>
      </c>
      <c r="D116" s="3137" t="s">
        <v>2309</v>
      </c>
      <c r="E116" s="3138"/>
      <c r="F116" s="3129" t="s">
        <v>2310</v>
      </c>
      <c r="G116" s="3129"/>
      <c r="H116" s="3029" t="s">
        <v>2311</v>
      </c>
      <c r="I116" s="3029"/>
    </row>
    <row r="117" spans="1:11" ht="18.75" customHeight="1">
      <c r="A117" s="3029"/>
      <c r="B117" s="3122"/>
      <c r="C117" s="3122"/>
      <c r="D117" s="1797" t="s">
        <v>2312</v>
      </c>
      <c r="E117" s="1797" t="s">
        <v>2313</v>
      </c>
      <c r="F117" s="1797" t="s">
        <v>2312</v>
      </c>
      <c r="G117" s="1797" t="s">
        <v>2314</v>
      </c>
      <c r="H117" s="1797" t="s">
        <v>2312</v>
      </c>
      <c r="I117" s="1797" t="s">
        <v>2314</v>
      </c>
    </row>
    <row r="118" spans="1:11" ht="24.75" customHeight="1">
      <c r="A118" s="2525" t="str">
        <f>项目基本情况!S2</f>
        <v>北京市北京市朝阳区东风乡绿隔地区第四宗地J-7地块7#商业楼-1层-101等6套房屋、J-8地块8#商业楼-2层001等49套房屋商业、库房、车位用房房地产</v>
      </c>
      <c r="B118" s="1797">
        <f>M18</f>
        <v>30726.57</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28699</v>
      </c>
      <c r="I118" s="1797">
        <f ca="1">ROUND(IF(D32="楼面单价",C32,H118*10000/B118),0)</f>
        <v>9340</v>
      </c>
    </row>
    <row r="119" spans="1:11" ht="18.75" customHeight="1">
      <c r="A119" s="3029" t="s">
        <v>2315</v>
      </c>
      <c r="B119" s="3029"/>
      <c r="C119" s="3029"/>
      <c r="D119" s="3126" t="e">
        <f ca="1">NUMBERSTRING(INT(D118*10000),2)&amp;"元整"</f>
        <v>#REF!</v>
      </c>
      <c r="E119" s="3128"/>
      <c r="F119" s="3126" t="e">
        <f ca="1">NUMBERSTRING(INT(F118*10000),2)&amp;"元整"</f>
        <v>#REF!</v>
      </c>
      <c r="G119" s="3128"/>
      <c r="H119" s="3126" t="str">
        <f ca="1">NUMBERSTRING(INT(H118*10000),2)&amp;"元整"</f>
        <v>贰亿捌仟陆佰玖拾玖万元整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2" t="str">
        <f>IF(D120=0,"故，本次评估不存在"&amp;A120,"故，本次评估"&amp;A120&amp;"为人民币"&amp;D120&amp;"万元整。")</f>
        <v>故，本次评估不存在估价师知悉的法定优先受偿款</v>
      </c>
    </row>
    <row r="121" spans="1:11" ht="18.75" customHeight="1">
      <c r="A121" s="3130" t="s">
        <v>2315</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28699</v>
      </c>
      <c r="E122" s="3155"/>
      <c r="F122" s="3155"/>
      <c r="G122" s="3155"/>
      <c r="H122" s="3155"/>
      <c r="I122" s="3156"/>
    </row>
    <row r="123" spans="1:11" ht="18.75" customHeight="1">
      <c r="A123" s="3029" t="s">
        <v>2315</v>
      </c>
      <c r="B123" s="3029"/>
      <c r="C123" s="3029"/>
      <c r="D123" s="3126" t="str">
        <f ca="1">NUMBERSTRING(INT(D122*10000),2)&amp;"元整"</f>
        <v>贰亿捌仟陆佰玖拾玖万元整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9" t="s">
        <v>2315</v>
      </c>
      <c r="B125" s="3029"/>
      <c r="C125" s="3029"/>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9" t="s">
        <v>2315</v>
      </c>
      <c r="B127" s="3029"/>
      <c r="C127" s="3029"/>
      <c r="D127" s="3126" t="e">
        <f>NUMBERSTRING(INT(D126*10000),2)&amp;"元整"</f>
        <v>#VALUE!</v>
      </c>
      <c r="E127" s="3127"/>
      <c r="F127" s="3127"/>
      <c r="G127" s="3127"/>
      <c r="H127" s="3127"/>
      <c r="I127" s="3128"/>
    </row>
    <row r="128" spans="1:11" ht="21.75" customHeight="1">
      <c r="A128" s="3136" t="s">
        <v>2316</v>
      </c>
      <c r="B128" s="3136"/>
      <c r="C128" s="3136"/>
      <c r="D128" s="3136"/>
      <c r="E128" s="3136"/>
      <c r="F128" s="3136"/>
      <c r="G128" s="3136"/>
      <c r="H128" s="3136"/>
      <c r="I128" s="3136"/>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7</v>
      </c>
    </row>
    <row r="2" spans="1:9" s="244" customFormat="1" ht="18" customHeight="1">
      <c r="A2" s="245" t="s">
        <v>2325</v>
      </c>
      <c r="B2" s="246">
        <f ca="1">IF(D2="——",C52,C52-E2)</f>
        <v>10450</v>
      </c>
      <c r="C2" s="243" t="s">
        <v>2326</v>
      </c>
      <c r="D2" s="2548" t="s">
        <v>70</v>
      </c>
      <c r="E2" s="1442"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3401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615</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615</v>
      </c>
      <c r="D8" s="266"/>
      <c r="E8" s="264"/>
      <c r="F8" s="265"/>
      <c r="G8" s="2551"/>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2"/>
      <c r="H9" s="1392"/>
      <c r="I9" s="2553" t="s">
        <v>2342</v>
      </c>
    </row>
    <row r="10" spans="1:9" s="258" customFormat="1" ht="13.5" customHeight="1">
      <c r="A10" s="953" t="s">
        <v>801</v>
      </c>
      <c r="B10" s="268" t="s">
        <v>2343</v>
      </c>
      <c r="C10" s="269">
        <f ca="1">ROUND(D10*E10/10000,0)</f>
        <v>615</v>
      </c>
      <c r="D10" s="1035">
        <f ca="1">IF(B1="",'数据-汇总表'!E6,IF(INDIRECT("'数据-取费表'!c"&amp;$G$1)="住宅",INDIRECT("'数据-取费表'!s"&amp;$G$1),INDIRECT("'数据-取费表'!k"&amp;$G$1)+INDIRECT("'数据-取费表'!s"&amp;$G$1)))</f>
        <v>30726.569999999992</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615</v>
      </c>
      <c r="D19" s="1039">
        <f ca="1">D9+D10</f>
        <v>30726.569999999992</v>
      </c>
      <c r="E19" s="255">
        <f>'数据-取费表'!B31</f>
        <v>200</v>
      </c>
      <c r="F19" s="275"/>
      <c r="G19" s="2551"/>
    </row>
    <row r="20" spans="1:7" s="258" customFormat="1" ht="13.5" customHeight="1">
      <c r="A20" s="299" t="s">
        <v>2356</v>
      </c>
      <c r="B20" s="254" t="s">
        <v>2357</v>
      </c>
      <c r="C20" s="276">
        <f ca="1">ROUND((C5+C19)*F20,0)</f>
        <v>25</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55</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7">
        <f ca="1">ROUND(IF('数据-取费表'!B22&lt;=1,C5*F22*'数据-取费表'!B23,C5*(POWER((1+F22),'数据-取费表'!B23)-1)),0)</f>
        <v>27</v>
      </c>
      <c r="D23" s="282"/>
      <c r="E23" s="282"/>
      <c r="F23" s="283"/>
      <c r="G23" s="284" t="s">
        <v>2367</v>
      </c>
    </row>
    <row r="24" spans="1:7" s="258" customFormat="1" ht="13.5" customHeight="1">
      <c r="A24" s="954" t="s">
        <v>2368</v>
      </c>
      <c r="B24" s="259" t="s">
        <v>2369</v>
      </c>
      <c r="C24" s="1357">
        <f ca="1">ROUND(IF('数据-取费表'!B22&lt;=1,C19*F22*('数据-取费表'!B19/2+'数据-取费表'!B21),C19*(POWER((1+F22),('数据-取费表'!B19/2+'数据-取费表'!B21))-1)),0)</f>
        <v>27</v>
      </c>
      <c r="D24" s="282"/>
      <c r="E24" s="282"/>
      <c r="F24" s="283"/>
      <c r="G24" s="284" t="s">
        <v>2370</v>
      </c>
    </row>
    <row r="25" spans="1:7" s="258" customFormat="1" ht="24">
      <c r="A25" s="954" t="s">
        <v>2371</v>
      </c>
      <c r="B25" s="259" t="s">
        <v>2372</v>
      </c>
      <c r="C25" s="1357">
        <f ca="1">ROUND(IF('数据-取费表'!B22&lt;=1,C20*F22*'数据-取费表'!B23/2,C20*(POWER((1+F22),'数据-取费表'!B23/2)-1)),0)</f>
        <v>1</v>
      </c>
      <c r="D25" s="282"/>
      <c r="E25" s="285"/>
      <c r="F25" s="283"/>
      <c r="G25" s="286" t="s">
        <v>2373</v>
      </c>
    </row>
    <row r="26" spans="1:7" s="258" customFormat="1">
      <c r="A26" s="954"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213</v>
      </c>
      <c r="D27" s="279">
        <f ca="1">C29</f>
        <v>3.3999999999999998E-3</v>
      </c>
      <c r="E27" s="280" t="s">
        <v>2377</v>
      </c>
      <c r="F27" s="290">
        <f ca="1">IF(B1="",'数据-取费表'!Q16,INDIRECT("'数据-取费表'!q"&amp;$G$1))</f>
        <v>0.17</v>
      </c>
      <c r="G27" s="291" t="s">
        <v>2378</v>
      </c>
    </row>
    <row r="28" spans="1:7" s="258" customFormat="1" ht="13.5" customHeight="1">
      <c r="A28" s="954" t="s">
        <v>791</v>
      </c>
      <c r="B28" s="292" t="s">
        <v>2379</v>
      </c>
      <c r="C28" s="293">
        <f ca="1">ROUND((C5+C19+C20)*F27*'数据-取费表'!B21/'数据-取费表'!B20,0)</f>
        <v>213</v>
      </c>
      <c r="D28" s="279"/>
      <c r="E28" s="280"/>
      <c r="F28" s="290"/>
      <c r="G28" s="291"/>
    </row>
    <row r="29" spans="1:7" s="258" customFormat="1" ht="13.5" customHeight="1">
      <c r="A29" s="954" t="s">
        <v>792</v>
      </c>
      <c r="B29" s="292" t="s">
        <v>2380</v>
      </c>
      <c r="C29" s="282">
        <f ca="1">ROUND(C21*F27*'数据-取费表'!B21/'数据-取费表'!B20,4)</f>
        <v>3.3999999999999998E-3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1650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7679</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6760</v>
      </c>
      <c r="D34" s="261"/>
      <c r="E34" s="264"/>
      <c r="F34" s="301">
        <f ca="1">IF('数据-取费表'!B24=0,1,IF(B1="",'数据-取费表'!N16,INDIRECT("'数据-取费表'!n"&amp;$G$1)))</f>
        <v>1</v>
      </c>
      <c r="G34" s="263" t="s">
        <v>2389</v>
      </c>
    </row>
    <row r="35" spans="1:7" ht="13.5" customHeight="1">
      <c r="A35" s="954" t="s">
        <v>796</v>
      </c>
      <c r="B35" s="259" t="s">
        <v>2390</v>
      </c>
      <c r="C35" s="264">
        <f ca="1">ROUND(C34*F35,0)</f>
        <v>203</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615</v>
      </c>
      <c r="D37" s="261">
        <f ca="1">D19</f>
        <v>30726.569999999992</v>
      </c>
      <c r="E37" s="293">
        <f>'数据-取费表'!B35</f>
        <v>200</v>
      </c>
      <c r="F37" s="303"/>
      <c r="G37" s="305" t="s">
        <v>2395</v>
      </c>
    </row>
    <row r="38" spans="1:7" ht="13.5" customHeight="1">
      <c r="A38" s="954" t="s">
        <v>799</v>
      </c>
      <c r="B38" s="259" t="s">
        <v>2396</v>
      </c>
      <c r="C38" s="264">
        <f ca="1">ROUND(C34*F38,0)</f>
        <v>101</v>
      </c>
      <c r="D38" s="264"/>
      <c r="E38" s="264"/>
      <c r="F38" s="303">
        <f>'数据-取费表'!B36</f>
        <v>1.4999999999999999E-2</v>
      </c>
      <c r="G38" s="263" t="s">
        <v>2391</v>
      </c>
    </row>
    <row r="39" spans="1:7" s="258" customFormat="1" ht="13.5" customHeight="1">
      <c r="A39" s="299" t="s">
        <v>2397</v>
      </c>
      <c r="B39" s="254" t="s">
        <v>2398</v>
      </c>
      <c r="C39" s="276">
        <f ca="1">ROUND(C33*F20,0)</f>
        <v>154</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170</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167</v>
      </c>
      <c r="D42" s="282"/>
      <c r="E42" s="282"/>
      <c r="F42" s="283"/>
      <c r="G42" s="3168" t="s">
        <v>2407</v>
      </c>
    </row>
    <row r="43" spans="1:7" ht="13.5" customHeight="1">
      <c r="A43" s="954" t="s">
        <v>792</v>
      </c>
      <c r="B43" s="259" t="s">
        <v>2408</v>
      </c>
      <c r="C43" s="282">
        <f ca="1">ROUND(IF('数据-取费表'!B22&lt;=1,C39*F22*'数据-取费表'!B21/2,C39*(POWER((1+F22),'数据-取费表'!B21/2)-1)),0)</f>
        <v>3</v>
      </c>
      <c r="D43" s="282"/>
      <c r="E43" s="282"/>
      <c r="F43" s="283"/>
      <c r="G43" s="3169"/>
    </row>
    <row r="44" spans="1:7" ht="13.5" customHeight="1">
      <c r="A44" s="954" t="s">
        <v>793</v>
      </c>
      <c r="B44" s="259" t="s">
        <v>2409</v>
      </c>
      <c r="C44" s="282">
        <f ca="1">ROUND(IF('数据-取费表'!B22&lt;=1,C40*F22*'数据-取费表'!B21/2,C40*(POWER((1+F22),'数据-取费表'!B21/2)-1)),4)</f>
        <v>4.0000000000000002E-4</v>
      </c>
      <c r="D44" s="282"/>
      <c r="E44" s="282"/>
      <c r="F44" s="283"/>
      <c r="G44" s="3170"/>
    </row>
    <row r="45" spans="1:7" s="258" customFormat="1" ht="13.5" customHeight="1">
      <c r="A45" s="299" t="s">
        <v>2410</v>
      </c>
      <c r="B45" s="288" t="s">
        <v>2376</v>
      </c>
      <c r="C45" s="289">
        <f ca="1">C46</f>
        <v>1332</v>
      </c>
      <c r="D45" s="279">
        <f ca="1">C47</f>
        <v>3.3999999999999998E-3</v>
      </c>
      <c r="E45" s="280" t="s">
        <v>2402</v>
      </c>
      <c r="F45" s="290"/>
      <c r="G45" s="291" t="s">
        <v>2411</v>
      </c>
    </row>
    <row r="46" spans="1:7" s="258" customFormat="1" ht="13.5" customHeight="1">
      <c r="A46" s="954" t="s">
        <v>791</v>
      </c>
      <c r="B46" s="292" t="s">
        <v>2412</v>
      </c>
      <c r="C46" s="293">
        <f ca="1">ROUND((C33+C39)*F27,0)</f>
        <v>1332</v>
      </c>
      <c r="D46" s="307"/>
      <c r="E46" s="280"/>
      <c r="F46" s="290"/>
      <c r="G46" s="291"/>
    </row>
    <row r="47" spans="1:7" s="258" customFormat="1" ht="13.5" customHeight="1">
      <c r="A47" s="954" t="s">
        <v>792</v>
      </c>
      <c r="B47" s="292" t="s">
        <v>2413</v>
      </c>
      <c r="C47" s="282">
        <f ca="1">ROUND(C40*F27,4)</f>
        <v>3.3999999999999998E-3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10115</v>
      </c>
      <c r="D49" s="276"/>
      <c r="E49" s="276"/>
      <c r="F49" s="308"/>
      <c r="G49" s="278" t="s">
        <v>2417</v>
      </c>
    </row>
    <row r="50" spans="1:7" s="302" customFormat="1" ht="24">
      <c r="A50" s="299" t="s">
        <v>2418</v>
      </c>
      <c r="B50" s="254" t="s">
        <v>2419</v>
      </c>
      <c r="C50" s="276"/>
      <c r="D50" s="276"/>
      <c r="E50" s="276"/>
      <c r="F50" s="308">
        <f>IF('数据-取费表'!B24=0,'数据-取费表'!N16,1)</f>
        <v>0.87</v>
      </c>
      <c r="G50" s="291" t="s">
        <v>2420</v>
      </c>
    </row>
    <row r="51" spans="1:7" ht="16.5" customHeight="1">
      <c r="A51" s="299" t="s">
        <v>2421</v>
      </c>
      <c r="B51" s="254" t="s">
        <v>2422</v>
      </c>
      <c r="C51" s="276">
        <f ca="1">ROUND(C49*F50,0)</f>
        <v>8800</v>
      </c>
      <c r="D51" s="276"/>
      <c r="E51" s="276"/>
      <c r="F51" s="308"/>
      <c r="G51" s="278" t="s">
        <v>2423</v>
      </c>
    </row>
    <row r="52" spans="1:7" s="252" customFormat="1" ht="16.5" thickBot="1">
      <c r="A52" s="309" t="s">
        <v>2424</v>
      </c>
      <c r="B52" s="310"/>
      <c r="C52" s="311">
        <f ca="1">C31+C51</f>
        <v>10450</v>
      </c>
      <c r="D52" s="310"/>
      <c r="E52" s="310"/>
      <c r="F52" s="310"/>
      <c r="G52" s="312"/>
    </row>
    <row r="55" spans="1:7" ht="15">
      <c r="B55" s="314" t="s">
        <v>2425</v>
      </c>
      <c r="C55" s="315"/>
    </row>
    <row r="56" spans="1:7">
      <c r="B56" s="317" t="s">
        <v>1514</v>
      </c>
      <c r="C56" s="319">
        <f ca="1">1-C57</f>
        <v>0.15800000000000003</v>
      </c>
    </row>
    <row r="57" spans="1:7">
      <c r="B57" s="317" t="s">
        <v>1515</v>
      </c>
      <c r="C57" s="318">
        <f ca="1">ROUND(C51/C52,3)</f>
        <v>0.84199999999999997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5" t="str">
        <f>项目基本情况!B1</f>
        <v>北京市北京市朝阳区东风乡绿隔地区第四宗地J-7地块7#商业楼-1层-101等6套房屋、J-8地块8#商业楼-2层001等49套房屋商业、库房、车位用房房地产抵押价值预评估</v>
      </c>
      <c r="C37" s="2985"/>
      <c r="D37" s="2985"/>
      <c r="E37" s="2985"/>
      <c r="F37" s="2985"/>
      <c r="G37" s="2985"/>
      <c r="H37" s="2985"/>
      <c r="I37" s="2985"/>
    </row>
    <row r="38" spans="1:9">
      <c r="A38" s="1019"/>
      <c r="B38" s="1019"/>
    </row>
    <row r="39" spans="1:9">
      <c r="A39" s="1017" t="s">
        <v>818</v>
      </c>
      <c r="B39" s="1017" t="s">
        <v>820</v>
      </c>
    </row>
    <row r="40" spans="1:9">
      <c r="A40" s="1017"/>
      <c r="B40" s="1944" t="str">
        <f>项目基本情况!B5</f>
        <v>北京市朝阳区东风乡农工商公司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康正预评字2018-1-0068-P01DYGJ1号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4" t="s">
        <v>2426</v>
      </c>
      <c r="D1" s="242"/>
      <c r="E1" s="242"/>
      <c r="F1" s="242"/>
      <c r="G1" s="1381">
        <f>MATCH(B1,'数据-取费表'!A6:A16,0)+5</f>
        <v>7</v>
      </c>
      <c r="H1" s="1284" t="str">
        <f>IF(ISERROR(FIND("住宅",B1)),"非住宅","住宅")</f>
        <v>非住宅</v>
      </c>
    </row>
    <row r="2" spans="1:8" s="244" customFormat="1" ht="18" customHeight="1">
      <c r="A2" s="245" t="s">
        <v>2325</v>
      </c>
      <c r="B2" s="246">
        <f ca="1">ROUND(IF(D2="——",C52/10000,C52/10000-E2),0)</f>
        <v>10447</v>
      </c>
      <c r="C2" s="243" t="s">
        <v>2326</v>
      </c>
      <c r="D2" s="2548" t="s">
        <v>70</v>
      </c>
      <c r="E2" s="1442"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3400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6145314</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6145314</v>
      </c>
      <c r="D8" s="266"/>
      <c r="E8" s="264"/>
      <c r="F8" s="265"/>
      <c r="G8" s="2551"/>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6145314</v>
      </c>
      <c r="D10" s="1035">
        <f ca="1">IF(B1="",'数据-汇总表'!E6,IF(INDIRECT("'数据-取费表'!c"&amp;$G$1)="住宅",INDIRECT("'数据-取费表'!s"&amp;$G$1),INDIRECT("'数据-取费表'!k"&amp;$G$1)+INDIRECT("'数据-取费表'!s"&amp;$G$1)))</f>
        <v>30726.569999999992</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6145314</v>
      </c>
      <c r="D19" s="1039">
        <f ca="1">D9+D10</f>
        <v>30726.569999999992</v>
      </c>
      <c r="E19" s="255">
        <f>'数据-取费表'!B31</f>
        <v>200</v>
      </c>
      <c r="F19" s="275"/>
      <c r="G19" s="2551"/>
    </row>
    <row r="20" spans="1:7" s="258" customFormat="1" ht="13.5" customHeight="1">
      <c r="A20" s="299" t="s">
        <v>2437</v>
      </c>
      <c r="B20" s="254" t="s">
        <v>2438</v>
      </c>
      <c r="C20" s="276">
        <f ca="1">ROUND((C5+C19)*F20,0)</f>
        <v>245813</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539988</v>
      </c>
      <c r="D22" s="279">
        <f ca="1">C26</f>
        <v>4.0000000000000002E-4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3">
        <f ca="1">ROUND(IF('数据-取费表'!B22&lt;=1,C5*F22*'数据-取费表'!B22,C5*(POWER((1+F22),'数据-取费表'!B22)-1)),0)</f>
        <v>267321</v>
      </c>
      <c r="D23" s="282"/>
      <c r="E23" s="282"/>
      <c r="F23" s="283"/>
      <c r="G23" s="284" t="s">
        <v>2447</v>
      </c>
    </row>
    <row r="24" spans="1:7" s="258" customFormat="1" ht="13.5" customHeight="1">
      <c r="A24" s="954" t="s">
        <v>2337</v>
      </c>
      <c r="B24" s="259" t="s">
        <v>2448</v>
      </c>
      <c r="C24" s="1383">
        <f ca="1">ROUND(IF('数据-取费表'!B22&lt;=1,C19*F22*('数据-取费表'!B19/2+'数据-取费表'!B20),C19*(POWER((1+F22),('数据-取费表'!B19/2+'数据-取费表'!B20))-1)),0)</f>
        <v>267321</v>
      </c>
      <c r="D24" s="282"/>
      <c r="E24" s="282"/>
      <c r="F24" s="283"/>
      <c r="G24" s="284" t="s">
        <v>2449</v>
      </c>
    </row>
    <row r="25" spans="1:7" s="258" customFormat="1" ht="24">
      <c r="A25" s="954" t="s">
        <v>2339</v>
      </c>
      <c r="B25" s="259" t="s">
        <v>2450</v>
      </c>
      <c r="C25" s="1383">
        <f ca="1">ROUND(IF('数据-取费表'!B22&lt;=1,C20*F22*'数据-取费表'!B22/2,C20*(POWER((1+F22),'数据-取费表'!B22/2)-1)),0)</f>
        <v>5346</v>
      </c>
      <c r="D25" s="282"/>
      <c r="E25" s="285"/>
      <c r="F25" s="283"/>
      <c r="G25" s="286" t="s">
        <v>2451</v>
      </c>
    </row>
    <row r="26" spans="1:7" s="258" customFormat="1">
      <c r="A26" s="954" t="s">
        <v>795</v>
      </c>
      <c r="B26" s="259" t="s">
        <v>2374</v>
      </c>
      <c r="C26" s="282">
        <f ca="1">ROUND(IF('数据-取费表'!B22&lt;=1,F21*F22*'数据-取费表'!B22/2,F21*(POWER((1+F22),'数据-取费表'!B22/2)-1)),4)</f>
        <v>4.0000000000000002E-4</v>
      </c>
      <c r="D26" s="282"/>
      <c r="E26" s="285"/>
      <c r="F26" s="283"/>
      <c r="G26" s="287"/>
    </row>
    <row r="27" spans="1:7" s="258" customFormat="1" ht="24.75">
      <c r="A27" s="299" t="s">
        <v>2375</v>
      </c>
      <c r="B27" s="288" t="s">
        <v>2376</v>
      </c>
      <c r="C27" s="289">
        <f ca="1">C28</f>
        <v>2131195</v>
      </c>
      <c r="D27" s="279">
        <f ca="1">C29</f>
        <v>3.3999999999999998E-3</v>
      </c>
      <c r="E27" s="280" t="s">
        <v>2377</v>
      </c>
      <c r="F27" s="290">
        <f ca="1">IF(B1="",'数据-取费表'!Q16,INDIRECT("'数据-取费表'!q"&amp;$G$1))</f>
        <v>0.17</v>
      </c>
      <c r="G27" s="291" t="s">
        <v>2378</v>
      </c>
    </row>
    <row r="28" spans="1:7" s="258" customFormat="1" ht="13.5" customHeight="1">
      <c r="A28" s="954" t="s">
        <v>791</v>
      </c>
      <c r="B28" s="292" t="s">
        <v>2379</v>
      </c>
      <c r="C28" s="293">
        <f ca="1">ROUND((C5+C19+C20)*F27,0)</f>
        <v>2131195</v>
      </c>
      <c r="D28" s="279"/>
      <c r="E28" s="280"/>
      <c r="F28" s="290"/>
      <c r="G28" s="291"/>
    </row>
    <row r="29" spans="1:7" s="258" customFormat="1" ht="13.5" customHeight="1">
      <c r="A29" s="954" t="s">
        <v>792</v>
      </c>
      <c r="B29" s="292" t="s">
        <v>2380</v>
      </c>
      <c r="C29" s="282">
        <f ca="1">ROUND(C21*F27,4)</f>
        <v>3.3999999999999998E-3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16478084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76785699</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67598454</v>
      </c>
      <c r="D34" s="261"/>
      <c r="E34" s="264"/>
      <c r="F34" s="301"/>
      <c r="G34" s="263"/>
    </row>
    <row r="35" spans="1:7" ht="13.5" customHeight="1">
      <c r="A35" s="954" t="s">
        <v>796</v>
      </c>
      <c r="B35" s="259" t="s">
        <v>2390</v>
      </c>
      <c r="C35" s="264">
        <f ca="1">ROUND(C34*F35,0)</f>
        <v>2027954</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6145314</v>
      </c>
      <c r="D37" s="261">
        <f ca="1">D19</f>
        <v>30726.569999999992</v>
      </c>
      <c r="E37" s="293">
        <f>'数据-取费表'!B35</f>
        <v>200</v>
      </c>
      <c r="F37" s="303"/>
      <c r="G37" s="305"/>
    </row>
    <row r="38" spans="1:7" ht="13.5" customHeight="1">
      <c r="A38" s="954" t="s">
        <v>799</v>
      </c>
      <c r="B38" s="259" t="s">
        <v>2396</v>
      </c>
      <c r="C38" s="264">
        <f ca="1">ROUND(C34*F38,0)</f>
        <v>1013977</v>
      </c>
      <c r="D38" s="264"/>
      <c r="E38" s="264"/>
      <c r="F38" s="303">
        <f>'数据-取费表'!B36</f>
        <v>1.4999999999999999E-2</v>
      </c>
      <c r="G38" s="263" t="s">
        <v>2391</v>
      </c>
    </row>
    <row r="39" spans="1:7" s="258" customFormat="1" ht="13.5" customHeight="1">
      <c r="A39" s="299" t="s">
        <v>2397</v>
      </c>
      <c r="B39" s="254" t="s">
        <v>2398</v>
      </c>
      <c r="C39" s="276">
        <f ca="1">ROUND(C33*F20,0)</f>
        <v>1535714</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1703491</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1670089</v>
      </c>
      <c r="D42" s="282"/>
      <c r="E42" s="282"/>
      <c r="F42" s="283"/>
      <c r="G42" s="3168" t="s">
        <v>2454</v>
      </c>
    </row>
    <row r="43" spans="1:7" ht="13.5" customHeight="1">
      <c r="A43" s="954" t="s">
        <v>792</v>
      </c>
      <c r="B43" s="259" t="s">
        <v>2408</v>
      </c>
      <c r="C43" s="282">
        <f ca="1">ROUND(IF('数据-取费表'!B22&lt;=1,C39*F22*'数据-取费表'!B20/2,C39*(POWER((1+F22),'数据-取费表'!B20/2)-1)),0)</f>
        <v>33402</v>
      </c>
      <c r="D43" s="282"/>
      <c r="E43" s="282"/>
      <c r="F43" s="283"/>
      <c r="G43" s="3169"/>
    </row>
    <row r="44" spans="1:7" ht="13.5" customHeight="1">
      <c r="A44" s="954" t="s">
        <v>793</v>
      </c>
      <c r="B44" s="259" t="s">
        <v>2409</v>
      </c>
      <c r="C44" s="282">
        <f ca="1">ROUND(IF('数据-取费表'!B22&lt;=1,C40*F22*'数据-取费表'!B20/2,C40*(POWER((1+F22),'数据-取费表'!B20/2)-1)),4)</f>
        <v>4.0000000000000002E-4</v>
      </c>
      <c r="D44" s="282"/>
      <c r="E44" s="282"/>
      <c r="F44" s="283"/>
      <c r="G44" s="3170"/>
    </row>
    <row r="45" spans="1:7" s="258" customFormat="1" ht="13.5" customHeight="1">
      <c r="A45" s="299" t="s">
        <v>2410</v>
      </c>
      <c r="B45" s="288" t="s">
        <v>2376</v>
      </c>
      <c r="C45" s="289">
        <f ca="1">C46</f>
        <v>13314640</v>
      </c>
      <c r="D45" s="279">
        <f ca="1">C47</f>
        <v>3.3999999999999998E-3</v>
      </c>
      <c r="E45" s="280" t="s">
        <v>2402</v>
      </c>
      <c r="F45" s="290"/>
      <c r="G45" s="291" t="s">
        <v>2411</v>
      </c>
    </row>
    <row r="46" spans="1:7" s="258" customFormat="1" ht="13.5" customHeight="1">
      <c r="A46" s="954" t="s">
        <v>791</v>
      </c>
      <c r="B46" s="292" t="s">
        <v>2412</v>
      </c>
      <c r="C46" s="293">
        <f ca="1">ROUND((C33+C39)*F27,0)</f>
        <v>13314640</v>
      </c>
      <c r="D46" s="307"/>
      <c r="E46" s="280"/>
      <c r="F46" s="290"/>
      <c r="G46" s="291"/>
    </row>
    <row r="47" spans="1:7" s="258" customFormat="1" ht="13.5" customHeight="1">
      <c r="A47" s="954" t="s">
        <v>792</v>
      </c>
      <c r="B47" s="292" t="s">
        <v>2413</v>
      </c>
      <c r="C47" s="282">
        <f ca="1">ROUND(C40*F27,4)</f>
        <v>3.3999999999999998E-3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101137224</v>
      </c>
      <c r="D49" s="276"/>
      <c r="E49" s="276"/>
      <c r="F49" s="308"/>
      <c r="G49" s="278" t="s">
        <v>2417</v>
      </c>
    </row>
    <row r="50" spans="1:7" s="302" customFormat="1">
      <c r="A50" s="299" t="s">
        <v>2418</v>
      </c>
      <c r="B50" s="254" t="s">
        <v>2419</v>
      </c>
      <c r="C50" s="276"/>
      <c r="D50" s="276"/>
      <c r="E50" s="276"/>
      <c r="F50" s="308">
        <f>IF('数据-取费表'!B24=0,'数据-取费表'!N16,1)</f>
        <v>0.87</v>
      </c>
      <c r="G50" s="291"/>
    </row>
    <row r="51" spans="1:7" ht="16.5" customHeight="1">
      <c r="A51" s="299" t="s">
        <v>2421</v>
      </c>
      <c r="B51" s="254" t="s">
        <v>2456</v>
      </c>
      <c r="C51" s="276">
        <f ca="1">ROUND(C49*F50,0)</f>
        <v>87989385</v>
      </c>
      <c r="D51" s="276"/>
      <c r="E51" s="276"/>
      <c r="F51" s="308"/>
      <c r="G51" s="278" t="s">
        <v>2423</v>
      </c>
    </row>
    <row r="52" spans="1:7" s="252" customFormat="1" ht="16.5" thickBot="1">
      <c r="A52" s="309" t="s">
        <v>2424</v>
      </c>
      <c r="B52" s="310"/>
      <c r="C52" s="311">
        <f ca="1">C31+C51</f>
        <v>104467469</v>
      </c>
      <c r="D52" s="310"/>
      <c r="E52" s="310"/>
      <c r="F52" s="310"/>
      <c r="G52" s="312"/>
    </row>
    <row r="55" spans="1:7" ht="15">
      <c r="B55" s="314" t="s">
        <v>2425</v>
      </c>
      <c r="C55" s="315"/>
    </row>
    <row r="56" spans="1:7">
      <c r="B56" s="317" t="s">
        <v>1514</v>
      </c>
      <c r="C56" s="319">
        <f ca="1">1-C57</f>
        <v>0.15800000000000003</v>
      </c>
    </row>
    <row r="57" spans="1:7">
      <c r="B57" s="317" t="s">
        <v>1515</v>
      </c>
      <c r="C57" s="318">
        <f ca="1">ROUND(C51/C52,3)</f>
        <v>0.84199999999999997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5" t="s">
        <v>2463</v>
      </c>
      <c r="D5" s="2555" t="s">
        <v>2464</v>
      </c>
      <c r="E5" s="2555" t="s">
        <v>2465</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30726.569999999992</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30726.569999999992</v>
      </c>
      <c r="E17" s="24">
        <f>'数据-取费表'!B32</f>
        <v>0</v>
      </c>
      <c r="F17" s="981"/>
      <c r="G17" s="140" t="s">
        <v>2489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7"/>
      <c r="H18" s="1579"/>
      <c r="I18" s="2558"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2493</v>
      </c>
      <c r="C20" s="24">
        <f ca="1">ROUND(D20*E20/10000,0)</f>
        <v>615</v>
      </c>
      <c r="D20" s="1036">
        <f ca="1">IF(C1="",'数据-汇总表'!E6,IF(INDIRECT("'数据-取费表'!c"&amp;$K$1)="住宅",INDIRECT("'数据-取费表'!s"&amp;$K$1),INDIRECT("'数据-取费表'!k"&amp;$K$1)+INDIRECT("'数据-取费表'!s"&amp;$K$1)))</f>
        <v>30726.569999999992</v>
      </c>
      <c r="E20" s="24">
        <f>'数据-取费表'!B28</f>
        <v>200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60">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2507</v>
      </c>
      <c r="B28" s="2560" t="s">
        <v>2508</v>
      </c>
      <c r="C28" s="331">
        <f ca="1">C30</f>
        <v>0</v>
      </c>
      <c r="D28" s="324">
        <f ca="1">C29</f>
        <v>0</v>
      </c>
      <c r="E28" s="326" t="s">
        <v>15</v>
      </c>
      <c r="F28" s="332">
        <f ca="1">IF(C1="",'数据-取费表'!Q16,INDIRECT("'数据-取费表'!q"&amp;$K$1))</f>
        <v>0.17</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1"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2" sqref="B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3104</v>
      </c>
      <c r="D1" s="1822" t="s">
        <v>70</v>
      </c>
      <c r="E1" s="1823" t="s">
        <v>1387</v>
      </c>
      <c r="F1" s="1285">
        <f ca="1">J53</f>
        <v>20</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28699</v>
      </c>
      <c r="C2" s="1847" t="s">
        <v>1517</v>
      </c>
      <c r="D2" s="1847"/>
      <c r="E2" s="1848"/>
      <c r="F2" s="1849"/>
      <c r="G2" s="1850"/>
      <c r="H2" s="1842"/>
      <c r="I2" s="1842"/>
      <c r="J2" s="1842"/>
      <c r="K2" s="1843"/>
      <c r="L2" s="1842"/>
      <c r="M2" s="1842"/>
    </row>
    <row r="3" spans="1:37" ht="18" customHeight="1" thickBot="1">
      <c r="A3" s="1851" t="s">
        <v>1518</v>
      </c>
      <c r="B3" s="1852">
        <f ca="1">IF(ISERROR(B2*10000/F43),0,ROUND(B2*10000/F43,0))</f>
        <v>9340</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1682</v>
      </c>
      <c r="D5" s="1824" t="s">
        <v>1402</v>
      </c>
      <c r="E5" s="1295"/>
      <c r="F5" s="1296"/>
      <c r="G5" s="1853"/>
      <c r="H5" s="344">
        <v>1</v>
      </c>
      <c r="I5" s="345" t="s">
        <v>1401</v>
      </c>
      <c r="J5" s="1294">
        <f ca="1">J6+J10+J12</f>
        <v>4460</v>
      </c>
      <c r="K5" s="1824" t="s">
        <v>1402</v>
      </c>
      <c r="L5" s="1295"/>
      <c r="M5" s="1296"/>
    </row>
    <row r="6" spans="1:37" ht="18" customHeight="1">
      <c r="A6" s="1293" t="s">
        <v>1035</v>
      </c>
      <c r="B6" s="3173" t="s">
        <v>1403</v>
      </c>
      <c r="C6" s="1298">
        <f ca="1">ROUND(F6*F8*F7*(1-F9)/10000,0)</f>
        <v>1680</v>
      </c>
      <c r="D6" s="164" t="s">
        <v>3034</v>
      </c>
      <c r="E6" s="347" t="s">
        <v>1405</v>
      </c>
      <c r="F6" s="348">
        <f ca="1">INDIRECT("'数据-取费表'!u"&amp;$G$1)</f>
        <v>16800000</v>
      </c>
      <c r="G6" s="1853"/>
      <c r="H6" s="1293" t="s">
        <v>1035</v>
      </c>
      <c r="I6" s="3173" t="s">
        <v>1403</v>
      </c>
      <c r="J6" s="346">
        <f ca="1">ROUND(M6*M8*M7*(1-M9)/10000,0)</f>
        <v>4454</v>
      </c>
      <c r="K6" s="164" t="s">
        <v>3033</v>
      </c>
      <c r="L6" s="347" t="s">
        <v>1405</v>
      </c>
      <c r="M6" s="348">
        <f ca="1">INDIRECT("'数据-取费表'!z"&amp;$G$1)</f>
        <v>46879528</v>
      </c>
    </row>
    <row r="7" spans="1:37" ht="18" customHeight="1">
      <c r="A7" s="1297"/>
      <c r="B7" s="3174"/>
      <c r="C7" s="1299"/>
      <c r="D7" s="352"/>
      <c r="E7" s="1300" t="s">
        <v>1406</v>
      </c>
      <c r="F7" s="348">
        <f ca="1">IF(INDIRECT("'数据-取费表'!ah"&amp;$G$1)="",INDIRECT("'数据-取费表'!k"&amp;$G$1),INDIRECT("'数据-取费表'!ah"&amp;$G$1))</f>
        <v>1</v>
      </c>
      <c r="G7" s="1853"/>
      <c r="H7" s="349"/>
      <c r="I7" s="3174"/>
      <c r="J7" s="351"/>
      <c r="K7" s="352"/>
      <c r="L7" s="347" t="s">
        <v>1406</v>
      </c>
      <c r="M7" s="348">
        <f ca="1">F7</f>
        <v>1</v>
      </c>
    </row>
    <row r="8" spans="1:37" ht="18" customHeight="1">
      <c r="A8" s="349"/>
      <c r="B8" s="3174"/>
      <c r="C8" s="351"/>
      <c r="D8" s="352"/>
      <c r="E8" s="347" t="s">
        <v>1407</v>
      </c>
      <c r="F8" s="348">
        <f ca="1">INDIRECT("'数据-取费表'!ai"&amp;$G$1)</f>
        <v>1</v>
      </c>
      <c r="G8" s="1853"/>
      <c r="H8" s="349"/>
      <c r="I8" s="3174"/>
      <c r="J8" s="351"/>
      <c r="K8" s="352"/>
      <c r="L8" s="347" t="s">
        <v>1407</v>
      </c>
      <c r="M8" s="348">
        <f ca="1">INDIRECT("'数据-取费表'!ai"&amp;$G$1)</f>
        <v>1</v>
      </c>
    </row>
    <row r="9" spans="1:37" ht="18" customHeight="1">
      <c r="A9" s="349"/>
      <c r="B9" s="3175"/>
      <c r="C9" s="351"/>
      <c r="D9" s="352"/>
      <c r="E9" s="347" t="s">
        <v>1408</v>
      </c>
      <c r="F9" s="357">
        <f ca="1">INDIRECT("'数据-取费表'!w"&amp;$G$1)</f>
        <v>0</v>
      </c>
      <c r="G9" s="1853"/>
      <c r="H9" s="349"/>
      <c r="I9" s="3175"/>
      <c r="J9" s="351"/>
      <c r="K9" s="352"/>
      <c r="L9" s="358" t="s">
        <v>1408</v>
      </c>
      <c r="M9" s="359">
        <f ca="1">INDIRECT("'数据-取费表'!ab"&amp;$G$1)</f>
        <v>0.05</v>
      </c>
    </row>
    <row r="10" spans="1:37" ht="18" customHeight="1">
      <c r="A10" s="1293" t="s">
        <v>1039</v>
      </c>
      <c r="B10" s="1825" t="s">
        <v>1409</v>
      </c>
      <c r="C10" s="361">
        <f ca="1">ROUND(IF(F10="押一",F6*F8*F7/12*F11,IF(F10="押二",F6*F8*F7/12*2*F11,IF(F10="押三",F6*F8*F7/12*3*F11,C11*F11)))/10000,0)</f>
        <v>2</v>
      </c>
      <c r="D10" s="1826" t="s">
        <v>3035</v>
      </c>
      <c r="E10" s="358" t="s">
        <v>1411</v>
      </c>
      <c r="F10" s="1368" t="s">
        <v>3170</v>
      </c>
      <c r="G10" s="1853"/>
      <c r="H10" s="1293" t="s">
        <v>1039</v>
      </c>
      <c r="I10" s="1825" t="s">
        <v>1409</v>
      </c>
      <c r="J10" s="346">
        <f ca="1">ROUND(IF(M10="押一",M6*M8*M7/12*M11,IF(M10="押二",M6*M8*M7/12*2*M11,IF(M10="押三",M6*M8*M7/12*3*M11,J11*M11)))/10000,0)</f>
        <v>6</v>
      </c>
      <c r="K10" s="1826" t="s">
        <v>3036</v>
      </c>
      <c r="L10" s="358" t="s">
        <v>1411</v>
      </c>
      <c r="M10" s="1368" t="s">
        <v>3103</v>
      </c>
    </row>
    <row r="11" spans="1:37" ht="18" customHeight="1">
      <c r="A11" s="353"/>
      <c r="B11" s="1827" t="s">
        <v>1388</v>
      </c>
      <c r="C11" s="1180">
        <v>1400000</v>
      </c>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8800</v>
      </c>
      <c r="D13" s="1333" t="s">
        <v>1416</v>
      </c>
      <c r="E13" s="1333" t="s">
        <v>1417</v>
      </c>
      <c r="F13" s="1334">
        <f ca="1">INDIRECT("'数据-取费表'!y"&amp;$G$1)</f>
        <v>0.87</v>
      </c>
      <c r="G13" s="1853"/>
      <c r="H13" s="1331">
        <v>2</v>
      </c>
      <c r="I13" s="1332" t="s">
        <v>1415</v>
      </c>
      <c r="J13" s="1292">
        <f ca="1">ROUND(J14*J15,0)</f>
        <v>6777</v>
      </c>
      <c r="K13" s="1339" t="s">
        <v>1416</v>
      </c>
      <c r="L13" s="1854"/>
      <c r="M13" s="1855"/>
    </row>
    <row r="14" spans="1:37" ht="18" customHeight="1">
      <c r="A14" s="1203" t="s">
        <v>1034</v>
      </c>
      <c r="B14" s="347" t="s">
        <v>1418</v>
      </c>
      <c r="C14" s="363">
        <f ca="1">INDIRECT("'数据-取费表'!m"&amp;$G$1)+INDIRECT("'数据-取费表'!t"&amp;$G$1)</f>
        <v>6760</v>
      </c>
      <c r="D14" s="1802" t="s">
        <v>1419</v>
      </c>
      <c r="E14" s="1796"/>
      <c r="F14" s="364"/>
      <c r="G14" s="1853"/>
      <c r="H14" s="1203" t="s">
        <v>1035</v>
      </c>
      <c r="I14" s="347" t="s">
        <v>1420</v>
      </c>
      <c r="J14" s="24">
        <f ca="1">C29</f>
        <v>10115</v>
      </c>
      <c r="K14" s="15"/>
      <c r="L14" s="982"/>
      <c r="M14" s="983"/>
    </row>
    <row r="15" spans="1:37" s="1860" customFormat="1" ht="18" customHeight="1" thickBot="1">
      <c r="A15" s="1203" t="s">
        <v>1036</v>
      </c>
      <c r="B15" s="347" t="s">
        <v>1421</v>
      </c>
      <c r="C15" s="24">
        <f ca="1">ROUND(C14*F15,0)</f>
        <v>203</v>
      </c>
      <c r="D15" s="365" t="s">
        <v>1422</v>
      </c>
      <c r="E15" s="365" t="s">
        <v>1423</v>
      </c>
      <c r="F15" s="366">
        <f>'数据-取费表'!B33</f>
        <v>0.03</v>
      </c>
      <c r="G15" s="1856"/>
      <c r="H15" s="1341" t="s">
        <v>1039</v>
      </c>
      <c r="I15" s="1342" t="s">
        <v>1417</v>
      </c>
      <c r="J15" s="1351">
        <f ca="1">INDIRECT("'数据-取费表'!ad"&amp;$G$1)</f>
        <v>0.67</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406</v>
      </c>
      <c r="K16" s="1339" t="s">
        <v>1426</v>
      </c>
      <c r="L16" s="1340"/>
      <c r="M16" s="1296"/>
    </row>
    <row r="17" spans="1:37" s="1860" customFormat="1" ht="18" customHeight="1">
      <c r="A17" s="1203" t="s">
        <v>1390</v>
      </c>
      <c r="B17" s="347" t="s">
        <v>1427</v>
      </c>
      <c r="C17" s="24">
        <f ca="1">ROUND(F17*(F43+INDIRECT("'数据-取费表'!S"&amp;$G$1))/10000,0)</f>
        <v>615</v>
      </c>
      <c r="D17" s="347" t="s">
        <v>1428</v>
      </c>
      <c r="E17" s="347" t="s">
        <v>1429</v>
      </c>
      <c r="F17" s="26">
        <f>'数据-取费表'!B35</f>
        <v>200</v>
      </c>
      <c r="G17" s="1856"/>
      <c r="H17" s="1203" t="s">
        <v>1035</v>
      </c>
      <c r="I17" s="347" t="s">
        <v>1430</v>
      </c>
      <c r="J17" s="24">
        <f ca="1">ROUND(IF(项目基本情况!B11="自然人",J5*M17,J18+J19+J20),1)</f>
        <v>322.8</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101</v>
      </c>
      <c r="D18" s="347" t="s">
        <v>1422</v>
      </c>
      <c r="E18" s="347" t="s">
        <v>1423</v>
      </c>
      <c r="F18" s="367">
        <f>'数据-取费表'!B36</f>
        <v>1.4999999999999999E-2</v>
      </c>
      <c r="G18" s="1856"/>
      <c r="H18" s="1203" t="s">
        <v>1034</v>
      </c>
      <c r="I18" s="347" t="s">
        <v>1434</v>
      </c>
      <c r="J18" s="24">
        <f ca="1">ROUND(J5*M18/(1+'数据-取费表'!C42),2)</f>
        <v>237.87</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7679</v>
      </c>
      <c r="D19" s="140" t="s">
        <v>1437</v>
      </c>
      <c r="E19" s="1820"/>
      <c r="F19" s="26"/>
      <c r="G19" s="1853"/>
      <c r="H19" s="1203" t="s">
        <v>1036</v>
      </c>
      <c r="I19" s="347" t="s">
        <v>1438</v>
      </c>
      <c r="J19" s="24">
        <f ca="1">IF(K19="按租金收入计税",ROUND(J5*M19,2),ROUND(C29*M19*0.7,2))</f>
        <v>84.97</v>
      </c>
      <c r="K19" s="1830" t="s">
        <v>1439</v>
      </c>
      <c r="L19" s="347" t="s">
        <v>1423</v>
      </c>
      <c r="M19" s="367">
        <f>IF(K19="按租金收入计税",'数据-取费表'!B51,'数据-取费表'!B50)</f>
        <v>1.2E-2</v>
      </c>
    </row>
    <row r="20" spans="1:37" s="1860" customFormat="1" ht="18" customHeight="1">
      <c r="A20" s="1203" t="s">
        <v>1039</v>
      </c>
      <c r="B20" s="347" t="s">
        <v>1440</v>
      </c>
      <c r="C20" s="24">
        <f ca="1">ROUND(C19*F20,0)</f>
        <v>154</v>
      </c>
      <c r="D20" s="369" t="s">
        <v>1441</v>
      </c>
      <c r="E20" s="347" t="s">
        <v>1423</v>
      </c>
      <c r="F20" s="367">
        <f>'数据-取费表'!B37</f>
        <v>0.02</v>
      </c>
      <c r="G20" s="1856"/>
      <c r="H20" s="1203" t="s">
        <v>1389</v>
      </c>
      <c r="I20" s="164" t="s">
        <v>1442</v>
      </c>
      <c r="J20" s="25">
        <f ca="1">ROUND(M20*M21/10000,2)</f>
        <v>0</v>
      </c>
      <c r="K20" s="370" t="s">
        <v>1443</v>
      </c>
      <c r="L20" s="347" t="s">
        <v>1444</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1820"/>
      <c r="F22" s="26"/>
      <c r="G22" s="1853"/>
      <c r="H22" s="1203" t="s">
        <v>1039</v>
      </c>
      <c r="I22" s="347" t="s">
        <v>1450</v>
      </c>
      <c r="J22" s="24">
        <f ca="1">ROUND(J14*M22,1)</f>
        <v>50.6</v>
      </c>
      <c r="K22" s="1800" t="s">
        <v>1451</v>
      </c>
      <c r="L22" s="347" t="s">
        <v>1423</v>
      </c>
      <c r="M22" s="2984">
        <v>5.0000000000000001E-3</v>
      </c>
    </row>
    <row r="23" spans="1:37" s="1860" customFormat="1" ht="18" customHeight="1">
      <c r="A23" s="1203" t="s">
        <v>1034</v>
      </c>
      <c r="B23" s="347" t="s">
        <v>1452</v>
      </c>
      <c r="C23" s="24">
        <f ca="1">IF('数据-取费表'!B22&lt;=1,ROUND(C19*F24*F23/2,0)+ROUND(C20*F24*F23/2,0),ROUND(C19*(POWER((1+F24),F23/2)-1),0)+ROUND(C20*(POWER((1+F24),F23/2)-1),0))</f>
        <v>170</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f ca="1">ROUND(J13*M23,1)</f>
        <v>10.199999999999999</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6"/>
      <c r="H24" s="1341" t="s">
        <v>1393</v>
      </c>
      <c r="I24" s="1342" t="s">
        <v>1440</v>
      </c>
      <c r="J24" s="1343">
        <f ca="1">ROUND(J5*M24,1)</f>
        <v>22.3</v>
      </c>
      <c r="K24" s="1344" t="s">
        <v>1460</v>
      </c>
      <c r="L24" s="1342" t="s">
        <v>1456</v>
      </c>
      <c r="M24" s="1338">
        <f ca="1">INDIRECT("'数据-取费表'!Am"&amp;$G$1)</f>
        <v>5.0000000000000001E-3</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1820"/>
      <c r="F25" s="26"/>
      <c r="G25" s="1853"/>
      <c r="H25" s="1331" t="s">
        <v>1031</v>
      </c>
      <c r="I25" s="1346" t="s">
        <v>1464</v>
      </c>
      <c r="J25" s="355">
        <f ca="1">J5-J16</f>
        <v>4054</v>
      </c>
      <c r="K25" s="1347" t="s">
        <v>1465</v>
      </c>
      <c r="L25" s="1348"/>
      <c r="M25" s="1349"/>
    </row>
    <row r="26" spans="1:37">
      <c r="A26" s="1203" t="s">
        <v>1034</v>
      </c>
      <c r="B26" s="347" t="s">
        <v>1466</v>
      </c>
      <c r="C26" s="24">
        <f ca="1">ROUND((C19+C20)*F26,0)</f>
        <v>1332</v>
      </c>
      <c r="D26" s="369" t="s">
        <v>1467</v>
      </c>
      <c r="E26" s="358" t="s">
        <v>1468</v>
      </c>
      <c r="F26" s="357">
        <f ca="1">INDIRECT("'数据-取费表'!q"&amp;$G$1)</f>
        <v>0.17</v>
      </c>
      <c r="G26" s="1853"/>
      <c r="H26" s="344" t="s">
        <v>1032</v>
      </c>
      <c r="I26" s="345" t="s">
        <v>1469</v>
      </c>
      <c r="J26" s="346">
        <f ca="1">IF(J5&lt;&gt;0,ROUND(J25*(1-((1+M28)/(1+M26))^M27)/(M26-M28),0),0)</f>
        <v>26485</v>
      </c>
      <c r="K26" s="370" t="s">
        <v>1470</v>
      </c>
      <c r="L26" s="347" t="s">
        <v>1471</v>
      </c>
      <c r="M26" s="357">
        <f ca="1">INDIRECT("'数据-取费表'!I"&amp;$G$1)</f>
        <v>0.05</v>
      </c>
    </row>
    <row r="27" spans="1:37" ht="18" customHeight="1">
      <c r="A27" s="1203" t="s">
        <v>1036</v>
      </c>
      <c r="B27" s="347" t="s">
        <v>1472</v>
      </c>
      <c r="C27" s="24">
        <f ca="1">ROUND(F21*F26,4)</f>
        <v>3.3999999999999998E-3</v>
      </c>
      <c r="D27" s="369" t="s">
        <v>1473</v>
      </c>
      <c r="E27" s="365"/>
      <c r="F27" s="366"/>
      <c r="G27" s="1853"/>
      <c r="H27" s="349"/>
      <c r="I27" s="350"/>
      <c r="J27" s="351"/>
      <c r="K27" s="378" t="s">
        <v>1474</v>
      </c>
      <c r="L27" s="347" t="s">
        <v>1475</v>
      </c>
      <c r="M27" s="379">
        <f ca="1">INDIRECT("'数据-取费表'!ag"&amp;$G$1)</f>
        <v>7.4</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2.5000000000000001E-2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10115</v>
      </c>
      <c r="D29" s="1344"/>
      <c r="E29" s="1342"/>
      <c r="F29" s="1345"/>
      <c r="G29" s="1856"/>
      <c r="H29" s="380" t="s">
        <v>1033</v>
      </c>
      <c r="I29" s="381" t="s">
        <v>1480</v>
      </c>
      <c r="J29" s="382">
        <f ca="1">ROUND(J26/(1+F40)^F41,0)</f>
        <v>14322</v>
      </c>
      <c r="K29" s="383" t="s">
        <v>1481</v>
      </c>
      <c r="L29" s="384"/>
      <c r="M29" s="385">
        <f ca="1">INDIRECT("'数据-取费表'!k"&amp;$G$1)</f>
        <v>30726.57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196</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ROUND(IF(项目基本情况!B11="自然人",C5*F31,C32+C33+C34),1)</f>
        <v>174.7</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IF(项目基本情况!B11="自然人","——",ROUND(C5*F32/(1+'数据-取费表'!C42),2))</f>
        <v>89.71</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84.97</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0</v>
      </c>
      <c r="D34" s="370" t="s">
        <v>1443</v>
      </c>
      <c r="E34" s="347" t="s">
        <v>1444</v>
      </c>
      <c r="F34" s="371">
        <f>'数据-取费表'!B52</f>
        <v>0</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ROUND(C29*F36,1)</f>
        <v>0</v>
      </c>
      <c r="D36" s="1800" t="s">
        <v>1483</v>
      </c>
      <c r="E36" s="347" t="s">
        <v>1423</v>
      </c>
      <c r="F36" s="374">
        <f ca="1">INDIRECT("'数据-取费表'!Ak"&amp;$G$1)</f>
        <v>0</v>
      </c>
      <c r="G36" s="1853"/>
      <c r="H36" s="1861"/>
      <c r="I36" s="1862"/>
      <c r="J36" s="1863"/>
      <c r="K36" s="751"/>
      <c r="L36" s="1861"/>
      <c r="M36" s="1861"/>
    </row>
    <row r="37" spans="1:18" ht="18" customHeight="1">
      <c r="A37" s="1203" t="s">
        <v>1075</v>
      </c>
      <c r="B37" s="347" t="s">
        <v>1454</v>
      </c>
      <c r="C37" s="24">
        <f ca="1">ROUND(C13*F37,1)</f>
        <v>13.2</v>
      </c>
      <c r="D37" s="1800" t="s">
        <v>1455</v>
      </c>
      <c r="E37" s="347" t="s">
        <v>1456</v>
      </c>
      <c r="F37" s="376">
        <f ca="1">INDIRECT("'数据-取费表'!Al"&amp;$G$1)</f>
        <v>1.5E-3</v>
      </c>
      <c r="G37" s="1853"/>
      <c r="H37" s="1861"/>
      <c r="I37" s="1862"/>
      <c r="J37" s="1863"/>
      <c r="K37" s="751"/>
      <c r="L37" s="1861"/>
      <c r="M37" s="1861"/>
    </row>
    <row r="38" spans="1:18" ht="18" customHeight="1" thickBot="1">
      <c r="A38" s="1341" t="s">
        <v>1393</v>
      </c>
      <c r="B38" s="1342" t="s">
        <v>1440</v>
      </c>
      <c r="C38" s="1343">
        <f ca="1">ROUND(C5*F38,1)</f>
        <v>8.4</v>
      </c>
      <c r="D38" s="1344" t="s">
        <v>1460</v>
      </c>
      <c r="E38" s="1342" t="s">
        <v>1456</v>
      </c>
      <c r="F38" s="1338">
        <f ca="1">INDIRECT("'数据-取费表'!Am"&amp;$G$1)</f>
        <v>5.0000000000000001E-3</v>
      </c>
      <c r="G38" s="1853"/>
      <c r="H38" s="1861"/>
      <c r="I38" s="1862"/>
      <c r="J38" s="1863"/>
      <c r="K38" s="1867"/>
      <c r="L38" s="1861"/>
      <c r="M38" s="1861"/>
    </row>
    <row r="39" spans="1:18" ht="24.6" customHeight="1" thickTop="1">
      <c r="A39" s="1331" t="s">
        <v>1031</v>
      </c>
      <c r="B39" s="1346" t="s">
        <v>1484</v>
      </c>
      <c r="C39" s="355">
        <f ca="1">C5-C30</f>
        <v>1486</v>
      </c>
      <c r="D39" s="1347" t="s">
        <v>1485</v>
      </c>
      <c r="E39" s="1348"/>
      <c r="F39" s="1349"/>
      <c r="G39" s="1853"/>
      <c r="H39" s="1861"/>
      <c r="I39" s="2962"/>
      <c r="J39" s="1863"/>
      <c r="K39" s="1867"/>
      <c r="L39" s="1861"/>
      <c r="M39" s="1861"/>
    </row>
    <row r="40" spans="1:18" ht="18" customHeight="1">
      <c r="A40" s="344" t="s">
        <v>1032</v>
      </c>
      <c r="B40" s="345" t="s">
        <v>1486</v>
      </c>
      <c r="C40" s="346">
        <f ca="1">ROUND(C39*(1-((1+F42)/(1+F40))^F41)/(F40-F42),0)</f>
        <v>14377</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12.6</v>
      </c>
      <c r="G41" s="1853"/>
      <c r="H41" s="732"/>
      <c r="I41" s="1862"/>
      <c r="J41" s="1863"/>
      <c r="K41" s="751"/>
      <c r="L41" s="732"/>
      <c r="M41" s="732"/>
    </row>
    <row r="42" spans="1:18" ht="18" customHeight="1">
      <c r="A42" s="353"/>
      <c r="B42" s="354"/>
      <c r="C42" s="355"/>
      <c r="D42" s="373"/>
      <c r="E42" s="347" t="s">
        <v>1478</v>
      </c>
      <c r="F42" s="357">
        <f ca="1">INDIRECT("'数据-取费表'!v"&amp;$G$1)</f>
        <v>0.01</v>
      </c>
      <c r="G42" s="1853"/>
      <c r="H42" s="732"/>
      <c r="I42" s="1862"/>
      <c r="J42" s="1863"/>
      <c r="K42" s="751"/>
      <c r="L42" s="732"/>
      <c r="M42" s="732"/>
    </row>
    <row r="43" spans="1:18" ht="18" customHeight="1" thickBot="1">
      <c r="A43" s="380" t="s">
        <v>1033</v>
      </c>
      <c r="B43" s="381" t="s">
        <v>1488</v>
      </c>
      <c r="C43" s="382">
        <f ca="1">ROUND(C40*10000/F43,0)</f>
        <v>4679</v>
      </c>
      <c r="D43" s="383" t="s">
        <v>1489</v>
      </c>
      <c r="E43" s="384" t="s">
        <v>1490</v>
      </c>
      <c r="F43" s="385">
        <f ca="1">INDIRECT("'数据-取费表'!k"&amp;$G$1)</f>
        <v>30726.57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H45" s="2959">
        <f ca="1">B2*10000</f>
        <v>286990000</v>
      </c>
      <c r="J45" s="796"/>
      <c r="O45" s="1871" t="s">
        <v>1520</v>
      </c>
      <c r="P45" s="1841"/>
      <c r="Q45" s="1841"/>
      <c r="R45" s="1841"/>
    </row>
    <row r="46" spans="1:18" s="1844" customFormat="1" ht="13.5" thickBot="1">
      <c r="A46" s="1872" t="s">
        <v>1521</v>
      </c>
      <c r="C46" s="1873">
        <f ca="1">C68-C40</f>
        <v>-15277</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3101</v>
      </c>
      <c r="K47" s="1884" t="s">
        <v>1528</v>
      </c>
      <c r="L47" s="1885">
        <f ca="1">INDIRECT("'数据-取费表'!d"&amp;$G$1)</f>
        <v>40</v>
      </c>
      <c r="M47" s="1840" t="str">
        <f>IF(ISNUMBER(FIND("住宅",C1)),"住宅","非住宅")</f>
        <v>非住宅</v>
      </c>
      <c r="O47" s="1886" t="s">
        <v>1040</v>
      </c>
      <c r="P47" s="1887" t="s">
        <v>1529</v>
      </c>
      <c r="Q47" s="1888">
        <f ca="1">C40+J29</f>
        <v>28699</v>
      </c>
      <c r="R47" s="1888" t="s">
        <v>1530</v>
      </c>
    </row>
    <row r="48" spans="1:18" s="1844" customFormat="1" ht="28.5" thickBot="1">
      <c r="A48" s="1362" t="s">
        <v>1135</v>
      </c>
      <c r="B48" s="345" t="s">
        <v>1401</v>
      </c>
      <c r="C48" s="1819">
        <f ca="1">C49+C53+C55</f>
        <v>0</v>
      </c>
      <c r="D48" s="1364"/>
      <c r="E48" s="1365"/>
      <c r="F48" s="1183"/>
      <c r="G48" s="792"/>
      <c r="H48" s="793"/>
      <c r="I48" s="1889" t="s">
        <v>1531</v>
      </c>
      <c r="J48" s="1890" t="s">
        <v>3102</v>
      </c>
      <c r="K48" s="1891" t="s">
        <v>1532</v>
      </c>
      <c r="L48" s="1892">
        <f ca="1">INDIRECT("'数据-取费表'!f"&amp;$G$1)</f>
        <v>20</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3037</v>
      </c>
      <c r="E49" s="1832" t="s">
        <v>1492</v>
      </c>
      <c r="F49" s="1283"/>
      <c r="G49" s="1893"/>
      <c r="H49" s="793"/>
      <c r="I49" s="1889" t="s">
        <v>1535</v>
      </c>
      <c r="J49" s="1894"/>
      <c r="K49" s="1891" t="s">
        <v>1536</v>
      </c>
      <c r="L49" s="1895"/>
      <c r="O49" s="1896" t="s">
        <v>1042</v>
      </c>
      <c r="P49" s="1887" t="s">
        <v>1537</v>
      </c>
      <c r="Q49" s="1888">
        <f ca="1">C29</f>
        <v>10115</v>
      </c>
      <c r="R49" s="1888" t="s">
        <v>1530</v>
      </c>
    </row>
    <row r="50" spans="1:18" s="1844" customFormat="1" ht="13.5" thickBot="1">
      <c r="A50" s="1197"/>
      <c r="B50" s="1200"/>
      <c r="C50" s="1370"/>
      <c r="D50" s="1174"/>
      <c r="E50" s="1279" t="s">
        <v>1406</v>
      </c>
      <c r="F50" s="1280">
        <f ca="1">F7</f>
        <v>1</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1</v>
      </c>
      <c r="I51" s="1900" t="s">
        <v>1541</v>
      </c>
      <c r="J51" s="1901">
        <f>IF(J49="",J50,J49+J50-YEAR('数据-取费表'!B2))</f>
        <v>60</v>
      </c>
      <c r="K51" s="1902" t="s">
        <v>1542</v>
      </c>
      <c r="L51" s="1903">
        <f ca="1">ROUND(-PV(INDIRECT("'数据-取费表'!h"&amp;$G$1),L48,(C39-C13*C76),0),0)</f>
        <v>9745</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f ca="1">J53</f>
        <v>20</v>
      </c>
      <c r="R52" s="1888" t="s">
        <v>1547</v>
      </c>
    </row>
    <row r="53" spans="1:18" s="1844" customFormat="1" ht="24.75" thickBot="1">
      <c r="A53" s="1407" t="s">
        <v>1137</v>
      </c>
      <c r="B53" s="1833" t="s">
        <v>1409</v>
      </c>
      <c r="C53" s="361">
        <f ca="1">ROUND(IF(F53="押一",F49*F51*F50/12*F11,IF(F53="押二",F49*F51*F50/12*2*F11,IF(F53="押三",F49*F51*F50/12*3*F11,C54*F11)))/10000,0)</f>
        <v>0</v>
      </c>
      <c r="D53" s="1826" t="s">
        <v>3035</v>
      </c>
      <c r="E53" s="358" t="s">
        <v>1411</v>
      </c>
      <c r="F53" s="1368"/>
      <c r="I53" s="1907" t="s">
        <v>1548</v>
      </c>
      <c r="J53" s="1908">
        <f ca="1">IF(M47="住宅",J51,IF(D1="——",MIN(J51,L48),IF(D1="在建（套用方法）",MIN(J51,L48-'数据-取费表'!B24),IF(D1="土地（套用方法）",MIN(J51,L48-'数据-取费表'!B20)))))</f>
        <v>20</v>
      </c>
      <c r="K53" s="3171" t="s">
        <v>1549</v>
      </c>
      <c r="L53" s="3172"/>
      <c r="O53" s="1886" t="s">
        <v>1046</v>
      </c>
      <c r="P53" s="1887" t="s">
        <v>1550</v>
      </c>
      <c r="Q53" s="1888">
        <f ca="1">Q47+Q48</f>
        <v>28699</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8800</v>
      </c>
      <c r="D56" s="1916"/>
      <c r="E56" s="1917"/>
      <c r="F56" s="1909"/>
      <c r="I56" s="1918" t="s">
        <v>1555</v>
      </c>
      <c r="J56" s="1919" t="s">
        <v>3095</v>
      </c>
      <c r="K56" s="1889" t="s">
        <v>1556</v>
      </c>
      <c r="L56" s="1892" t="str">
        <f ca="1">IF(L48&lt;J51,"——",L48-J53)</f>
        <v>——</v>
      </c>
      <c r="O56" s="1886" t="s">
        <v>1040</v>
      </c>
      <c r="P56" s="1887" t="s">
        <v>1529</v>
      </c>
      <c r="Q56" s="1888">
        <f ca="1">C40+J29</f>
        <v>28699</v>
      </c>
      <c r="R56" s="1888" t="s">
        <v>1530</v>
      </c>
    </row>
    <row r="57" spans="1:18" s="1844" customFormat="1" ht="24.75" thickBot="1">
      <c r="A57" s="1920"/>
      <c r="B57" s="1171" t="s">
        <v>1479</v>
      </c>
      <c r="C57" s="282">
        <f ca="1">C29</f>
        <v>10115</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98</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85</v>
      </c>
      <c r="D59" s="1184" t="s">
        <v>1431</v>
      </c>
      <c r="E59" s="1185"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84.97</v>
      </c>
      <c r="D61" s="1830" t="s">
        <v>1439</v>
      </c>
      <c r="E61" s="1171" t="s">
        <v>1495</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1497</v>
      </c>
      <c r="C62" s="25">
        <f ca="1">IF(项目基本情况!B11="自然人","——",ROUND(F62*F63/10000,2))</f>
        <v>0</v>
      </c>
      <c r="D62" s="1186" t="s">
        <v>1498</v>
      </c>
      <c r="E62" s="1171" t="s">
        <v>1499</v>
      </c>
      <c r="F62" s="371">
        <f t="shared" si="0"/>
        <v>0</v>
      </c>
      <c r="I62" s="1931" t="s">
        <v>1571</v>
      </c>
      <c r="J62" s="1932" t="s">
        <v>1572</v>
      </c>
      <c r="K62" s="1932" t="s">
        <v>1573</v>
      </c>
      <c r="L62" s="1932" t="s">
        <v>1574</v>
      </c>
      <c r="M62" s="1933" t="s">
        <v>1575</v>
      </c>
      <c r="O62" s="1886" t="s">
        <v>1046</v>
      </c>
      <c r="P62" s="1887" t="s">
        <v>1576</v>
      </c>
      <c r="Q62" s="1888">
        <f ca="1">Q56+Q57</f>
        <v>28699</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ROUND(C57*F64,1)</f>
        <v>0</v>
      </c>
      <c r="D64" s="1185" t="s">
        <v>1503</v>
      </c>
      <c r="E64" s="1171"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13.2</v>
      </c>
      <c r="D65" s="1185" t="s">
        <v>1455</v>
      </c>
      <c r="E65" s="1171" t="s">
        <v>1456</v>
      </c>
      <c r="F65" s="376">
        <f t="shared" ca="1" si="0"/>
        <v>1.5E-3</v>
      </c>
      <c r="I65" s="1931" t="s">
        <v>1580</v>
      </c>
      <c r="J65" s="1932">
        <v>40</v>
      </c>
      <c r="K65" s="1932">
        <v>30</v>
      </c>
      <c r="L65" s="1932">
        <v>50</v>
      </c>
      <c r="M65" s="1934">
        <v>0.02</v>
      </c>
      <c r="O65" s="1886" t="s">
        <v>1040</v>
      </c>
      <c r="P65" s="1887" t="s">
        <v>1581</v>
      </c>
      <c r="Q65" s="1888">
        <f ca="1">C40+J29</f>
        <v>28699</v>
      </c>
      <c r="R65" s="1888" t="s">
        <v>1530</v>
      </c>
    </row>
    <row r="66" spans="1:18" s="1844" customFormat="1" ht="16.5" thickBot="1">
      <c r="A66" s="1203" t="s">
        <v>1505</v>
      </c>
      <c r="B66" s="1171" t="s">
        <v>1440</v>
      </c>
      <c r="C66" s="24">
        <f ca="1">ROUND(C48*F66,1)</f>
        <v>0</v>
      </c>
      <c r="D66" s="1185" t="s">
        <v>1506</v>
      </c>
      <c r="E66" s="1171" t="s">
        <v>1423</v>
      </c>
      <c r="F66" s="357">
        <f t="shared" ca="1" si="0"/>
        <v>5.0000000000000001E-3</v>
      </c>
      <c r="O66" s="1886" t="s">
        <v>1041</v>
      </c>
      <c r="P66" s="1887" t="s">
        <v>1559</v>
      </c>
      <c r="Q66" s="1888">
        <f ca="1">L60</f>
        <v>0</v>
      </c>
      <c r="R66" s="1888" t="s">
        <v>1582</v>
      </c>
    </row>
    <row r="67" spans="1:18" s="1844" customFormat="1" ht="16.5" thickBot="1">
      <c r="A67" s="1178" t="s">
        <v>1031</v>
      </c>
      <c r="B67" s="1188" t="s">
        <v>1464</v>
      </c>
      <c r="C67" s="361">
        <f ca="1">C48-C58</f>
        <v>-98</v>
      </c>
      <c r="D67" s="1184" t="s">
        <v>1465</v>
      </c>
      <c r="E67" s="1189"/>
      <c r="F67" s="1190"/>
      <c r="O67" s="1896" t="s">
        <v>1042</v>
      </c>
      <c r="P67" s="1887" t="s">
        <v>1563</v>
      </c>
      <c r="Q67" s="1935">
        <f ca="1">L51</f>
        <v>9745</v>
      </c>
      <c r="R67" s="1888" t="s">
        <v>1583</v>
      </c>
    </row>
    <row r="68" spans="1:18" s="1844" customFormat="1" ht="16.5" thickBot="1">
      <c r="A68" s="1168" t="s">
        <v>1032</v>
      </c>
      <c r="B68" s="1169" t="s">
        <v>1486</v>
      </c>
      <c r="C68" s="346">
        <f ca="1">ROUND(C67*(1-((1+F70)/(1+F68))^F69)/(F68-F70),0)</f>
        <v>-900</v>
      </c>
      <c r="D68" s="1186" t="s">
        <v>1470</v>
      </c>
      <c r="E68" s="1171" t="s">
        <v>1471</v>
      </c>
      <c r="F68" s="357">
        <f ca="1">F40</f>
        <v>0.05</v>
      </c>
      <c r="O68" s="1896" t="s">
        <v>1043</v>
      </c>
      <c r="P68" s="1936" t="s">
        <v>1584</v>
      </c>
      <c r="Q68" s="1888">
        <f ca="1">ROUND(Q69-Q70*Q71,0)</f>
        <v>782</v>
      </c>
      <c r="R68" s="1888" t="s">
        <v>1051</v>
      </c>
    </row>
    <row r="69" spans="1:18" s="1844" customFormat="1" ht="13.5" thickBot="1">
      <c r="A69" s="1172"/>
      <c r="B69" s="1173"/>
      <c r="C69" s="351"/>
      <c r="D69" s="1191" t="s">
        <v>1474</v>
      </c>
      <c r="E69" s="1171" t="s">
        <v>1475</v>
      </c>
      <c r="F69" s="379">
        <f ca="1">F41</f>
        <v>12.6</v>
      </c>
      <c r="O69" s="1896" t="s">
        <v>1048</v>
      </c>
      <c r="P69" s="1936" t="s">
        <v>1585</v>
      </c>
      <c r="Q69" s="1888">
        <f ca="1">C39</f>
        <v>1486</v>
      </c>
      <c r="R69" s="1888" t="s">
        <v>1530</v>
      </c>
    </row>
    <row r="70" spans="1:18" s="1844" customFormat="1" ht="13.5" thickBot="1">
      <c r="A70" s="1175"/>
      <c r="B70" s="1176"/>
      <c r="C70" s="355"/>
      <c r="D70" s="1187"/>
      <c r="E70" s="1171" t="s">
        <v>1478</v>
      </c>
      <c r="F70" s="1277"/>
      <c r="O70" s="1896" t="s">
        <v>1049</v>
      </c>
      <c r="P70" s="1936" t="s">
        <v>1586</v>
      </c>
      <c r="Q70" s="1888">
        <f ca="1">C13</f>
        <v>8800</v>
      </c>
      <c r="R70" s="1888" t="s">
        <v>1530</v>
      </c>
    </row>
    <row r="71" spans="1:18" s="1844" customFormat="1" ht="13.5" thickBot="1">
      <c r="A71" s="1192" t="s">
        <v>1033</v>
      </c>
      <c r="B71" s="1193" t="s">
        <v>1488</v>
      </c>
      <c r="C71" s="382">
        <f ca="1">ROUND(C68*10000/F71,0)</f>
        <v>-293</v>
      </c>
      <c r="D71" s="1194" t="s">
        <v>1489</v>
      </c>
      <c r="E71" s="1195" t="s">
        <v>1490</v>
      </c>
      <c r="F71" s="385">
        <f ca="1">F43</f>
        <v>30726.57</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704</v>
      </c>
      <c r="D75" s="1844"/>
      <c r="E75" s="1844"/>
      <c r="F75" s="1844"/>
      <c r="K75" s="1870"/>
      <c r="L75" s="1844"/>
      <c r="O75" s="1886" t="s">
        <v>1046</v>
      </c>
      <c r="P75" s="1887" t="s">
        <v>1550</v>
      </c>
      <c r="Q75" s="1888">
        <f ca="1">Q65+Q66</f>
        <v>28699</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0.52600000000000002</v>
      </c>
    </row>
    <row r="80" spans="1:18">
      <c r="B80" s="386" t="s">
        <v>1512</v>
      </c>
      <c r="C80" s="318">
        <f ca="1">ROUND(C75/C39,3)</f>
        <v>0.47399999999999998</v>
      </c>
    </row>
    <row r="81" spans="2:3">
      <c r="B81" s="314" t="s">
        <v>1513</v>
      </c>
      <c r="C81" s="282"/>
    </row>
    <row r="82" spans="2:3">
      <c r="B82" s="317" t="s">
        <v>1514</v>
      </c>
      <c r="C82" s="319">
        <f ca="1">1-C83</f>
        <v>0.38800000000000001</v>
      </c>
    </row>
    <row r="83" spans="2:3">
      <c r="B83" s="317" t="s">
        <v>1515</v>
      </c>
      <c r="C83" s="318">
        <f ca="1">ROUND(C13/C40,3)</f>
        <v>0.61199999999999999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4">
        <f ca="1">C6+C10+C12</f>
        <v>0</v>
      </c>
      <c r="D5" s="1824" t="s">
        <v>1602</v>
      </c>
      <c r="E5" s="1295"/>
      <c r="F5" s="1296"/>
      <c r="G5" s="1853"/>
      <c r="H5" s="344">
        <v>1</v>
      </c>
      <c r="I5" s="345" t="s">
        <v>1601</v>
      </c>
      <c r="J5" s="1294">
        <f ca="1">J6+J10+J12</f>
        <v>0</v>
      </c>
      <c r="K5" s="1824" t="s">
        <v>1602</v>
      </c>
      <c r="L5" s="1295"/>
      <c r="M5" s="1296"/>
    </row>
    <row r="6" spans="1:37" ht="18" customHeight="1">
      <c r="A6" s="1293" t="s">
        <v>1035</v>
      </c>
      <c r="B6" s="3173" t="s">
        <v>1403</v>
      </c>
      <c r="C6" s="1298">
        <f ca="1">ROUND(F6*F8*F7*(1-F9),0)</f>
        <v>0</v>
      </c>
      <c r="D6" s="164" t="s">
        <v>3029</v>
      </c>
      <c r="E6" s="347" t="s">
        <v>1405</v>
      </c>
      <c r="F6" s="348">
        <f ca="1">INDIRECT("'数据-取费表'!u"&amp;$G$1)</f>
        <v>0</v>
      </c>
      <c r="G6" s="1853"/>
      <c r="H6" s="1293" t="s">
        <v>1035</v>
      </c>
      <c r="I6" s="3173" t="s">
        <v>1403</v>
      </c>
      <c r="J6" s="346">
        <f ca="1">ROUND(M6*M8*M7*(1-M9),0)</f>
        <v>0</v>
      </c>
      <c r="K6" s="1836" t="s">
        <v>3032</v>
      </c>
      <c r="L6" s="347" t="s">
        <v>1405</v>
      </c>
      <c r="M6" s="348">
        <f ca="1">INDIRECT("'数据-取费表'!z"&amp;$G$1)</f>
        <v>0</v>
      </c>
    </row>
    <row r="7" spans="1:37" ht="18" customHeight="1">
      <c r="A7" s="1297"/>
      <c r="B7" s="3174"/>
      <c r="C7" s="1299"/>
      <c r="D7" s="352"/>
      <c r="E7" s="1300" t="s">
        <v>1406</v>
      </c>
      <c r="F7" s="348">
        <f ca="1">IF(INDIRECT("'数据-取费表'!ah"&amp;$G$1)="",INDIRECT("'数据-取费表'!k"&amp;$G$1),INDIRECT("'数据-取费表'!ah"&amp;$G$1))</f>
        <v>0</v>
      </c>
      <c r="G7" s="1853"/>
      <c r="H7" s="349"/>
      <c r="I7" s="3174"/>
      <c r="J7" s="351"/>
      <c r="K7" s="352"/>
      <c r="L7" s="347" t="s">
        <v>1406</v>
      </c>
      <c r="M7" s="348">
        <f ca="1">F7</f>
        <v>0</v>
      </c>
    </row>
    <row r="8" spans="1:37" ht="18" customHeight="1">
      <c r="A8" s="349"/>
      <c r="B8" s="3174"/>
      <c r="C8" s="351"/>
      <c r="D8" s="352"/>
      <c r="E8" s="347" t="s">
        <v>1407</v>
      </c>
      <c r="F8" s="348">
        <f ca="1">INDIRECT("'数据-取费表'!ai"&amp;$G$1)</f>
        <v>0</v>
      </c>
      <c r="G8" s="1853"/>
      <c r="H8" s="349"/>
      <c r="I8" s="3174"/>
      <c r="J8" s="351"/>
      <c r="K8" s="352"/>
      <c r="L8" s="347" t="s">
        <v>1407</v>
      </c>
      <c r="M8" s="348">
        <f ca="1">INDIRECT("'数据-取费表'!ai"&amp;$G$1)</f>
        <v>0</v>
      </c>
    </row>
    <row r="9" spans="1:37" ht="18" customHeight="1">
      <c r="A9" s="349"/>
      <c r="B9" s="3175"/>
      <c r="C9" s="351"/>
      <c r="D9" s="352"/>
      <c r="E9" s="347" t="s">
        <v>1408</v>
      </c>
      <c r="F9" s="357">
        <f ca="1">INDIRECT("'数据-取费表'!w"&amp;$G$1)</f>
        <v>0</v>
      </c>
      <c r="G9" s="1853"/>
      <c r="H9" s="349"/>
      <c r="I9" s="3175"/>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ROUND(IF(F10="押一",F6*F8*F7/12*F11,IF(F10="押二",F6*F8*F7/12*2*F11,IF(F10="押三",F6*F8*F7/12*3*F11,C11*F11))),0)</f>
        <v>0</v>
      </c>
      <c r="D10" s="1826" t="s">
        <v>3030</v>
      </c>
      <c r="E10" s="358" t="s">
        <v>1411</v>
      </c>
      <c r="F10" s="1368"/>
      <c r="G10" s="1853"/>
      <c r="H10" s="1293" t="s">
        <v>1039</v>
      </c>
      <c r="I10" s="1825" t="s">
        <v>1409</v>
      </c>
      <c r="J10" s="346">
        <f ca="1">ROUND(IF(M10="押一",M6*M8*M7/12*M11,IF(M10="押二",M6*M8*M7/12*2*M11,IF(M10="押三",M6*M8*M7/12*3*M11,J11*M11))),0)</f>
        <v>0</v>
      </c>
      <c r="K10" s="1837" t="s">
        <v>3031</v>
      </c>
      <c r="L10" s="358" t="s">
        <v>1411</v>
      </c>
      <c r="M10" s="1368"/>
    </row>
    <row r="11" spans="1:37" ht="18" customHeight="1">
      <c r="A11" s="353"/>
      <c r="B11" s="1827" t="s">
        <v>1603</v>
      </c>
      <c r="C11" s="1180"/>
      <c r="D11" s="352"/>
      <c r="E11" s="358" t="s">
        <v>1413</v>
      </c>
      <c r="F11" s="359">
        <f ca="1">'数据-取费表'!B39</f>
        <v>1.4999999999999999E-2</v>
      </c>
      <c r="G11" s="1853"/>
      <c r="H11" s="1301"/>
      <c r="I11" s="1827" t="s">
        <v>1604</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3"/>
      <c r="H13" s="1331">
        <v>2</v>
      </c>
      <c r="I13" s="1332" t="s">
        <v>1415</v>
      </c>
      <c r="J13" s="1292">
        <f ca="1">ROUND(J14*J15,0)</f>
        <v>0</v>
      </c>
      <c r="K13" s="1339" t="s">
        <v>1416</v>
      </c>
      <c r="L13" s="1854"/>
      <c r="M13" s="1855"/>
    </row>
    <row r="14" spans="1:37" ht="18" customHeight="1">
      <c r="A14" s="1203" t="s">
        <v>1034</v>
      </c>
      <c r="B14" s="347" t="s">
        <v>1418</v>
      </c>
      <c r="C14" s="363">
        <f ca="1">ROUND(INDIRECT("'数据-取费表'!l"&amp;$G$1)*F43+'数据-取费表'!L14*INDIRECT("'数据-取费表'!S"&amp;$G$1),0)</f>
        <v>0</v>
      </c>
      <c r="D14" s="1802" t="s">
        <v>1419</v>
      </c>
      <c r="E14" s="1796"/>
      <c r="F14" s="364"/>
      <c r="G14" s="1853"/>
      <c r="H14" s="1203" t="s">
        <v>1035</v>
      </c>
      <c r="I14" s="347" t="s">
        <v>1420</v>
      </c>
      <c r="J14" s="24">
        <f ca="1">C29</f>
        <v>0</v>
      </c>
      <c r="K14" s="15"/>
      <c r="L14" s="982"/>
      <c r="M14" s="983"/>
    </row>
    <row r="15" spans="1:37" s="1860" customFormat="1" ht="18" customHeight="1" thickBot="1">
      <c r="A15" s="1203" t="s">
        <v>1036</v>
      </c>
      <c r="B15" s="347" t="s">
        <v>1421</v>
      </c>
      <c r="C15" s="24">
        <f ca="1">ROUND(C14*F15,0)</f>
        <v>0</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3"/>
      <c r="H16" s="1331" t="s">
        <v>1030</v>
      </c>
      <c r="I16" s="1332" t="s">
        <v>1425</v>
      </c>
      <c r="J16" s="355">
        <f ca="1">ROUND(J17+J22+J23+J24,0)</f>
        <v>0</v>
      </c>
      <c r="K16" s="1339" t="s">
        <v>1426</v>
      </c>
      <c r="L16" s="1340"/>
      <c r="M16" s="1296"/>
    </row>
    <row r="17" spans="1:37" s="1860" customFormat="1" ht="18" customHeight="1">
      <c r="A17" s="1203" t="s">
        <v>1390</v>
      </c>
      <c r="B17" s="347" t="s">
        <v>1427</v>
      </c>
      <c r="C17" s="24">
        <f ca="1">ROUND(F17*(F43+INDIRECT("'数据-取费表'!S"&amp;$G$1)),0)</f>
        <v>0</v>
      </c>
      <c r="D17" s="347" t="s">
        <v>1428</v>
      </c>
      <c r="E17" s="347" t="s">
        <v>1429</v>
      </c>
      <c r="F17" s="26">
        <f>'数据-取费表'!B35</f>
        <v>200</v>
      </c>
      <c r="G17" s="1856"/>
      <c r="H17" s="1203"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0</v>
      </c>
      <c r="D18" s="347" t="s">
        <v>1422</v>
      </c>
      <c r="E18" s="347" t="s">
        <v>1423</v>
      </c>
      <c r="F18" s="367">
        <f>'数据-取费表'!B36</f>
        <v>1.4999999999999999E-2</v>
      </c>
      <c r="G18" s="1856"/>
      <c r="H18" s="1203" t="s">
        <v>1034</v>
      </c>
      <c r="I18" s="347" t="s">
        <v>1434</v>
      </c>
      <c r="J18" s="24">
        <f ca="1">ROUND(J5*M18/(1+'数据-取费表'!C42),0)</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0</v>
      </c>
      <c r="D19" s="140" t="s">
        <v>1437</v>
      </c>
      <c r="E19" s="1820"/>
      <c r="F19" s="26"/>
      <c r="G19" s="1853"/>
      <c r="H19" s="1203"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3" t="s">
        <v>1039</v>
      </c>
      <c r="B20" s="347" t="s">
        <v>1440</v>
      </c>
      <c r="C20" s="24">
        <f ca="1">ROUND(C19*F20,0)</f>
        <v>0</v>
      </c>
      <c r="D20" s="369" t="s">
        <v>1441</v>
      </c>
      <c r="E20" s="347" t="s">
        <v>1423</v>
      </c>
      <c r="F20" s="367">
        <f>'数据-取费表'!B37</f>
        <v>0.02</v>
      </c>
      <c r="G20" s="1856"/>
      <c r="H20" s="1203" t="s">
        <v>1389</v>
      </c>
      <c r="I20" s="164" t="s">
        <v>1442</v>
      </c>
      <c r="J20" s="25">
        <f ca="1">ROUND(M20*M21,0)</f>
        <v>0</v>
      </c>
      <c r="K20" s="370" t="s">
        <v>1443</v>
      </c>
      <c r="L20" s="347" t="s">
        <v>1444</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1820"/>
      <c r="F22" s="26"/>
      <c r="G22" s="1853"/>
      <c r="H22" s="1203" t="s">
        <v>1039</v>
      </c>
      <c r="I22" s="347" t="s">
        <v>1450</v>
      </c>
      <c r="J22" s="24">
        <f ca="1">ROUND(J14*M22,0)</f>
        <v>0</v>
      </c>
      <c r="K22" s="1800" t="s">
        <v>1451</v>
      </c>
      <c r="L22" s="347" t="s">
        <v>1423</v>
      </c>
      <c r="M22" s="374">
        <f ca="1">INDIRECT("'数据-取费表'!Ak"&amp;$G$1)</f>
        <v>0</v>
      </c>
    </row>
    <row r="23" spans="1:37" s="1860" customFormat="1" ht="18" customHeight="1">
      <c r="A23" s="1203"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6"/>
      <c r="H24" s="1341" t="s">
        <v>1393</v>
      </c>
      <c r="I24" s="1342" t="s">
        <v>1440</v>
      </c>
      <c r="J24" s="1343">
        <f ca="1">ROUND(J5*M24,0)</f>
        <v>0</v>
      </c>
      <c r="K24" s="1344" t="s">
        <v>1460</v>
      </c>
      <c r="L24" s="1342" t="s">
        <v>1456</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1461</v>
      </c>
      <c r="B25" s="347" t="s">
        <v>1462</v>
      </c>
      <c r="C25" s="24"/>
      <c r="D25" s="140" t="s">
        <v>1463</v>
      </c>
      <c r="E25" s="1820"/>
      <c r="F25" s="26"/>
      <c r="G25" s="1853"/>
      <c r="H25" s="1331" t="s">
        <v>1031</v>
      </c>
      <c r="I25" s="1346" t="s">
        <v>1464</v>
      </c>
      <c r="J25" s="355">
        <f ca="1">J5-J16</f>
        <v>0</v>
      </c>
      <c r="K25" s="1347" t="s">
        <v>1465</v>
      </c>
      <c r="L25" s="1348"/>
      <c r="M25" s="1349"/>
    </row>
    <row r="26" spans="1:37" ht="18" customHeight="1">
      <c r="A26" s="1203"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3"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0</v>
      </c>
      <c r="D29" s="1344"/>
      <c r="E29" s="1342"/>
      <c r="F29" s="1345"/>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0</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IF(项目基本情况!B11="自然人","——",ROUND(C5*F32/(1+'数据-取费表'!C42),0))</f>
        <v>0</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f>
        <v>0</v>
      </c>
      <c r="D34" s="370" t="s">
        <v>1443</v>
      </c>
      <c r="E34" s="347" t="s">
        <v>1444</v>
      </c>
      <c r="F34" s="371">
        <f>'数据-取费表'!B52</f>
        <v>0</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3"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1" t="s">
        <v>1393</v>
      </c>
      <c r="B38" s="1342" t="s">
        <v>1440</v>
      </c>
      <c r="C38" s="1343">
        <f ca="1">ROUND(C5*F38,1)</f>
        <v>0</v>
      </c>
      <c r="D38" s="1344" t="s">
        <v>1460</v>
      </c>
      <c r="E38" s="1342" t="s">
        <v>1456</v>
      </c>
      <c r="F38" s="1338">
        <f ca="1">INDIRECT("'数据-取费表'!Am"&amp;$G$1)</f>
        <v>0</v>
      </c>
      <c r="G38" s="1853"/>
      <c r="H38" s="1861"/>
      <c r="I38" s="1862"/>
      <c r="J38" s="1863"/>
      <c r="K38" s="1867"/>
      <c r="L38" s="1861"/>
      <c r="M38" s="1861"/>
    </row>
    <row r="39" spans="1:18" ht="24.6" customHeight="1" thickTop="1">
      <c r="A39" s="1331" t="s">
        <v>1031</v>
      </c>
      <c r="B39" s="1346" t="s">
        <v>1484</v>
      </c>
      <c r="C39" s="355">
        <f ca="1">C5-C30</f>
        <v>0</v>
      </c>
      <c r="D39" s="1347" t="s">
        <v>1485</v>
      </c>
      <c r="E39" s="1348"/>
      <c r="F39" s="1349"/>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7" t="s">
        <v>1396</v>
      </c>
      <c r="B47" s="1199" t="s">
        <v>1397</v>
      </c>
      <c r="C47" s="1199" t="s">
        <v>1398</v>
      </c>
      <c r="D47" s="1199" t="s">
        <v>1399</v>
      </c>
      <c r="E47" s="1281" t="s">
        <v>1400</v>
      </c>
      <c r="F47" s="1282"/>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2" t="s">
        <v>1135</v>
      </c>
      <c r="B48" s="345" t="s">
        <v>1401</v>
      </c>
      <c r="C48" s="1819">
        <f ca="1">C49+C53+C55</f>
        <v>0</v>
      </c>
      <c r="D48" s="1364"/>
      <c r="E48" s="1365"/>
      <c r="F48" s="1183"/>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6" t="s">
        <v>1136</v>
      </c>
      <c r="B49" s="1831" t="s">
        <v>1491</v>
      </c>
      <c r="C49" s="1366">
        <f ca="1">ROUND(F49*F51*F50*(1-F52),0)</f>
        <v>0</v>
      </c>
      <c r="D49" s="1278" t="s">
        <v>1404</v>
      </c>
      <c r="E49" s="1832" t="s">
        <v>1492</v>
      </c>
      <c r="F49" s="1283"/>
      <c r="G49" s="1893"/>
      <c r="H49" s="793"/>
      <c r="I49" s="1889" t="s">
        <v>1535</v>
      </c>
      <c r="J49" s="1894"/>
      <c r="K49" s="1891" t="s">
        <v>1536</v>
      </c>
      <c r="L49" s="1895"/>
      <c r="O49" s="1896" t="s">
        <v>1042</v>
      </c>
      <c r="P49" s="1887" t="s">
        <v>1537</v>
      </c>
      <c r="Q49" s="1888">
        <f ca="1">C29</f>
        <v>0</v>
      </c>
      <c r="R49" s="1888" t="s">
        <v>1530</v>
      </c>
    </row>
    <row r="50" spans="1:18" s="1844" customFormat="1" ht="13.5" thickBot="1">
      <c r="A50" s="1197"/>
      <c r="B50" s="1200"/>
      <c r="C50" s="1201"/>
      <c r="D50" s="1174"/>
      <c r="E50" s="1279" t="s">
        <v>1406</v>
      </c>
      <c r="F50" s="1280">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8"/>
      <c r="B51" s="1200"/>
      <c r="C51" s="1201"/>
      <c r="D51" s="1174"/>
      <c r="E51" s="1202"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b">
        <f>J53</f>
        <v>0</v>
      </c>
      <c r="R52" s="1888" t="s">
        <v>1547</v>
      </c>
    </row>
    <row r="53" spans="1:18" s="1844" customFormat="1" ht="30.75" customHeight="1" thickBot="1">
      <c r="A53" s="1363" t="s">
        <v>1137</v>
      </c>
      <c r="B53" s="369" t="s">
        <v>1409</v>
      </c>
      <c r="C53" s="361">
        <f ca="1">ROUND(IF(F53="押一",F49*F51*F50/12*F11,IF(F53="押二",F49*F51*F50/12*2*F11,IF(F53="押三",F49*F51*F50/12*3*F11,C54*F11))),0)</f>
        <v>0</v>
      </c>
      <c r="D53" s="1826" t="s">
        <v>1410</v>
      </c>
      <c r="E53" s="358" t="s">
        <v>1411</v>
      </c>
      <c r="F53" s="1368"/>
      <c r="I53" s="1907" t="s">
        <v>1548</v>
      </c>
      <c r="J53" s="1908" t="b">
        <f>IF(M47="住宅",J51,IF(D1="——",MIN(J51,L48),IF(D1="在建（套用方法）",MIN(J51,L48-'数据-取费表'!B24),IF(D1="土地（套用方法）",MIN(J51,L48-'数据-取费表'!B20)))))</f>
        <v>0</v>
      </c>
      <c r="K53" s="3171" t="s">
        <v>1549</v>
      </c>
      <c r="L53" s="3172"/>
      <c r="O53" s="1886" t="s">
        <v>1046</v>
      </c>
      <c r="P53" s="1887" t="s">
        <v>1550</v>
      </c>
      <c r="Q53" s="1888" t="e">
        <f ca="1">Q47+Q48</f>
        <v>#DIV/0!</v>
      </c>
      <c r="R53" s="1888" t="s">
        <v>1047</v>
      </c>
    </row>
    <row r="54" spans="1:18" s="1844" customFormat="1" ht="13.5" thickBot="1">
      <c r="A54" s="1196"/>
      <c r="B54" s="1943" t="s">
        <v>1604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8">
        <v>2</v>
      </c>
      <c r="B56" s="1179"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1"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79" t="s">
        <v>1425</v>
      </c>
      <c r="C58" s="361">
        <f ca="1">ROUND(C59+C64+C65+C66,0)</f>
        <v>0</v>
      </c>
      <c r="D58" s="1181" t="s">
        <v>1426</v>
      </c>
      <c r="E58" s="1182"/>
      <c r="F58" s="1183"/>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ROUND(IF(项目基本情况!B11="自然人",C48*F59,C60+C61+C62),0)</f>
        <v>0</v>
      </c>
      <c r="D59" s="1184" t="s">
        <v>1431</v>
      </c>
      <c r="E59" s="1185"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IF(项目基本情况!B11="自然人","——",ROUND(C48*F60/(1+'数据-取费表'!C42),0))</f>
        <v>0</v>
      </c>
      <c r="D60" s="1185" t="s">
        <v>1435</v>
      </c>
      <c r="E60" s="1171" t="s">
        <v>1423</v>
      </c>
      <c r="F60" s="377">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IF(项目基本情况!B11="自然人","——",IF(D61="按租金收入计税",ROUND(C48*F61,0),IF(D61="按房产原值计税",ROUND(C57*F61*0.7,0),INDIRECT("'数据-取费表'!Aj"&amp;$G$1))))</f>
        <v>0</v>
      </c>
      <c r="D61" s="1830" t="s">
        <v>1439</v>
      </c>
      <c r="E61" s="1171"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3" t="s">
        <v>1496</v>
      </c>
      <c r="B62" s="1170" t="s">
        <v>1497</v>
      </c>
      <c r="C62" s="25">
        <f ca="1">IF(项目基本情况!B11="自然人","——",ROUND(F62*F63,0))</f>
        <v>0</v>
      </c>
      <c r="D62" s="1186" t="s">
        <v>1498</v>
      </c>
      <c r="E62" s="1171" t="s">
        <v>1499</v>
      </c>
      <c r="F62" s="371">
        <f t="shared" si="0"/>
        <v>0</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ROUND(C57*F64,0)</f>
        <v>0</v>
      </c>
      <c r="D64" s="1185" t="s">
        <v>1503</v>
      </c>
      <c r="E64" s="1171"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ROUND(C56*F65,0)</f>
        <v>0</v>
      </c>
      <c r="D65" s="1185" t="s">
        <v>1455</v>
      </c>
      <c r="E65" s="1171"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3" t="s">
        <v>1505</v>
      </c>
      <c r="B66" s="1171" t="s">
        <v>1440</v>
      </c>
      <c r="C66" s="24">
        <f ca="1">ROUND(C48*F66,0)</f>
        <v>0</v>
      </c>
      <c r="D66" s="1185" t="s">
        <v>1506</v>
      </c>
      <c r="E66" s="1171" t="s">
        <v>1423</v>
      </c>
      <c r="F66" s="357">
        <f t="shared" ca="1" si="0"/>
        <v>0</v>
      </c>
      <c r="O66" s="1886" t="s">
        <v>1041</v>
      </c>
      <c r="P66" s="1887" t="s">
        <v>1559</v>
      </c>
      <c r="Q66" s="1888" t="e">
        <f ca="1">L60</f>
        <v>#DIV/0!</v>
      </c>
      <c r="R66" s="1888" t="s">
        <v>1582</v>
      </c>
    </row>
    <row r="67" spans="1:18" s="1844" customFormat="1" ht="16.5" thickBot="1">
      <c r="A67" s="1178" t="s">
        <v>1031</v>
      </c>
      <c r="B67" s="1188" t="s">
        <v>1464</v>
      </c>
      <c r="C67" s="361">
        <f ca="1">C48-C58</f>
        <v>0</v>
      </c>
      <c r="D67" s="1184" t="s">
        <v>1465</v>
      </c>
      <c r="E67" s="1189"/>
      <c r="F67" s="1190"/>
      <c r="O67" s="1896" t="s">
        <v>1042</v>
      </c>
      <c r="P67" s="1887" t="s">
        <v>1563</v>
      </c>
      <c r="Q67" s="1935">
        <f ca="1">L51</f>
        <v>0</v>
      </c>
      <c r="R67" s="1888" t="s">
        <v>1583</v>
      </c>
    </row>
    <row r="68" spans="1:18" s="1844" customFormat="1" ht="16.5" thickBot="1">
      <c r="A68" s="1168" t="s">
        <v>1032</v>
      </c>
      <c r="B68" s="1169" t="s">
        <v>1486</v>
      </c>
      <c r="C68" s="346" t="e">
        <f ca="1">ROUND(C67*(1-((1+F70)/(1+F68))^F69)/(F68-F70),0)</f>
        <v>#DIV/0!</v>
      </c>
      <c r="D68" s="1186" t="s">
        <v>1470</v>
      </c>
      <c r="E68" s="1171" t="s">
        <v>1471</v>
      </c>
      <c r="F68" s="357">
        <f ca="1">F40</f>
        <v>0</v>
      </c>
      <c r="O68" s="1896" t="s">
        <v>1043</v>
      </c>
      <c r="P68" s="1936" t="s">
        <v>1584</v>
      </c>
      <c r="Q68" s="1888">
        <f ca="1">ROUND(Q69-Q70*Q71,0)</f>
        <v>0</v>
      </c>
      <c r="R68" s="1888" t="s">
        <v>1051</v>
      </c>
    </row>
    <row r="69" spans="1:18" s="1844" customFormat="1" ht="13.5" thickBot="1">
      <c r="A69" s="1172"/>
      <c r="B69" s="1173"/>
      <c r="C69" s="351"/>
      <c r="D69" s="1191" t="s">
        <v>1474</v>
      </c>
      <c r="E69" s="1171" t="s">
        <v>1475</v>
      </c>
      <c r="F69" s="379">
        <f ca="1">F41</f>
        <v>0</v>
      </c>
      <c r="O69" s="1896" t="s">
        <v>1048</v>
      </c>
      <c r="P69" s="1936" t="s">
        <v>1585</v>
      </c>
      <c r="Q69" s="1888">
        <f ca="1">C39</f>
        <v>0</v>
      </c>
      <c r="R69" s="1888" t="s">
        <v>1530</v>
      </c>
    </row>
    <row r="70" spans="1:18" s="1844" customFormat="1" ht="13.5" thickBot="1">
      <c r="A70" s="1175"/>
      <c r="B70" s="1176"/>
      <c r="C70" s="355"/>
      <c r="D70" s="1187"/>
      <c r="E70" s="1171" t="s">
        <v>1478</v>
      </c>
      <c r="F70" s="1277">
        <f ca="1">F42</f>
        <v>0</v>
      </c>
      <c r="O70" s="1896" t="s">
        <v>1049</v>
      </c>
      <c r="P70" s="1936" t="s">
        <v>1586</v>
      </c>
      <c r="Q70" s="1888">
        <f ca="1">C13</f>
        <v>0</v>
      </c>
      <c r="R70" s="1888" t="s">
        <v>1530</v>
      </c>
    </row>
    <row r="71" spans="1:18" s="1844" customFormat="1" ht="13.5" thickBot="1">
      <c r="A71" s="1192" t="s">
        <v>1033</v>
      </c>
      <c r="B71" s="1193" t="s">
        <v>1488</v>
      </c>
      <c r="C71" s="382" t="e">
        <f ca="1">ROUND(C68/F71,0)</f>
        <v>#DIV/0!</v>
      </c>
      <c r="D71" s="1194" t="s">
        <v>1489</v>
      </c>
      <c r="E71" s="1195"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3096</v>
      </c>
      <c r="D1" s="1822" t="s">
        <v>70</v>
      </c>
      <c r="E1" s="1823" t="s">
        <v>1387</v>
      </c>
      <c r="F1" s="1285"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t="e">
        <f ca="1">C40+J29+L46</f>
        <v>#N/A</v>
      </c>
      <c r="C2" s="1847" t="s">
        <v>1517</v>
      </c>
      <c r="D2" s="1847"/>
      <c r="E2" s="1848"/>
      <c r="F2" s="1849"/>
      <c r="G2" s="1850"/>
      <c r="H2" s="1842"/>
      <c r="I2" s="1842"/>
      <c r="J2" s="1842"/>
      <c r="K2" s="1843"/>
      <c r="L2" s="1842"/>
      <c r="M2" s="1842"/>
    </row>
    <row r="3" spans="1:37" ht="18" customHeight="1" thickBot="1">
      <c r="A3" s="1851" t="s">
        <v>1518</v>
      </c>
      <c r="B3" s="1852">
        <f ca="1">IF(ISERROR(B2*10000/F43),0,ROUND(B2*10000/F43,0))</f>
        <v>0</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t="e">
        <f ca="1">C6+C10+C12</f>
        <v>#N/A</v>
      </c>
      <c r="D5" s="1824" t="s">
        <v>1402</v>
      </c>
      <c r="E5" s="1295"/>
      <c r="F5" s="1296"/>
      <c r="G5" s="1853"/>
      <c r="H5" s="344">
        <v>1</v>
      </c>
      <c r="I5" s="345" t="s">
        <v>1401</v>
      </c>
      <c r="J5" s="1294" t="e">
        <f ca="1">J6+J10+J12</f>
        <v>#N/A</v>
      </c>
      <c r="K5" s="1824" t="s">
        <v>1402</v>
      </c>
      <c r="L5" s="1295"/>
      <c r="M5" s="1296"/>
    </row>
    <row r="6" spans="1:37" ht="18" customHeight="1">
      <c r="A6" s="1293" t="s">
        <v>1035</v>
      </c>
      <c r="B6" s="3173" t="s">
        <v>1403</v>
      </c>
      <c r="C6" s="1298" t="e">
        <f ca="1">ROUND(F6*F8*F7*(1-F9)/10000,0)</f>
        <v>#N/A</v>
      </c>
      <c r="D6" s="164" t="s">
        <v>3034</v>
      </c>
      <c r="E6" s="347" t="s">
        <v>1405</v>
      </c>
      <c r="F6" s="348" t="e">
        <f ca="1">INDIRECT("'数据-取费表'!u"&amp;$G$1)</f>
        <v>#N/A</v>
      </c>
      <c r="G6" s="1853"/>
      <c r="H6" s="1293" t="s">
        <v>1035</v>
      </c>
      <c r="I6" s="3173" t="s">
        <v>1403</v>
      </c>
      <c r="J6" s="346" t="e">
        <f ca="1">ROUND(M6*M8*M7*(1-M9)/10000,0)</f>
        <v>#N/A</v>
      </c>
      <c r="K6" s="164" t="s">
        <v>3033</v>
      </c>
      <c r="L6" s="347" t="s">
        <v>1405</v>
      </c>
      <c r="M6" s="348" t="e">
        <f ca="1">INDIRECT("'数据-取费表'!z"&amp;$G$1)</f>
        <v>#N/A</v>
      </c>
    </row>
    <row r="7" spans="1:37" ht="18" customHeight="1">
      <c r="A7" s="1297"/>
      <c r="B7" s="3174"/>
      <c r="C7" s="1299"/>
      <c r="D7" s="352"/>
      <c r="E7" s="2931" t="s">
        <v>1406</v>
      </c>
      <c r="F7" s="348" t="e">
        <f ca="1">IF(INDIRECT("'数据-取费表'!ah"&amp;$G$1)="",INDIRECT("'数据-取费表'!k"&amp;$G$1),INDIRECT("'数据-取费表'!ah"&amp;$G$1))</f>
        <v>#N/A</v>
      </c>
      <c r="G7" s="1853"/>
      <c r="H7" s="349"/>
      <c r="I7" s="3174"/>
      <c r="J7" s="351"/>
      <c r="K7" s="352"/>
      <c r="L7" s="347" t="s">
        <v>1406</v>
      </c>
      <c r="M7" s="348" t="e">
        <f ca="1">F7</f>
        <v>#N/A</v>
      </c>
    </row>
    <row r="8" spans="1:37" ht="18" customHeight="1">
      <c r="A8" s="349"/>
      <c r="B8" s="3174"/>
      <c r="C8" s="351"/>
      <c r="D8" s="352"/>
      <c r="E8" s="347" t="s">
        <v>1407</v>
      </c>
      <c r="F8" s="348" t="e">
        <f ca="1">INDIRECT("'数据-取费表'!ai"&amp;$G$1)</f>
        <v>#N/A</v>
      </c>
      <c r="G8" s="1853"/>
      <c r="H8" s="349"/>
      <c r="I8" s="3174"/>
      <c r="J8" s="351"/>
      <c r="K8" s="352"/>
      <c r="L8" s="347" t="s">
        <v>1407</v>
      </c>
      <c r="M8" s="348" t="e">
        <f ca="1">INDIRECT("'数据-取费表'!ai"&amp;$G$1)</f>
        <v>#N/A</v>
      </c>
    </row>
    <row r="9" spans="1:37" ht="18" customHeight="1">
      <c r="A9" s="349"/>
      <c r="B9" s="3175"/>
      <c r="C9" s="351"/>
      <c r="D9" s="352"/>
      <c r="E9" s="347" t="s">
        <v>1408</v>
      </c>
      <c r="F9" s="357" t="e">
        <f ca="1">INDIRECT("'数据-取费表'!w"&amp;$G$1)</f>
        <v>#N/A</v>
      </c>
      <c r="G9" s="1853"/>
      <c r="H9" s="349"/>
      <c r="I9" s="3175"/>
      <c r="J9" s="351"/>
      <c r="K9" s="352"/>
      <c r="L9" s="358" t="s">
        <v>1408</v>
      </c>
      <c r="M9" s="359" t="e">
        <f ca="1">INDIRECT("'数据-取费表'!ab"&amp;$G$1)</f>
        <v>#N/A</v>
      </c>
    </row>
    <row r="10" spans="1:37" ht="18" customHeight="1">
      <c r="A10" s="1293" t="s">
        <v>1039</v>
      </c>
      <c r="B10" s="1825" t="s">
        <v>1409</v>
      </c>
      <c r="C10" s="361" t="e">
        <f ca="1">ROUND(IF(F10="押一",F6*F8*F7/12*F11,IF(F10="押二",F6*F8*F7/12*2*F11,IF(F10="押三",F6*F8*F7/12*3*F11,C11*F11)))/10000,0)</f>
        <v>#N/A</v>
      </c>
      <c r="D10" s="1826" t="s">
        <v>3030</v>
      </c>
      <c r="E10" s="358" t="s">
        <v>1411</v>
      </c>
      <c r="F10" s="1368" t="s">
        <v>3103</v>
      </c>
      <c r="G10" s="1853"/>
      <c r="H10" s="1293" t="s">
        <v>1039</v>
      </c>
      <c r="I10" s="1825" t="s">
        <v>1409</v>
      </c>
      <c r="J10" s="346" t="e">
        <f ca="1">ROUND(IF(M10="押一",M6*M8*M7/12*M11,IF(M10="押二",M6*M8*M7/12*2*M11,IF(M10="押三",M6*M8*M7/12*3*M11,J11*M11)))/10000,0)</f>
        <v>#N/A</v>
      </c>
      <c r="K10" s="1826" t="s">
        <v>3030</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t="e">
        <f ca="1">ROUND(C29*F13,0)</f>
        <v>#N/A</v>
      </c>
      <c r="D13" s="1333" t="s">
        <v>1416</v>
      </c>
      <c r="E13" s="1333" t="s">
        <v>1417</v>
      </c>
      <c r="F13" s="1334" t="e">
        <f ca="1">INDIRECT("'数据-取费表'!y"&amp;$G$1)</f>
        <v>#N/A</v>
      </c>
      <c r="G13" s="1853"/>
      <c r="H13" s="1331">
        <v>2</v>
      </c>
      <c r="I13" s="1332" t="s">
        <v>1415</v>
      </c>
      <c r="J13" s="1292" t="e">
        <f ca="1">ROUND(J14*J15,0)</f>
        <v>#N/A</v>
      </c>
      <c r="K13" s="1339" t="s">
        <v>1416</v>
      </c>
      <c r="L13" s="1854"/>
      <c r="M13" s="1855"/>
    </row>
    <row r="14" spans="1:37" ht="18" customHeight="1">
      <c r="A14" s="1203" t="s">
        <v>1034</v>
      </c>
      <c r="B14" s="347" t="s">
        <v>1418</v>
      </c>
      <c r="C14" s="363" t="e">
        <f ca="1">INDIRECT("'数据-取费表'!m"&amp;$G$1)+INDIRECT("'数据-取费表'!t"&amp;$G$1)</f>
        <v>#N/A</v>
      </c>
      <c r="D14" s="2934" t="s">
        <v>1419</v>
      </c>
      <c r="E14" s="2933"/>
      <c r="F14" s="364"/>
      <c r="G14" s="1853"/>
      <c r="H14" s="1203" t="s">
        <v>1035</v>
      </c>
      <c r="I14" s="347" t="s">
        <v>1420</v>
      </c>
      <c r="J14" s="24" t="e">
        <f ca="1">C29</f>
        <v>#N/A</v>
      </c>
      <c r="K14" s="2930"/>
      <c r="L14" s="982"/>
      <c r="M14" s="983"/>
    </row>
    <row r="15" spans="1:37" s="1860" customFormat="1" ht="18" customHeight="1" thickBot="1">
      <c r="A15" s="1203" t="s">
        <v>1036</v>
      </c>
      <c r="B15" s="347" t="s">
        <v>1421</v>
      </c>
      <c r="C15" s="24" t="e">
        <f ca="1">ROUND(C14*F15,0)</f>
        <v>#N/A</v>
      </c>
      <c r="D15" s="365" t="s">
        <v>1422</v>
      </c>
      <c r="E15" s="365" t="s">
        <v>1423</v>
      </c>
      <c r="F15" s="366">
        <f>'数据-取费表'!B33</f>
        <v>0.03</v>
      </c>
      <c r="G15" s="1856"/>
      <c r="H15" s="1341" t="s">
        <v>1039</v>
      </c>
      <c r="I15" s="1342" t="s">
        <v>1417</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t="e">
        <f ca="1">ROUND(INDIRECT("'数据-取费表'!m"&amp;$G$1)*F16,0)</f>
        <v>#N/A</v>
      </c>
      <c r="D16" s="347" t="s">
        <v>1422</v>
      </c>
      <c r="E16" s="347" t="s">
        <v>1423</v>
      </c>
      <c r="F16" s="367" t="e">
        <f ca="1">IF(INDIRECT("'数据-取费表'!c"&amp;$G$1)="住宅",'数据-取费表'!B34,0)</f>
        <v>#N/A</v>
      </c>
      <c r="G16" s="1853"/>
      <c r="H16" s="1331" t="s">
        <v>1030</v>
      </c>
      <c r="I16" s="1332" t="s">
        <v>1425</v>
      </c>
      <c r="J16" s="355" t="e">
        <f ca="1">ROUND(J17+J22+J23+J24,0)</f>
        <v>#N/A</v>
      </c>
      <c r="K16" s="1339" t="s">
        <v>1426</v>
      </c>
      <c r="L16" s="2936"/>
      <c r="M16" s="1296"/>
    </row>
    <row r="17" spans="1:37" s="1860" customFormat="1" ht="18" customHeight="1">
      <c r="A17" s="1203" t="s">
        <v>1390</v>
      </c>
      <c r="B17" s="347" t="s">
        <v>1427</v>
      </c>
      <c r="C17" s="24" t="e">
        <f ca="1">ROUND(F17*(F43+INDIRECT("'数据-取费表'!S"&amp;$G$1))/10000,0)</f>
        <v>#N/A</v>
      </c>
      <c r="D17" s="347" t="s">
        <v>1428</v>
      </c>
      <c r="E17" s="347" t="s">
        <v>1429</v>
      </c>
      <c r="F17" s="26">
        <f>'数据-取费表'!B35</f>
        <v>200</v>
      </c>
      <c r="G17" s="1856"/>
      <c r="H17" s="1203" t="s">
        <v>1035</v>
      </c>
      <c r="I17" s="347" t="s">
        <v>1430</v>
      </c>
      <c r="J17" s="24" t="e">
        <f ca="1">ROUND(IF(项目基本情况!B11="自然人",J5*M17,J18+J19+J20),1)</f>
        <v>#N/A</v>
      </c>
      <c r="K17" s="2934" t="s">
        <v>1431</v>
      </c>
      <c r="L17" s="2935"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t="e">
        <f ca="1">ROUND(C14*F18,0)</f>
        <v>#N/A</v>
      </c>
      <c r="D18" s="347" t="s">
        <v>1422</v>
      </c>
      <c r="E18" s="347" t="s">
        <v>1423</v>
      </c>
      <c r="F18" s="367">
        <f>'数据-取费表'!B36</f>
        <v>1.4999999999999999E-2</v>
      </c>
      <c r="G18" s="1856"/>
      <c r="H18" s="1203" t="s">
        <v>1034</v>
      </c>
      <c r="I18" s="347" t="s">
        <v>1434</v>
      </c>
      <c r="J18" s="24" t="e">
        <f ca="1">ROUND(J5*M18/(1+'数据-取费表'!C42),2)</f>
        <v>#N/A</v>
      </c>
      <c r="K18" s="2935"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t="e">
        <f ca="1">SUM(C14:C18)</f>
        <v>#N/A</v>
      </c>
      <c r="D19" s="140" t="s">
        <v>1437</v>
      </c>
      <c r="E19" s="2929"/>
      <c r="F19" s="26"/>
      <c r="G19" s="1853"/>
      <c r="H19" s="1203" t="s">
        <v>1036</v>
      </c>
      <c r="I19" s="347" t="s">
        <v>1438</v>
      </c>
      <c r="J19" s="24" t="e">
        <f ca="1">IF(K19="按租金收入计税",ROUND(J5*M19,2),ROUND(C29*M19*0.7,2))</f>
        <v>#N/A</v>
      </c>
      <c r="K19" s="1830" t="s">
        <v>1439</v>
      </c>
      <c r="L19" s="347" t="s">
        <v>1423</v>
      </c>
      <c r="M19" s="367">
        <f>IF(K19="按租金收入计税",'数据-取费表'!B51,'数据-取费表'!B50)</f>
        <v>1.2E-2</v>
      </c>
    </row>
    <row r="20" spans="1:37" s="1860" customFormat="1" ht="18" customHeight="1">
      <c r="A20" s="1203" t="s">
        <v>1039</v>
      </c>
      <c r="B20" s="347" t="s">
        <v>1440</v>
      </c>
      <c r="C20" s="24" t="e">
        <f ca="1">ROUND(C19*F20,0)</f>
        <v>#N/A</v>
      </c>
      <c r="D20" s="369" t="s">
        <v>1441</v>
      </c>
      <c r="E20" s="347" t="s">
        <v>1423</v>
      </c>
      <c r="F20" s="367">
        <f>'数据-取费表'!B37</f>
        <v>0.02</v>
      </c>
      <c r="G20" s="1856"/>
      <c r="H20" s="1203" t="s">
        <v>1389</v>
      </c>
      <c r="I20" s="164" t="s">
        <v>1442</v>
      </c>
      <c r="J20" s="25" t="e">
        <f ca="1">ROUND(M20*M21/10000,2)</f>
        <v>#N/A</v>
      </c>
      <c r="K20" s="370" t="s">
        <v>1443</v>
      </c>
      <c r="L20" s="347" t="s">
        <v>1444</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2929"/>
      <c r="F22" s="26"/>
      <c r="G22" s="1853"/>
      <c r="H22" s="1203" t="s">
        <v>1039</v>
      </c>
      <c r="I22" s="347" t="s">
        <v>1450</v>
      </c>
      <c r="J22" s="24" t="e">
        <f ca="1">ROUND(J14*M22,1)</f>
        <v>#N/A</v>
      </c>
      <c r="K22" s="2935" t="s">
        <v>1451</v>
      </c>
      <c r="L22" s="347" t="s">
        <v>1423</v>
      </c>
      <c r="M22" s="374" t="e">
        <f ca="1">INDIRECT("'数据-取费表'!Ak"&amp;$G$1)</f>
        <v>#N/A</v>
      </c>
    </row>
    <row r="23" spans="1:37" s="1860" customFormat="1" ht="18" customHeight="1">
      <c r="A23" s="1203"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t="e">
        <f ca="1">ROUND(J13*M23,1)</f>
        <v>#N/A</v>
      </c>
      <c r="K23" s="2935" t="s">
        <v>1455</v>
      </c>
      <c r="L23" s="347" t="s">
        <v>1423</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6"/>
      <c r="H24" s="1341" t="s">
        <v>1392</v>
      </c>
      <c r="I24" s="1342" t="s">
        <v>1440</v>
      </c>
      <c r="J24" s="1343" t="e">
        <f ca="1">ROUND(J5*M24,1)</f>
        <v>#N/A</v>
      </c>
      <c r="K24" s="1344" t="s">
        <v>1460</v>
      </c>
      <c r="L24" s="1342" t="s">
        <v>1423</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29"/>
      <c r="F25" s="26"/>
      <c r="G25" s="1853"/>
      <c r="H25" s="1331" t="s">
        <v>1031</v>
      </c>
      <c r="I25" s="1346" t="s">
        <v>1464</v>
      </c>
      <c r="J25" s="355" t="e">
        <f ca="1">J5-J16</f>
        <v>#N/A</v>
      </c>
      <c r="K25" s="1347" t="s">
        <v>1465</v>
      </c>
      <c r="L25" s="1348"/>
      <c r="M25" s="1349"/>
    </row>
    <row r="26" spans="1:37">
      <c r="A26" s="1203" t="s">
        <v>1034</v>
      </c>
      <c r="B26" s="347" t="s">
        <v>1466</v>
      </c>
      <c r="C26" s="24" t="e">
        <f ca="1">ROUND((C19+C20)*F26,0)</f>
        <v>#N/A</v>
      </c>
      <c r="D26" s="369" t="s">
        <v>1467</v>
      </c>
      <c r="E26" s="358" t="s">
        <v>1468</v>
      </c>
      <c r="F26" s="357" t="e">
        <f ca="1">INDIRECT("'数据-取费表'!q"&amp;$G$1)</f>
        <v>#N/A</v>
      </c>
      <c r="G26" s="1853"/>
      <c r="H26" s="344" t="s">
        <v>1032</v>
      </c>
      <c r="I26" s="345" t="s">
        <v>1469</v>
      </c>
      <c r="J26" s="346" t="e">
        <f ca="1">IF(J5&lt;&gt;0,ROUND(J25*(1-((1+M28)/(1+M26))^M27)/(M26-M28),0),0)</f>
        <v>#N/A</v>
      </c>
      <c r="K26" s="370" t="s">
        <v>1470</v>
      </c>
      <c r="L26" s="347" t="s">
        <v>1471</v>
      </c>
      <c r="M26" s="357" t="e">
        <f ca="1">INDIRECT("'数据-取费表'!I"&amp;$G$1)</f>
        <v>#N/A</v>
      </c>
    </row>
    <row r="27" spans="1:37" ht="18" customHeight="1">
      <c r="A27" s="1203" t="s">
        <v>1036</v>
      </c>
      <c r="B27" s="347" t="s">
        <v>1472</v>
      </c>
      <c r="C27" s="24" t="e">
        <f ca="1">ROUND(F21*F26,4)</f>
        <v>#N/A</v>
      </c>
      <c r="D27" s="369" t="s">
        <v>1473</v>
      </c>
      <c r="E27" s="365"/>
      <c r="F27" s="366"/>
      <c r="G27" s="1853"/>
      <c r="H27" s="349"/>
      <c r="I27" s="350"/>
      <c r="J27" s="351"/>
      <c r="K27" s="378" t="s">
        <v>1474</v>
      </c>
      <c r="L27" s="347" t="s">
        <v>1475</v>
      </c>
      <c r="M27" s="379" t="e">
        <f ca="1">INDIRECT("'数据-取费表'!ag"&amp;$G$1)</f>
        <v>#N/A</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t="e">
        <f ca="1">ROUND((C19+C20+C23+C26)/(1-F21-C24-C27-C28),0)</f>
        <v>#N/A</v>
      </c>
      <c r="D29" s="1344"/>
      <c r="E29" s="1342"/>
      <c r="F29" s="1345"/>
      <c r="G29" s="1856"/>
      <c r="H29" s="380" t="s">
        <v>1033</v>
      </c>
      <c r="I29" s="381" t="s">
        <v>1480</v>
      </c>
      <c r="J29" s="382" t="e">
        <f ca="1">ROUND(J26/(1+F40)^F41,0)</f>
        <v>#N/A</v>
      </c>
      <c r="K29" s="383" t="s">
        <v>1481</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t="e">
        <f ca="1">ROUND(C31+C36+C37+C38,0)</f>
        <v>#N/A</v>
      </c>
      <c r="D30" s="1339" t="s">
        <v>1426</v>
      </c>
      <c r="E30" s="2936"/>
      <c r="F30" s="1296"/>
      <c r="G30" s="1853"/>
      <c r="H30" s="745"/>
      <c r="I30" s="746"/>
      <c r="J30" s="747"/>
      <c r="K30" s="748"/>
      <c r="L30" s="749"/>
      <c r="M30" s="750"/>
    </row>
    <row r="31" spans="1:37" ht="18" customHeight="1">
      <c r="A31" s="1203" t="s">
        <v>1035</v>
      </c>
      <c r="B31" s="347" t="s">
        <v>1430</v>
      </c>
      <c r="C31" s="24" t="e">
        <f ca="1">ROUND(IF(项目基本情况!B11="自然人",C5*F31,C32+C33+C34),1)</f>
        <v>#N/A</v>
      </c>
      <c r="D31" s="2934" t="s">
        <v>1431</v>
      </c>
      <c r="E31" s="2935"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t="e">
        <f ca="1">IF(项目基本情况!B11="自然人","——",ROUND(C5*F32/(1+'数据-取费表'!C42),2))</f>
        <v>#N/A</v>
      </c>
      <c r="D32" s="2935" t="s">
        <v>1435</v>
      </c>
      <c r="E32" s="347" t="s">
        <v>1423</v>
      </c>
      <c r="F32" s="377">
        <f>'数据-取费表'!B41</f>
        <v>5.6000000000000001E-2</v>
      </c>
      <c r="G32" s="1853"/>
      <c r="H32" s="745"/>
      <c r="I32" s="746"/>
      <c r="J32" s="747"/>
      <c r="K32" s="748"/>
      <c r="L32" s="749"/>
      <c r="M32" s="750"/>
    </row>
    <row r="33" spans="1:18" ht="18" customHeight="1">
      <c r="A33" s="1203" t="s">
        <v>1036</v>
      </c>
      <c r="B33" s="347" t="s">
        <v>1438</v>
      </c>
      <c r="C33" s="24" t="e">
        <f ca="1">IF(项目基本情况!B11="自然人","——",IF(D33="按租金收入计税",ROUND(C5*F33,2),IF(D33="按房产原值计税",ROUND(C29*F33*0.7,2),INDIRECT("'数据-取费表'!Aj"&amp;$G$1))))</f>
        <v>#N/A</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t="e">
        <f ca="1">IF(项目基本情况!B11="自然人","——",ROUND(F34*F35/10000,2))</f>
        <v>#N/A</v>
      </c>
      <c r="D34" s="370" t="s">
        <v>1443</v>
      </c>
      <c r="E34" s="347" t="s">
        <v>1444</v>
      </c>
      <c r="F34" s="371">
        <f>'数据-取费表'!B52</f>
        <v>0</v>
      </c>
      <c r="G34" s="1853"/>
      <c r="H34" s="745"/>
      <c r="I34" s="1862"/>
      <c r="J34" s="1863"/>
      <c r="K34" s="1865"/>
      <c r="L34" s="1866"/>
      <c r="M34" s="1866"/>
    </row>
    <row r="35" spans="1:18" ht="18" customHeight="1">
      <c r="A35" s="1355"/>
      <c r="B35" s="1353"/>
      <c r="C35" s="29"/>
      <c r="D35" s="373"/>
      <c r="E35" s="347" t="s">
        <v>1448</v>
      </c>
      <c r="F35" s="348" t="e">
        <f ca="1">INDIRECT("'数据-取费表'!r"&amp;$G$1)</f>
        <v>#N/A</v>
      </c>
      <c r="G35" s="1853"/>
      <c r="H35" s="745"/>
      <c r="I35" s="1862"/>
      <c r="J35" s="1863"/>
      <c r="K35" s="1864"/>
      <c r="L35" s="1861"/>
      <c r="M35" s="1861"/>
    </row>
    <row r="36" spans="1:18" ht="18" customHeight="1">
      <c r="A36" s="1354" t="s">
        <v>1039</v>
      </c>
      <c r="B36" s="347" t="s">
        <v>1450</v>
      </c>
      <c r="C36" s="24" t="e">
        <f ca="1">ROUND(C29*F36,1)</f>
        <v>#N/A</v>
      </c>
      <c r="D36" s="2935" t="s">
        <v>1483</v>
      </c>
      <c r="E36" s="347" t="s">
        <v>1423</v>
      </c>
      <c r="F36" s="374" t="e">
        <f ca="1">INDIRECT("'数据-取费表'!Ak"&amp;$G$1)</f>
        <v>#N/A</v>
      </c>
      <c r="G36" s="1853"/>
      <c r="H36" s="1861"/>
      <c r="I36" s="1862"/>
      <c r="J36" s="1863"/>
      <c r="K36" s="751"/>
      <c r="L36" s="1861"/>
      <c r="M36" s="1861"/>
    </row>
    <row r="37" spans="1:18" ht="18" customHeight="1">
      <c r="A37" s="1203" t="s">
        <v>1075</v>
      </c>
      <c r="B37" s="347" t="s">
        <v>1454</v>
      </c>
      <c r="C37" s="24" t="e">
        <f ca="1">ROUND(C13*F37,1)</f>
        <v>#N/A</v>
      </c>
      <c r="D37" s="2935" t="s">
        <v>1455</v>
      </c>
      <c r="E37" s="347" t="s">
        <v>1423</v>
      </c>
      <c r="F37" s="376" t="e">
        <f ca="1">INDIRECT("'数据-取费表'!Al"&amp;$G$1)</f>
        <v>#N/A</v>
      </c>
      <c r="G37" s="1853"/>
      <c r="H37" s="1861"/>
      <c r="I37" s="1862"/>
      <c r="J37" s="1863"/>
      <c r="K37" s="751"/>
      <c r="L37" s="1861"/>
      <c r="M37" s="1861"/>
    </row>
    <row r="38" spans="1:18" ht="18" customHeight="1" thickBot="1">
      <c r="A38" s="1341" t="s">
        <v>1392</v>
      </c>
      <c r="B38" s="1342" t="s">
        <v>1440</v>
      </c>
      <c r="C38" s="1343" t="e">
        <f ca="1">ROUND(C5*F38,1)</f>
        <v>#N/A</v>
      </c>
      <c r="D38" s="1344" t="s">
        <v>1460</v>
      </c>
      <c r="E38" s="1342" t="s">
        <v>1423</v>
      </c>
      <c r="F38" s="1338" t="e">
        <f ca="1">INDIRECT("'数据-取费表'!Am"&amp;$G$1)</f>
        <v>#N/A</v>
      </c>
      <c r="G38" s="1853"/>
      <c r="H38" s="1861"/>
      <c r="I38" s="1862"/>
      <c r="J38" s="1863"/>
      <c r="K38" s="1867"/>
      <c r="L38" s="1861"/>
      <c r="M38" s="1861"/>
    </row>
    <row r="39" spans="1:18" ht="24.6" customHeight="1" thickTop="1">
      <c r="A39" s="1331" t="s">
        <v>1031</v>
      </c>
      <c r="B39" s="1346" t="s">
        <v>1464</v>
      </c>
      <c r="C39" s="355" t="e">
        <f ca="1">C5-C30</f>
        <v>#N/A</v>
      </c>
      <c r="D39" s="1347" t="s">
        <v>1465</v>
      </c>
      <c r="E39" s="1348"/>
      <c r="F39" s="1349"/>
      <c r="G39" s="1853"/>
      <c r="H39" s="1861"/>
      <c r="I39" s="1862"/>
      <c r="J39" s="1863"/>
      <c r="K39" s="1867"/>
      <c r="L39" s="1861"/>
      <c r="M39" s="1861"/>
    </row>
    <row r="40" spans="1:18" ht="18" customHeight="1">
      <c r="A40" s="344" t="s">
        <v>1032</v>
      </c>
      <c r="B40" s="345" t="s">
        <v>1486</v>
      </c>
      <c r="C40" s="346" t="e">
        <f ca="1">ROUND(C39*(1-((1+F42)/(1+F40))^F41)/(F40-F42),0)</f>
        <v>#N/A</v>
      </c>
      <c r="D40" s="370" t="s">
        <v>1470</v>
      </c>
      <c r="E40" s="347" t="s">
        <v>1471</v>
      </c>
      <c r="F40" s="357" t="e">
        <f ca="1">INDIRECT("'数据-取费表'!I"&amp;$G$1)</f>
        <v>#N/A</v>
      </c>
      <c r="G40" s="1853"/>
      <c r="H40" s="1841"/>
      <c r="I40" s="1862"/>
      <c r="J40" s="1863"/>
      <c r="K40" s="1867"/>
      <c r="L40" s="1841"/>
      <c r="M40" s="1841"/>
    </row>
    <row r="41" spans="1:18" ht="18" customHeight="1">
      <c r="A41" s="349"/>
      <c r="B41" s="350"/>
      <c r="C41" s="351"/>
      <c r="D41" s="378" t="s">
        <v>1487</v>
      </c>
      <c r="E41" s="347" t="s">
        <v>1475</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1478</v>
      </c>
      <c r="F42" s="357" t="e">
        <f ca="1">INDIRECT("'数据-取费表'!v"&amp;$G$1)</f>
        <v>#N/A</v>
      </c>
      <c r="G42" s="1853"/>
      <c r="H42" s="732"/>
      <c r="I42" s="1862"/>
      <c r="J42" s="1863"/>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t="e">
        <f ca="1">C68-C40</f>
        <v>#N/A</v>
      </c>
      <c r="D46" s="1874" t="str">
        <f>C2</f>
        <v>万元</v>
      </c>
      <c r="E46" s="1868"/>
      <c r="F46" s="1868"/>
      <c r="I46" s="1875" t="s">
        <v>1522</v>
      </c>
      <c r="J46" s="1876"/>
      <c r="K46" s="1877"/>
      <c r="L46" s="1878" t="e">
        <f ca="1">IF(M47="住宅",0,IF(L48&gt;J51,L60,J60))</f>
        <v>#N/A</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3101</v>
      </c>
      <c r="K47" s="1884" t="s">
        <v>1528</v>
      </c>
      <c r="L47" s="1885" t="e">
        <f ca="1">INDIRECT("'数据-取费表'!d"&amp;$G$1)</f>
        <v>#N/A</v>
      </c>
      <c r="M47" s="1840" t="str">
        <f>IF(ISNUMBER(FIND("住宅",C1)),"住宅","非住宅")</f>
        <v>非住宅</v>
      </c>
      <c r="O47" s="1886" t="s">
        <v>1040</v>
      </c>
      <c r="P47" s="1887" t="s">
        <v>1529</v>
      </c>
      <c r="Q47" s="1888" t="e">
        <f ca="1">C40+J29</f>
        <v>#N/A</v>
      </c>
      <c r="R47" s="1888" t="s">
        <v>1530</v>
      </c>
    </row>
    <row r="48" spans="1:18" s="1844" customFormat="1" ht="28.5" thickBot="1">
      <c r="A48" s="1362" t="s">
        <v>1135</v>
      </c>
      <c r="B48" s="345" t="s">
        <v>1401</v>
      </c>
      <c r="C48" s="2928" t="e">
        <f ca="1">C49+C53+C55</f>
        <v>#N/A</v>
      </c>
      <c r="D48" s="1364"/>
      <c r="E48" s="1365"/>
      <c r="F48" s="1183"/>
      <c r="G48" s="792"/>
      <c r="H48" s="793"/>
      <c r="I48" s="1889" t="s">
        <v>1531</v>
      </c>
      <c r="J48" s="1890" t="s">
        <v>3102</v>
      </c>
      <c r="K48" s="1891" t="s">
        <v>1532</v>
      </c>
      <c r="L48" s="1892" t="e">
        <f ca="1">INDIRECT("'数据-取费表'!f"&amp;$G$1)</f>
        <v>#N/A</v>
      </c>
      <c r="O48" s="1886" t="s">
        <v>1041</v>
      </c>
      <c r="P48" s="1887" t="s">
        <v>1533</v>
      </c>
      <c r="Q48" s="1888" t="e">
        <f ca="1">J60</f>
        <v>#N/A</v>
      </c>
      <c r="R48" s="1888" t="s">
        <v>1534</v>
      </c>
    </row>
    <row r="49" spans="1:18" s="1844" customFormat="1" ht="13.5" thickBot="1">
      <c r="A49" s="1196" t="s">
        <v>1136</v>
      </c>
      <c r="B49" s="1831" t="s">
        <v>1491</v>
      </c>
      <c r="C49" s="1366" t="e">
        <f ca="1">ROUND(F49*F51*F50*(1-F52)/10000,0)</f>
        <v>#N/A</v>
      </c>
      <c r="D49" s="1278" t="s">
        <v>3033</v>
      </c>
      <c r="E49" s="1832" t="s">
        <v>1492</v>
      </c>
      <c r="F49" s="1283"/>
      <c r="G49" s="1893"/>
      <c r="H49" s="793"/>
      <c r="I49" s="1889" t="s">
        <v>1535</v>
      </c>
      <c r="J49" s="1894"/>
      <c r="K49" s="1891" t="s">
        <v>1536</v>
      </c>
      <c r="L49" s="1895"/>
      <c r="O49" s="1896" t="s">
        <v>1042</v>
      </c>
      <c r="P49" s="1887" t="s">
        <v>1537</v>
      </c>
      <c r="Q49" s="1888" t="e">
        <f ca="1">C29</f>
        <v>#N/A</v>
      </c>
      <c r="R49" s="1888" t="s">
        <v>1530</v>
      </c>
    </row>
    <row r="50" spans="1:18" s="1844" customFormat="1" ht="13.5" thickBot="1">
      <c r="A50" s="1197"/>
      <c r="B50" s="1200"/>
      <c r="C50" s="1370"/>
      <c r="D50" s="1174"/>
      <c r="E50" s="1279" t="s">
        <v>1406</v>
      </c>
      <c r="F50" s="1280" t="e">
        <f ca="1">F7</f>
        <v>#N/A</v>
      </c>
      <c r="H50" s="793"/>
      <c r="I50" s="1889" t="s">
        <v>1538</v>
      </c>
      <c r="J50" s="1897">
        <f>SUMPRODUCT((I63:I65=J47)*(J62:L62=J48)*(J63:L65))</f>
        <v>60</v>
      </c>
      <c r="K50" s="1891" t="s">
        <v>1539</v>
      </c>
      <c r="L50" s="1895"/>
      <c r="M50" s="1898"/>
      <c r="O50" s="1896" t="s">
        <v>1043</v>
      </c>
      <c r="P50" s="1887" t="s">
        <v>1540</v>
      </c>
      <c r="Q50" s="1899" t="e">
        <f ca="1">J58</f>
        <v>#N/A</v>
      </c>
      <c r="R50" s="1888"/>
    </row>
    <row r="51" spans="1:18" s="1844" customFormat="1" ht="13.5" thickBot="1">
      <c r="A51" s="1198"/>
      <c r="B51" s="1200"/>
      <c r="C51" s="1201"/>
      <c r="D51" s="1174"/>
      <c r="E51" s="1202" t="s">
        <v>1407</v>
      </c>
      <c r="F51" s="348" t="e">
        <f ca="1">F8</f>
        <v>#N/A</v>
      </c>
      <c r="I51" s="1900" t="s">
        <v>1541</v>
      </c>
      <c r="J51" s="1901">
        <f>IF(J49="",J50,J49+J50-YEAR('数据-取费表'!B2))</f>
        <v>60</v>
      </c>
      <c r="K51" s="1902" t="s">
        <v>1542</v>
      </c>
      <c r="L51" s="1903" t="e">
        <f ca="1">ROUND(-PV(INDIRECT("'数据-取费表'!h"&amp;$G$1),L48,(C39-C13*C76),0),0)</f>
        <v>#N/A</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e">
        <f ca="1">J53</f>
        <v>#N/A</v>
      </c>
      <c r="R52" s="1888" t="s">
        <v>1547</v>
      </c>
    </row>
    <row r="53" spans="1:18" s="1844" customFormat="1" ht="24.75" thickBot="1">
      <c r="A53" s="1407" t="s">
        <v>1137</v>
      </c>
      <c r="B53" s="1833" t="s">
        <v>1409</v>
      </c>
      <c r="C53" s="361">
        <f ca="1">ROUND(IF(F53="押一",F49*F51*F50/12*F11,IF(F53="押二",F49*F51*F50/12*2*F11,IF(F53="押三",F49*F51*F50/12*3*F11,C54*F11)))/10000,0)</f>
        <v>0</v>
      </c>
      <c r="D53" s="1826" t="s">
        <v>3030</v>
      </c>
      <c r="E53" s="358" t="s">
        <v>1411</v>
      </c>
      <c r="F53" s="1368"/>
      <c r="I53" s="1907" t="s">
        <v>1548</v>
      </c>
      <c r="J53" s="1908" t="e">
        <f ca="1">IF(M47="住宅",J51,IF(D1="——",MIN(J51,L48),IF(D1="在建（套用方法）",MIN(J51,L48-'数据-取费表'!B24),IF(D1="土地（套用方法）",MIN(J51,L48-'数据-取费表'!B20)))))</f>
        <v>#N/A</v>
      </c>
      <c r="K53" s="3171" t="s">
        <v>1549</v>
      </c>
      <c r="L53" s="3172"/>
      <c r="O53" s="1886" t="s">
        <v>1046</v>
      </c>
      <c r="P53" s="1887" t="s">
        <v>1550</v>
      </c>
      <c r="Q53" s="1888" t="e">
        <f ca="1">Q47+Q48</f>
        <v>#N/A</v>
      </c>
      <c r="R53" s="1888" t="s">
        <v>1047</v>
      </c>
    </row>
    <row r="54" spans="1:18" s="1844" customFormat="1" ht="13.5" thickBot="1">
      <c r="A54" s="1408"/>
      <c r="B54" s="1827" t="s">
        <v>1388</v>
      </c>
      <c r="C54" s="1180"/>
      <c r="D54" s="1826"/>
      <c r="E54" s="2932"/>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1551</v>
      </c>
      <c r="P54" s="1841"/>
      <c r="Q54" s="1841"/>
      <c r="R54" s="1841"/>
    </row>
    <row r="55" spans="1:18" s="1844" customFormat="1" ht="13.5" thickBot="1">
      <c r="A55" s="1335" t="s">
        <v>1075</v>
      </c>
      <c r="B55" s="1829" t="s">
        <v>1414</v>
      </c>
      <c r="C55" s="1336"/>
      <c r="D55" s="1826"/>
      <c r="E55" s="2932"/>
      <c r="F55" s="1909"/>
      <c r="I55" s="1912" t="s">
        <v>1552</v>
      </c>
      <c r="J55" s="1913" t="e">
        <f ca="1">ROUND(IF(J47="钢混",J57/J50,1-(1-2%)*(J50-J57)/J50),3)</f>
        <v>#N/A</v>
      </c>
      <c r="K55" s="1914" t="s">
        <v>1553</v>
      </c>
      <c r="L55" s="1915" t="s">
        <v>1554</v>
      </c>
      <c r="O55" s="1879" t="s">
        <v>1523</v>
      </c>
      <c r="P55" s="1880" t="s">
        <v>1524</v>
      </c>
      <c r="Q55" s="1881" t="s">
        <v>1525</v>
      </c>
      <c r="R55" s="1881" t="s">
        <v>1526</v>
      </c>
    </row>
    <row r="56" spans="1:18" s="1844" customFormat="1" ht="25.5" thickTop="1" thickBot="1">
      <c r="A56" s="1178">
        <v>2</v>
      </c>
      <c r="B56" s="1179" t="s">
        <v>1415</v>
      </c>
      <c r="C56" s="276" t="e">
        <f ca="1">C13</f>
        <v>#N/A</v>
      </c>
      <c r="D56" s="1916"/>
      <c r="E56" s="1917"/>
      <c r="F56" s="1909"/>
      <c r="I56" s="1918" t="s">
        <v>1555</v>
      </c>
      <c r="J56" s="1919" t="s">
        <v>3095</v>
      </c>
      <c r="K56" s="1889" t="s">
        <v>1556</v>
      </c>
      <c r="L56" s="1892" t="e">
        <f ca="1">IF(L48&lt;J51,"——",L48-J53)</f>
        <v>#N/A</v>
      </c>
      <c r="O56" s="1886" t="s">
        <v>1040</v>
      </c>
      <c r="P56" s="1887" t="s">
        <v>1529</v>
      </c>
      <c r="Q56" s="1888" t="e">
        <f ca="1">C40+J29</f>
        <v>#N/A</v>
      </c>
      <c r="R56" s="1888" t="s">
        <v>1530</v>
      </c>
    </row>
    <row r="57" spans="1:18" s="1844" customFormat="1" ht="24.75" thickBot="1">
      <c r="A57" s="1920"/>
      <c r="B57" s="1171" t="s">
        <v>1479</v>
      </c>
      <c r="C57" s="282" t="e">
        <f ca="1">C29</f>
        <v>#N/A</v>
      </c>
      <c r="D57" s="1921"/>
      <c r="E57" s="1922"/>
      <c r="F57" s="1923"/>
      <c r="I57" s="1924" t="s">
        <v>1557</v>
      </c>
      <c r="J57" s="1925" t="e">
        <f ca="1">IF(OR(M47="住宅",J51&lt;L48,J56="是"),"——",J51-L48)</f>
        <v>#N/A</v>
      </c>
      <c r="K57" s="1889" t="s">
        <v>1558</v>
      </c>
      <c r="L57" s="1892" t="e">
        <f ca="1">IF(L48&lt;J51,"——",IF(L55="比较法",L49,IF(L55="基准地价",L50,L51)))</f>
        <v>#N/A</v>
      </c>
      <c r="O57" s="1886" t="s">
        <v>1041</v>
      </c>
      <c r="P57" s="1887" t="s">
        <v>1559</v>
      </c>
      <c r="Q57" s="1888" t="e">
        <f ca="1">L60</f>
        <v>#N/A</v>
      </c>
      <c r="R57" s="1888" t="s">
        <v>1560</v>
      </c>
    </row>
    <row r="58" spans="1:18" s="1844" customFormat="1" ht="24.75" thickBot="1">
      <c r="A58" s="360" t="s">
        <v>1030</v>
      </c>
      <c r="B58" s="1179" t="s">
        <v>1425</v>
      </c>
      <c r="C58" s="361" t="e">
        <f ca="1">ROUND(C59+C64+C65+C66,0)</f>
        <v>#N/A</v>
      </c>
      <c r="D58" s="1181" t="s">
        <v>1426</v>
      </c>
      <c r="E58" s="1182"/>
      <c r="F58" s="1183"/>
      <c r="I58" s="1924" t="s">
        <v>1561</v>
      </c>
      <c r="J58" s="1926" t="e">
        <f ca="1">IF(J55&lt;0.4,0.4,J55)</f>
        <v>#N/A</v>
      </c>
      <c r="K58" s="1902" t="s">
        <v>1562</v>
      </c>
      <c r="L58" s="1892" t="e">
        <f ca="1">ROUND(POWER(1+L52,L47-L48)*(POWER(1+L52,L48)-1)/(POWER(1+L52,L47)-1),4)</f>
        <v>#N/A</v>
      </c>
      <c r="O58" s="1896" t="s">
        <v>1042</v>
      </c>
      <c r="P58" s="1887" t="s">
        <v>1563</v>
      </c>
      <c r="Q58" s="1888">
        <f>IF(L55="比较法",L49,IF(L55="基准地价",L50,0))</f>
        <v>0</v>
      </c>
      <c r="R58" s="1888" t="s">
        <v>1530</v>
      </c>
    </row>
    <row r="59" spans="1:18" s="1844" customFormat="1" ht="24.75" thickBot="1">
      <c r="A59" s="1203" t="s">
        <v>1035</v>
      </c>
      <c r="B59" s="1171" t="s">
        <v>1430</v>
      </c>
      <c r="C59" s="24" t="e">
        <f ca="1">ROUND(IF(项目基本情况!B11="自然人",C48*F59,C60+C61+C62),1)</f>
        <v>#N/A</v>
      </c>
      <c r="D59" s="1184" t="s">
        <v>1431</v>
      </c>
      <c r="E59" s="1185" t="s">
        <v>1432</v>
      </c>
      <c r="F59" s="368" t="str">
        <f ca="1">IF(项目基本情况!B11="企业","",IF(INDIRECT("'数据-取费表'!c"&amp;$G$1)="住宅",5%,IF(F49*F50*F51/12/(1+'数据-取费表'!C42)&gt;20000,12%,7%)))</f>
        <v/>
      </c>
      <c r="I59" s="1924" t="s">
        <v>1564</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1565</v>
      </c>
      <c r="Q59" s="1899">
        <f>L52</f>
        <v>0</v>
      </c>
      <c r="R59" s="1888"/>
    </row>
    <row r="60" spans="1:18" s="1844" customFormat="1" ht="16.5" thickBot="1">
      <c r="A60" s="1203" t="s">
        <v>1034</v>
      </c>
      <c r="B60" s="1171" t="s">
        <v>1434</v>
      </c>
      <c r="C60" s="24" t="e">
        <f ca="1">IF(项目基本情况!B11="自然人","——",ROUND(C48*F60/(1+'数据-取费表'!C42),2))</f>
        <v>#N/A</v>
      </c>
      <c r="D60" s="1185" t="s">
        <v>1435</v>
      </c>
      <c r="E60" s="1171" t="s">
        <v>1423</v>
      </c>
      <c r="F60" s="377">
        <f t="shared" ref="F60:F66" si="0">F32</f>
        <v>5.6000000000000001E-2</v>
      </c>
      <c r="I60" s="1927" t="s">
        <v>1566</v>
      </c>
      <c r="J60" s="1928" t="e">
        <f ca="1">IF(OR(M47="住宅",J51&lt;L48,J56="是"),"0",ROUND(J59/(1+J52)^J53,0))</f>
        <v>#N/A</v>
      </c>
      <c r="K60" s="1929" t="s">
        <v>1567</v>
      </c>
      <c r="L60" s="1928" t="e">
        <f ca="1">IF(OR(M47="住宅",L48&lt;J51),0,ROUND(L57*(L58/L59-1),0))</f>
        <v>#N/A</v>
      </c>
      <c r="O60" s="1896" t="s">
        <v>1044</v>
      </c>
      <c r="P60" s="1887" t="s">
        <v>1568</v>
      </c>
      <c r="Q60" s="1888" t="e">
        <f ca="1">L58</f>
        <v>#N/A</v>
      </c>
      <c r="R60" s="1888" t="s">
        <v>1569</v>
      </c>
    </row>
    <row r="61" spans="1:18" s="1844" customFormat="1" ht="13.5" thickBot="1">
      <c r="A61" s="1203" t="s">
        <v>1493</v>
      </c>
      <c r="B61" s="1171" t="s">
        <v>1438</v>
      </c>
      <c r="C61" s="24" t="e">
        <f ca="1">IF(项目基本情况!B11="自然人","——",IF(D61="按租金收入计税",ROUND(C48*F61,2),IF(D61="按房产原值计税",ROUND(C57*F61*0.7,2),INDIRECT("'数据-取费表'!Aj"&amp;$G$1))))</f>
        <v>#N/A</v>
      </c>
      <c r="D61" s="1830" t="s">
        <v>1439</v>
      </c>
      <c r="E61" s="1171" t="s">
        <v>1423</v>
      </c>
      <c r="F61" s="367">
        <f t="shared" si="0"/>
        <v>1.2E-2</v>
      </c>
      <c r="I61" s="1930"/>
      <c r="J61" s="1930"/>
      <c r="K61" s="1930"/>
      <c r="L61" s="1930"/>
      <c r="O61" s="1896" t="s">
        <v>1045</v>
      </c>
      <c r="P61" s="1887" t="str">
        <f>K59</f>
        <v>建筑物剩余耐用年限下的土地年期修正系数Kn</v>
      </c>
      <c r="Q61" s="1888" t="e">
        <f ca="1">L59</f>
        <v>#N/A</v>
      </c>
      <c r="R61" s="1888" t="s">
        <v>1570</v>
      </c>
    </row>
    <row r="62" spans="1:18" s="1844" customFormat="1" ht="13.5" thickBot="1">
      <c r="A62" s="1203" t="s">
        <v>1496</v>
      </c>
      <c r="B62" s="1170" t="s">
        <v>1442</v>
      </c>
      <c r="C62" s="25" t="e">
        <f ca="1">IF(项目基本情况!B11="自然人","——",ROUND(F62*F63/10000,2))</f>
        <v>#N/A</v>
      </c>
      <c r="D62" s="1186" t="s">
        <v>1443</v>
      </c>
      <c r="E62" s="1171" t="s">
        <v>1444</v>
      </c>
      <c r="F62" s="371">
        <f t="shared" si="0"/>
        <v>0</v>
      </c>
      <c r="I62" s="1931" t="s">
        <v>1571</v>
      </c>
      <c r="J62" s="1932" t="s">
        <v>1572</v>
      </c>
      <c r="K62" s="1932" t="s">
        <v>1573</v>
      </c>
      <c r="L62" s="1932" t="s">
        <v>1574</v>
      </c>
      <c r="M62" s="1933" t="s">
        <v>1575</v>
      </c>
      <c r="O62" s="1886" t="s">
        <v>1046</v>
      </c>
      <c r="P62" s="1887" t="s">
        <v>1550</v>
      </c>
      <c r="Q62" s="1888" t="e">
        <f ca="1">Q56+Q57</f>
        <v>#N/A</v>
      </c>
      <c r="R62" s="1888" t="s">
        <v>1047</v>
      </c>
    </row>
    <row r="63" spans="1:18" s="1844" customFormat="1" ht="13.5" thickBot="1">
      <c r="A63" s="372"/>
      <c r="B63" s="1177"/>
      <c r="C63" s="29"/>
      <c r="D63" s="1187"/>
      <c r="E63" s="1171" t="s">
        <v>1448</v>
      </c>
      <c r="F63" s="348" t="e">
        <f t="shared" ca="1" si="0"/>
        <v>#N/A</v>
      </c>
      <c r="I63" s="1931" t="s">
        <v>1577</v>
      </c>
      <c r="J63" s="1932">
        <v>70</v>
      </c>
      <c r="K63" s="1932">
        <v>50</v>
      </c>
      <c r="L63" s="1932">
        <v>80</v>
      </c>
      <c r="M63" s="1934">
        <v>0.02</v>
      </c>
      <c r="O63" s="1871" t="s">
        <v>1578</v>
      </c>
      <c r="P63" s="1841"/>
      <c r="Q63" s="1841"/>
      <c r="R63" s="1841"/>
    </row>
    <row r="64" spans="1:18" s="1844" customFormat="1" ht="13.5" thickBot="1">
      <c r="A64" s="1203" t="s">
        <v>1039</v>
      </c>
      <c r="B64" s="1171" t="s">
        <v>1450</v>
      </c>
      <c r="C64" s="24" t="e">
        <f ca="1">ROUND(C57*F64,1)</f>
        <v>#N/A</v>
      </c>
      <c r="D64" s="1185" t="s">
        <v>1483</v>
      </c>
      <c r="E64" s="1171" t="s">
        <v>1423</v>
      </c>
      <c r="F64" s="374" t="e">
        <f t="shared" ca="1" si="0"/>
        <v>#N/A</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t="e">
        <f ca="1">ROUND(C56*F65,1)</f>
        <v>#N/A</v>
      </c>
      <c r="D65" s="1185" t="s">
        <v>1455</v>
      </c>
      <c r="E65" s="1171" t="s">
        <v>1423</v>
      </c>
      <c r="F65" s="376" t="e">
        <f t="shared" ca="1" si="0"/>
        <v>#N/A</v>
      </c>
      <c r="I65" s="1931" t="s">
        <v>1580</v>
      </c>
      <c r="J65" s="1932">
        <v>40</v>
      </c>
      <c r="K65" s="1932">
        <v>30</v>
      </c>
      <c r="L65" s="1932">
        <v>50</v>
      </c>
      <c r="M65" s="1934">
        <v>0.02</v>
      </c>
      <c r="O65" s="1886" t="s">
        <v>1040</v>
      </c>
      <c r="P65" s="1887" t="s">
        <v>1529</v>
      </c>
      <c r="Q65" s="1888" t="e">
        <f ca="1">C40+J29</f>
        <v>#N/A</v>
      </c>
      <c r="R65" s="1888" t="s">
        <v>1530</v>
      </c>
    </row>
    <row r="66" spans="1:18" s="1844" customFormat="1" ht="16.5" thickBot="1">
      <c r="A66" s="1203" t="s">
        <v>1505</v>
      </c>
      <c r="B66" s="1171" t="s">
        <v>1440</v>
      </c>
      <c r="C66" s="24" t="e">
        <f ca="1">ROUND(C48*F66,1)</f>
        <v>#N/A</v>
      </c>
      <c r="D66" s="1185" t="s">
        <v>1460</v>
      </c>
      <c r="E66" s="1171" t="s">
        <v>1423</v>
      </c>
      <c r="F66" s="357" t="e">
        <f t="shared" ca="1" si="0"/>
        <v>#N/A</v>
      </c>
      <c r="O66" s="1886" t="s">
        <v>1041</v>
      </c>
      <c r="P66" s="1887" t="s">
        <v>1559</v>
      </c>
      <c r="Q66" s="1888" t="e">
        <f ca="1">L60</f>
        <v>#N/A</v>
      </c>
      <c r="R66" s="1888" t="s">
        <v>1582</v>
      </c>
    </row>
    <row r="67" spans="1:18" s="1844" customFormat="1" ht="16.5" thickBot="1">
      <c r="A67" s="1178" t="s">
        <v>1031</v>
      </c>
      <c r="B67" s="1188" t="s">
        <v>1464</v>
      </c>
      <c r="C67" s="361" t="e">
        <f ca="1">C48-C58</f>
        <v>#N/A</v>
      </c>
      <c r="D67" s="1184" t="s">
        <v>1465</v>
      </c>
      <c r="E67" s="1189"/>
      <c r="F67" s="1190"/>
      <c r="O67" s="1896" t="s">
        <v>1042</v>
      </c>
      <c r="P67" s="1887" t="s">
        <v>1563</v>
      </c>
      <c r="Q67" s="1935" t="e">
        <f ca="1">L51</f>
        <v>#N/A</v>
      </c>
      <c r="R67" s="1888" t="s">
        <v>1583</v>
      </c>
    </row>
    <row r="68" spans="1:18" s="1844" customFormat="1" ht="16.5" thickBot="1">
      <c r="A68" s="1168" t="s">
        <v>1032</v>
      </c>
      <c r="B68" s="1169" t="s">
        <v>1486</v>
      </c>
      <c r="C68" s="346" t="e">
        <f ca="1">ROUND(C67*(1-((1+F70)/(1+F68))^F69)/(F68-F70),0)</f>
        <v>#N/A</v>
      </c>
      <c r="D68" s="1186" t="s">
        <v>1470</v>
      </c>
      <c r="E68" s="1171" t="s">
        <v>1471</v>
      </c>
      <c r="F68" s="357" t="e">
        <f ca="1">F40</f>
        <v>#N/A</v>
      </c>
      <c r="O68" s="1896" t="s">
        <v>1043</v>
      </c>
      <c r="P68" s="1936" t="s">
        <v>1584</v>
      </c>
      <c r="Q68" s="1888" t="e">
        <f ca="1">ROUND(Q69-Q70*Q71,0)</f>
        <v>#N/A</v>
      </c>
      <c r="R68" s="1888" t="s">
        <v>1051</v>
      </c>
    </row>
    <row r="69" spans="1:18" s="1844" customFormat="1" ht="13.5" thickBot="1">
      <c r="A69" s="1172"/>
      <c r="B69" s="1173"/>
      <c r="C69" s="351"/>
      <c r="D69" s="1191" t="s">
        <v>1474</v>
      </c>
      <c r="E69" s="1171" t="s">
        <v>1475</v>
      </c>
      <c r="F69" s="379" t="e">
        <f ca="1">F41</f>
        <v>#N/A</v>
      </c>
      <c r="O69" s="1896" t="s">
        <v>1048</v>
      </c>
      <c r="P69" s="1936" t="s">
        <v>1585</v>
      </c>
      <c r="Q69" s="1888" t="e">
        <f ca="1">C39</f>
        <v>#N/A</v>
      </c>
      <c r="R69" s="1888" t="s">
        <v>1530</v>
      </c>
    </row>
    <row r="70" spans="1:18" s="1844" customFormat="1" ht="13.5" thickBot="1">
      <c r="A70" s="1175"/>
      <c r="B70" s="1176"/>
      <c r="C70" s="355"/>
      <c r="D70" s="1187"/>
      <c r="E70" s="1171" t="s">
        <v>1478</v>
      </c>
      <c r="F70" s="1277"/>
      <c r="O70" s="1896" t="s">
        <v>1049</v>
      </c>
      <c r="P70" s="1936" t="s">
        <v>1586</v>
      </c>
      <c r="Q70" s="1888" t="e">
        <f ca="1">C13</f>
        <v>#N/A</v>
      </c>
      <c r="R70" s="1888" t="s">
        <v>1530</v>
      </c>
    </row>
    <row r="71" spans="1:18" s="1844" customFormat="1" ht="13.5" thickBot="1">
      <c r="A71" s="1192" t="s">
        <v>1033</v>
      </c>
      <c r="B71" s="1193" t="s">
        <v>1488</v>
      </c>
      <c r="C71" s="382" t="e">
        <f ca="1">ROUND(C68*10000/F71,0)</f>
        <v>#N/A</v>
      </c>
      <c r="D71" s="1194" t="s">
        <v>1489</v>
      </c>
      <c r="E71" s="1195" t="s">
        <v>1490</v>
      </c>
      <c r="F71" s="385" t="e">
        <f ca="1">F43</f>
        <v>#N/A</v>
      </c>
      <c r="O71" s="1896" t="s">
        <v>1050</v>
      </c>
      <c r="P71" s="1936" t="s">
        <v>1587</v>
      </c>
      <c r="Q71" s="1899" t="e">
        <f ca="1">C76</f>
        <v>#N/A</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#N/A</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#N/A</v>
      </c>
      <c r="R74" s="1888" t="s">
        <v>1570</v>
      </c>
    </row>
    <row r="75" spans="1:18" ht="13.5" thickBot="1">
      <c r="A75" s="1844"/>
      <c r="B75" s="386" t="s">
        <v>1507</v>
      </c>
      <c r="C75" s="387" t="e">
        <f ca="1">ROUND(C13*C76,0)</f>
        <v>#N/A</v>
      </c>
      <c r="D75" s="1844"/>
      <c r="E75" s="1844"/>
      <c r="F75" s="1844"/>
      <c r="K75" s="1870"/>
      <c r="L75" s="1844"/>
      <c r="O75" s="1886" t="s">
        <v>1046</v>
      </c>
      <c r="P75" s="1887" t="s">
        <v>1550</v>
      </c>
      <c r="Q75" s="1888" t="e">
        <f ca="1">Q65+Q66</f>
        <v>#N/A</v>
      </c>
      <c r="R75" s="1888" t="s">
        <v>1047</v>
      </c>
    </row>
    <row r="76" spans="1:18">
      <c r="B76" s="388" t="s">
        <v>1508</v>
      </c>
      <c r="C76" s="389" t="e">
        <f ca="1">INDIRECT("'数据-取费表'!j"&amp;$G$1)</f>
        <v>#N/A</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31" sqref="H31"/>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2524</v>
      </c>
      <c r="B1" s="2563"/>
      <c r="C1" s="2563"/>
      <c r="D1" s="2563"/>
      <c r="E1" s="2564"/>
    </row>
    <row r="2" spans="1:6" ht="15.75">
      <c r="A2" s="2565" t="s">
        <v>2325</v>
      </c>
      <c r="B2" s="2566">
        <f ca="1">SUMIF(B6:B13,"&lt;&gt;#ref!",B6:B13)</f>
        <v>28699</v>
      </c>
      <c r="C2" s="2567" t="s">
        <v>2517</v>
      </c>
      <c r="D2" s="2568" t="s">
        <v>2518</v>
      </c>
      <c r="E2" s="2569">
        <f>SUM(E6:E13)</f>
        <v>30726.57</v>
      </c>
    </row>
    <row r="3" spans="1:6" ht="15.75">
      <c r="A3" s="2565" t="s">
        <v>1395</v>
      </c>
      <c r="B3" s="2566">
        <f ca="1">ROUND(B2*10000/E2,0)</f>
        <v>9340</v>
      </c>
      <c r="C3" s="2567" t="s">
        <v>2525</v>
      </c>
      <c r="D3" s="2570"/>
      <c r="E3" s="2571"/>
    </row>
    <row r="4" spans="1:6" ht="15.75">
      <c r="A4" s="2572"/>
      <c r="B4" s="2570"/>
      <c r="C4" s="2570"/>
      <c r="D4" s="2570"/>
      <c r="E4" s="2571"/>
    </row>
    <row r="5" spans="1:6" ht="15">
      <c r="A5" s="2573" t="s">
        <v>2519</v>
      </c>
      <c r="B5" s="3176" t="s">
        <v>2520</v>
      </c>
      <c r="C5" s="3176"/>
      <c r="D5" s="2574"/>
      <c r="E5" s="2575" t="s">
        <v>2521</v>
      </c>
      <c r="F5" s="2576" t="s">
        <v>2522</v>
      </c>
    </row>
    <row r="6" spans="1:6">
      <c r="A6" s="2577" t="str">
        <f>'数据-取费表'!AN6</f>
        <v>收益法-出租</v>
      </c>
      <c r="B6" s="2576">
        <f ca="1">IF(F6="是",'数据-取费表'!AO6,0)</f>
        <v>28699</v>
      </c>
      <c r="C6" s="2567" t="s">
        <v>2517</v>
      </c>
      <c r="D6" s="2570"/>
      <c r="E6" s="2578">
        <f>IF(OR(A6=0,F6="否"),0,'数据-取费表'!K6+'数据-取费表'!S6)</f>
        <v>30726.57</v>
      </c>
      <c r="F6" s="2579" t="s">
        <v>2523</v>
      </c>
    </row>
    <row r="7" spans="1:6">
      <c r="A7" s="2577">
        <f>'数据-取费表'!AN7</f>
        <v>0</v>
      </c>
      <c r="B7" s="2576" t="e">
        <f ca="1">IF(F7="是",'数据-取费表'!AO7,0)</f>
        <v>#REF!</v>
      </c>
      <c r="C7" s="2567" t="s">
        <v>2517</v>
      </c>
      <c r="D7" s="2570"/>
      <c r="E7" s="2578">
        <f>IF(OR(A7=0,F7="否"),0,'数据-取费表'!K7+'数据-取费表'!S7)</f>
        <v>0</v>
      </c>
      <c r="F7" s="2579" t="s">
        <v>2523</v>
      </c>
    </row>
    <row r="8" spans="1:6">
      <c r="A8" s="2577">
        <f>'数据-取费表'!AN8</f>
        <v>0</v>
      </c>
      <c r="B8" s="2576">
        <f>IF(F8="是",'数据-取费表'!AO8,0)</f>
        <v>0</v>
      </c>
      <c r="C8" s="2567" t="s">
        <v>2517</v>
      </c>
      <c r="D8" s="2570"/>
      <c r="E8" s="2578">
        <f>IF(OR(A8=0,F8="否"),0,'数据-取费表'!K8+'数据-取费表'!S8)</f>
        <v>0</v>
      </c>
      <c r="F8" s="2579" t="s">
        <v>3055</v>
      </c>
    </row>
    <row r="9" spans="1:6">
      <c r="A9" s="2577">
        <f>'数据-取费表'!AN9</f>
        <v>0</v>
      </c>
      <c r="B9" s="2576">
        <f>IF(F9="是",'数据-取费表'!AO9,0)</f>
        <v>0</v>
      </c>
      <c r="C9" s="2567" t="s">
        <v>2517</v>
      </c>
      <c r="D9" s="2570"/>
      <c r="E9" s="2578">
        <f>IF(OR(A9=0,F9="否"),0,'数据-取费表'!K9+'数据-取费表'!S9)</f>
        <v>0</v>
      </c>
      <c r="F9" s="2579" t="s">
        <v>3055</v>
      </c>
    </row>
    <row r="10" spans="1:6">
      <c r="A10" s="2577">
        <f>'数据-取费表'!AN10</f>
        <v>0</v>
      </c>
      <c r="B10" s="2576">
        <f>IF(F10="是",'数据-取费表'!AO10,0)</f>
        <v>0</v>
      </c>
      <c r="C10" s="2567" t="s">
        <v>2517</v>
      </c>
      <c r="D10" s="2570"/>
      <c r="E10" s="2578">
        <f>IF(OR(A10=0,F10="否"),0,'数据-取费表'!K10+'数据-取费表'!S10)</f>
        <v>0</v>
      </c>
      <c r="F10" s="2579" t="s">
        <v>3055</v>
      </c>
    </row>
    <row r="11" spans="1:6">
      <c r="A11" s="2577">
        <f>'数据-取费表'!AN11</f>
        <v>0</v>
      </c>
      <c r="B11" s="2576">
        <f>IF(F11="是",'数据-取费表'!AO11,0)</f>
        <v>0</v>
      </c>
      <c r="C11" s="2567" t="s">
        <v>2517</v>
      </c>
      <c r="D11" s="2570"/>
      <c r="E11" s="2578">
        <f>IF(OR(A11=0,F11="否"),0,'数据-取费表'!K11+'数据-取费表'!S11)</f>
        <v>0</v>
      </c>
      <c r="F11" s="2579" t="s">
        <v>3055</v>
      </c>
    </row>
    <row r="12" spans="1:6">
      <c r="A12" s="2577">
        <f>'数据-取费表'!AN12</f>
        <v>0</v>
      </c>
      <c r="B12" s="2576">
        <f>IF(F12="是",'数据-取费表'!AO12,0)</f>
        <v>0</v>
      </c>
      <c r="C12" s="2567" t="s">
        <v>2517</v>
      </c>
      <c r="D12" s="2570"/>
      <c r="E12" s="2578">
        <f>IF(OR(A12=0,F12="否"),0,'数据-取费表'!K12+'数据-取费表'!S12)</f>
        <v>0</v>
      </c>
      <c r="F12" s="2579" t="s">
        <v>3055</v>
      </c>
    </row>
    <row r="13" spans="1:6" ht="15" thickBot="1">
      <c r="A13" s="2580">
        <f>'数据-取费表'!AN13</f>
        <v>0</v>
      </c>
      <c r="B13" s="2576">
        <f>IF(F13="是",'数据-取费表'!AO13,0)</f>
        <v>0</v>
      </c>
      <c r="C13" s="2581" t="s">
        <v>2517</v>
      </c>
      <c r="D13" s="2582"/>
      <c r="E13" s="2578">
        <f>IF(OR(A13=0,F13="否"),0,'数据-取费表'!K13+'数据-取费表'!S13)</f>
        <v>0</v>
      </c>
      <c r="F13" s="2579" t="s">
        <v>3055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3" t="s">
        <v>1076</v>
      </c>
      <c r="B1" s="3194"/>
      <c r="C1" s="3195"/>
      <c r="D1" s="3196">
        <f>SUM(I10,I15,I20,I21,I23)</f>
        <v>0</v>
      </c>
      <c r="E1" s="3196"/>
      <c r="F1" s="3196"/>
      <c r="G1" s="3196"/>
      <c r="H1" s="3196"/>
      <c r="I1" s="3197"/>
    </row>
    <row r="2" spans="1:9">
      <c r="A2" s="3183" t="s">
        <v>1077</v>
      </c>
      <c r="B2" s="3184" t="s">
        <v>1078</v>
      </c>
      <c r="C2" s="3184"/>
      <c r="D2" s="1303" t="s">
        <v>1079</v>
      </c>
      <c r="E2" s="1303" t="s">
        <v>1080</v>
      </c>
      <c r="F2" s="1303" t="s">
        <v>1081</v>
      </c>
      <c r="G2" s="1303" t="s">
        <v>1082</v>
      </c>
      <c r="H2" s="1303" t="s">
        <v>1083</v>
      </c>
      <c r="I2" s="1304" t="s">
        <v>1084</v>
      </c>
    </row>
    <row r="3" spans="1:9">
      <c r="A3" s="3183"/>
      <c r="B3" s="3184" t="s">
        <v>1085</v>
      </c>
      <c r="C3" s="3184"/>
      <c r="D3" s="1305"/>
      <c r="E3" s="1303"/>
      <c r="F3" s="1306"/>
      <c r="G3" s="1306"/>
      <c r="H3" s="1307"/>
      <c r="I3" s="1308">
        <f>ROUND(D3*E3*F3*G3*H3/10000,0)</f>
        <v>0</v>
      </c>
    </row>
    <row r="4" spans="1:9">
      <c r="A4" s="3183"/>
      <c r="B4" s="3184" t="s">
        <v>1086</v>
      </c>
      <c r="C4" s="3184"/>
      <c r="D4" s="1305"/>
      <c r="E4" s="1303"/>
      <c r="F4" s="1306"/>
      <c r="G4" s="1306"/>
      <c r="H4" s="1307"/>
      <c r="I4" s="1308">
        <f t="shared" ref="I4:I9" si="0">ROUND(D4*E4*F4*G4*H4/10000,0)</f>
        <v>0</v>
      </c>
    </row>
    <row r="5" spans="1:9">
      <c r="A5" s="3183"/>
      <c r="B5" s="3184" t="s">
        <v>1087</v>
      </c>
      <c r="C5" s="3184"/>
      <c r="D5" s="1305"/>
      <c r="E5" s="1303"/>
      <c r="F5" s="1306"/>
      <c r="G5" s="1306"/>
      <c r="H5" s="1307"/>
      <c r="I5" s="1308">
        <f t="shared" si="0"/>
        <v>0</v>
      </c>
    </row>
    <row r="6" spans="1:9">
      <c r="A6" s="3183"/>
      <c r="B6" s="3184" t="s">
        <v>1088</v>
      </c>
      <c r="C6" s="3184"/>
      <c r="D6" s="1305"/>
      <c r="E6" s="1303"/>
      <c r="F6" s="1306"/>
      <c r="G6" s="1306"/>
      <c r="H6" s="1307"/>
      <c r="I6" s="1308">
        <f t="shared" si="0"/>
        <v>0</v>
      </c>
    </row>
    <row r="7" spans="1:9">
      <c r="A7" s="3183"/>
      <c r="B7" s="3184" t="s">
        <v>1089</v>
      </c>
      <c r="C7" s="3184"/>
      <c r="D7" s="1305"/>
      <c r="E7" s="1303"/>
      <c r="F7" s="1306"/>
      <c r="G7" s="1306"/>
      <c r="H7" s="1307"/>
      <c r="I7" s="1308">
        <f t="shared" si="0"/>
        <v>0</v>
      </c>
    </row>
    <row r="8" spans="1:9">
      <c r="A8" s="3183"/>
      <c r="B8" s="3184" t="s">
        <v>1090</v>
      </c>
      <c r="C8" s="3184"/>
      <c r="D8" s="1305"/>
      <c r="E8" s="1303"/>
      <c r="F8" s="1306"/>
      <c r="G8" s="1306"/>
      <c r="H8" s="1307"/>
      <c r="I8" s="1308">
        <f t="shared" si="0"/>
        <v>0</v>
      </c>
    </row>
    <row r="9" spans="1:9">
      <c r="A9" s="3183"/>
      <c r="B9" s="3184" t="s">
        <v>1091</v>
      </c>
      <c r="C9" s="3184"/>
      <c r="D9" s="1305"/>
      <c r="E9" s="1303"/>
      <c r="F9" s="1306"/>
      <c r="G9" s="1306"/>
      <c r="H9" s="1307"/>
      <c r="I9" s="1308">
        <f t="shared" si="0"/>
        <v>0</v>
      </c>
    </row>
    <row r="10" spans="1:9">
      <c r="A10" s="3183"/>
      <c r="B10" s="3185" t="s">
        <v>1092</v>
      </c>
      <c r="C10" s="3185"/>
      <c r="D10" s="1309"/>
      <c r="E10" s="1309" t="e">
        <f>ROUND(D1*10000/D10/H9,0)</f>
        <v>#DIV/0!</v>
      </c>
      <c r="F10" s="1310"/>
      <c r="G10" s="1310"/>
      <c r="H10" s="1311"/>
      <c r="I10" s="1312">
        <f>SUM(I3:I9)</f>
        <v>0</v>
      </c>
    </row>
    <row r="11" spans="1:9" ht="14.25">
      <c r="A11" s="3183" t="s">
        <v>1093</v>
      </c>
      <c r="B11" s="3184" t="s">
        <v>1094</v>
      </c>
      <c r="C11" s="3184"/>
      <c r="D11" s="1305" t="s">
        <v>1095</v>
      </c>
      <c r="E11" s="1305" t="s">
        <v>1096</v>
      </c>
      <c r="F11" s="1306" t="s">
        <v>1097</v>
      </c>
      <c r="G11" s="1306" t="s">
        <v>1083</v>
      </c>
      <c r="H11" s="1313" t="s">
        <v>1098</v>
      </c>
      <c r="I11" s="1304" t="s">
        <v>1084</v>
      </c>
    </row>
    <row r="12" spans="1:9">
      <c r="A12" s="3183"/>
      <c r="B12" s="3184" t="s">
        <v>1099</v>
      </c>
      <c r="C12" s="3184"/>
      <c r="D12" s="1305"/>
      <c r="E12" s="1305"/>
      <c r="F12" s="1306"/>
      <c r="G12" s="1307"/>
      <c r="H12" s="1314"/>
      <c r="I12" s="1304">
        <f>ROUND(D12*E12*F12*G12/10000,0)</f>
        <v>0</v>
      </c>
    </row>
    <row r="13" spans="1:9">
      <c r="A13" s="3183"/>
      <c r="B13" s="3184" t="s">
        <v>1100</v>
      </c>
      <c r="C13" s="3184"/>
      <c r="D13" s="1305"/>
      <c r="E13" s="1305"/>
      <c r="F13" s="1306"/>
      <c r="G13" s="1307"/>
      <c r="H13" s="1314"/>
      <c r="I13" s="1304">
        <f>ROUND(D13*E13*F13*G13/10000,0)</f>
        <v>0</v>
      </c>
    </row>
    <row r="14" spans="1:9">
      <c r="A14" s="3183"/>
      <c r="B14" s="3184" t="s">
        <v>1101</v>
      </c>
      <c r="C14" s="3184"/>
      <c r="D14" s="1305"/>
      <c r="E14" s="1305"/>
      <c r="F14" s="1306"/>
      <c r="G14" s="1307"/>
      <c r="H14" s="1314"/>
      <c r="I14" s="1304">
        <f>ROUND(D14*E14*F14*G14/10000,0)</f>
        <v>0</v>
      </c>
    </row>
    <row r="15" spans="1:9">
      <c r="A15" s="3183"/>
      <c r="B15" s="3185" t="s">
        <v>1092</v>
      </c>
      <c r="C15" s="3185"/>
      <c r="D15" s="1309"/>
      <c r="E15" s="1309">
        <f>SUM(E12:E14)</f>
        <v>0</v>
      </c>
      <c r="F15" s="1310"/>
      <c r="G15" s="1307"/>
      <c r="H15" s="1314"/>
      <c r="I15" s="1315">
        <f>SUM(I12:I14)</f>
        <v>0</v>
      </c>
    </row>
    <row r="16" spans="1:9" ht="24">
      <c r="A16" s="3183" t="s">
        <v>1102</v>
      </c>
      <c r="B16" s="3184" t="s">
        <v>1103</v>
      </c>
      <c r="C16" s="3184"/>
      <c r="D16" s="1305" t="s">
        <v>1079</v>
      </c>
      <c r="E16" s="1316" t="s">
        <v>1104</v>
      </c>
      <c r="F16" s="1306" t="s">
        <v>1105</v>
      </c>
      <c r="G16" s="1307" t="s">
        <v>1083</v>
      </c>
      <c r="H16" s="1313" t="s">
        <v>1098</v>
      </c>
      <c r="I16" s="1304" t="s">
        <v>1084</v>
      </c>
    </row>
    <row r="17" spans="1:9" ht="14.25">
      <c r="A17" s="3183"/>
      <c r="B17" s="3184" t="s">
        <v>1106</v>
      </c>
      <c r="C17" s="3184"/>
      <c r="D17" s="1305"/>
      <c r="E17" s="1305"/>
      <c r="F17" s="1306"/>
      <c r="G17" s="1307"/>
      <c r="H17" s="1317"/>
      <c r="I17" s="1318">
        <f>ROUND(D17*E17*F17*G17/10000,0)</f>
        <v>0</v>
      </c>
    </row>
    <row r="18" spans="1:9" ht="14.25">
      <c r="A18" s="3183"/>
      <c r="B18" s="3184" t="s">
        <v>1107</v>
      </c>
      <c r="C18" s="3184"/>
      <c r="D18" s="1305"/>
      <c r="E18" s="1305"/>
      <c r="F18" s="1306"/>
      <c r="G18" s="1307"/>
      <c r="H18" s="1317"/>
      <c r="I18" s="1318">
        <f>ROUND(D18*E18*F18*G18/10000,0)</f>
        <v>0</v>
      </c>
    </row>
    <row r="19" spans="1:9" ht="14.25">
      <c r="A19" s="3183"/>
      <c r="B19" s="3184" t="s">
        <v>1108</v>
      </c>
      <c r="C19" s="3184"/>
      <c r="D19" s="1305"/>
      <c r="E19" s="1305"/>
      <c r="F19" s="1306"/>
      <c r="G19" s="1307"/>
      <c r="H19" s="1317"/>
      <c r="I19" s="1318">
        <f>ROUND(D19*E19*F19*G19/10000,0)</f>
        <v>0</v>
      </c>
    </row>
    <row r="20" spans="1:9">
      <c r="A20" s="3183"/>
      <c r="B20" s="3185" t="s">
        <v>1092</v>
      </c>
      <c r="C20" s="3185"/>
      <c r="D20" s="1309">
        <f>SUM(D17:D19)</f>
        <v>0</v>
      </c>
      <c r="E20" s="1309"/>
      <c r="F20" s="1310"/>
      <c r="G20" s="1307"/>
      <c r="H20" s="1314"/>
      <c r="I20" s="1315">
        <f>SUM(I17:I19)</f>
        <v>0</v>
      </c>
    </row>
    <row r="21" spans="1:9">
      <c r="A21" s="3183" t="s">
        <v>1109</v>
      </c>
      <c r="B21" s="3186"/>
      <c r="C21" s="3186"/>
      <c r="D21" s="3186"/>
      <c r="E21" s="3186"/>
      <c r="F21" s="3186"/>
      <c r="G21" s="3186"/>
      <c r="H21" s="1767">
        <v>0.1</v>
      </c>
      <c r="I21" s="1312">
        <f>ROUND(I10*H21,0)</f>
        <v>0</v>
      </c>
    </row>
    <row r="22" spans="1:9" ht="14.25">
      <c r="A22" s="3187" t="s">
        <v>1110</v>
      </c>
      <c r="B22" s="3188"/>
      <c r="C22" s="3189"/>
      <c r="D22" s="1319" t="s">
        <v>1111</v>
      </c>
      <c r="E22" s="1319" t="s">
        <v>1112</v>
      </c>
      <c r="F22" s="1320" t="s">
        <v>1113</v>
      </c>
      <c r="G22" s="1320" t="s">
        <v>1114</v>
      </c>
      <c r="H22" s="1313" t="s">
        <v>1115</v>
      </c>
      <c r="I22" s="1304" t="s">
        <v>1116</v>
      </c>
    </row>
    <row r="23" spans="1:9" ht="14.25" thickBot="1">
      <c r="A23" s="3190"/>
      <c r="B23" s="3191"/>
      <c r="C23" s="3192"/>
      <c r="D23" s="1321"/>
      <c r="E23" s="1321"/>
      <c r="F23" s="1321"/>
      <c r="G23" s="1322"/>
      <c r="H23" s="1323"/>
      <c r="I23" s="1324">
        <f>ROUND(E23*D23*F23*(1-G23)/10000,0)</f>
        <v>0</v>
      </c>
    </row>
    <row r="26" spans="1:9">
      <c r="A26" s="1325" t="s">
        <v>1117</v>
      </c>
      <c r="B26" s="1325"/>
      <c r="C26" s="1325"/>
      <c r="D26" s="1325"/>
      <c r="E26" s="3180">
        <f>C27-C30-C31-C32</f>
        <v>0</v>
      </c>
      <c r="F26" s="3180"/>
      <c r="G26" s="3180"/>
      <c r="H26" s="1739" t="s">
        <v>1340</v>
      </c>
    </row>
    <row r="27" spans="1:9">
      <c r="A27" s="1326">
        <v>1</v>
      </c>
      <c r="B27" s="1327" t="s">
        <v>1118</v>
      </c>
      <c r="C27" s="1327">
        <f>C28+C29</f>
        <v>0</v>
      </c>
      <c r="D27" s="1327"/>
      <c r="E27" s="3181"/>
      <c r="F27" s="3181"/>
      <c r="G27" s="3181"/>
    </row>
    <row r="28" spans="1:9">
      <c r="A28" s="1328" t="s">
        <v>1119</v>
      </c>
      <c r="B28" s="1327" t="s">
        <v>1120</v>
      </c>
      <c r="C28" s="1327"/>
      <c r="D28" s="1327"/>
      <c r="E28" s="3181"/>
      <c r="F28" s="3181"/>
      <c r="G28" s="318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82"/>
      <c r="F32" s="3182"/>
      <c r="G32" s="3182"/>
    </row>
    <row r="33" spans="1:7" hidden="1">
      <c r="A33" s="3177" t="s">
        <v>1129</v>
      </c>
      <c r="B33" s="3178"/>
      <c r="C33" s="3178"/>
      <c r="D33" s="3179"/>
      <c r="E33" s="3180"/>
      <c r="F33" s="3180"/>
      <c r="G33" s="3180"/>
    </row>
    <row r="34" spans="1:7" hidden="1">
      <c r="A34" s="1330">
        <v>1</v>
      </c>
      <c r="B34" s="1327" t="s">
        <v>1130</v>
      </c>
      <c r="C34" s="1327"/>
      <c r="D34" s="1327"/>
      <c r="E34" s="3181"/>
      <c r="F34" s="3181"/>
      <c r="G34" s="3181"/>
    </row>
    <row r="35" spans="1:7" hidden="1">
      <c r="A35" s="1330">
        <v>2</v>
      </c>
      <c r="B35" s="1327" t="s">
        <v>1131</v>
      </c>
      <c r="C35" s="1327"/>
      <c r="D35" s="1327"/>
      <c r="E35" s="3181"/>
      <c r="F35" s="3181"/>
      <c r="G35" s="3181"/>
    </row>
    <row r="36" spans="1:7" hidden="1">
      <c r="A36" s="1330">
        <v>3</v>
      </c>
      <c r="B36" s="1327" t="s">
        <v>1132</v>
      </c>
      <c r="C36" s="1327"/>
      <c r="D36" s="1327"/>
      <c r="E36" s="3181"/>
      <c r="F36" s="3181"/>
      <c r="G36" s="3181"/>
    </row>
    <row r="37" spans="1:7" hidden="1">
      <c r="A37" s="1330">
        <v>4</v>
      </c>
      <c r="B37" s="1327" t="s">
        <v>1133</v>
      </c>
      <c r="C37" s="1327"/>
      <c r="D37" s="1327"/>
      <c r="E37" s="3181"/>
      <c r="F37" s="3181"/>
      <c r="G37" s="3181"/>
    </row>
    <row r="38" spans="1:7" hidden="1">
      <c r="A38" s="3177" t="s">
        <v>1134</v>
      </c>
      <c r="B38" s="3178"/>
      <c r="C38" s="3178"/>
      <c r="D38" s="3179"/>
      <c r="E38" s="3180"/>
      <c r="F38" s="3180"/>
      <c r="G38" s="31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3" t="s">
        <v>2527</v>
      </c>
      <c r="C1" s="1636" t="s">
        <v>2528</v>
      </c>
      <c r="D1" s="1623"/>
      <c r="E1" s="2584"/>
      <c r="F1" s="2585" t="s">
        <v>2529</v>
      </c>
      <c r="G1" s="1633" t="s">
        <v>2530</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2531</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2532</v>
      </c>
      <c r="D3" s="399">
        <f>IF(D1="",'数据-汇总表'!E3,SUMIF('数据-汇总表'!$C19:$C33,D1,'数据-汇总表'!$E19:$E33))</f>
        <v>30726.569999999992</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2533</v>
      </c>
      <c r="B4" s="402"/>
      <c r="C4" s="3216" t="s">
        <v>2534</v>
      </c>
      <c r="D4" s="3217"/>
      <c r="E4" s="3218" t="s">
        <v>2535</v>
      </c>
      <c r="F4" s="3219"/>
      <c r="G4" s="3216" t="s">
        <v>2536</v>
      </c>
      <c r="H4" s="3217"/>
      <c r="I4" s="3216" t="s">
        <v>2537</v>
      </c>
      <c r="J4" s="3217"/>
      <c r="K4" s="2597" t="s">
        <v>2538</v>
      </c>
      <c r="L4" s="1132"/>
      <c r="M4" s="1133"/>
      <c r="N4" s="1133"/>
      <c r="O4" s="1133"/>
      <c r="P4" s="3220" t="s">
        <v>2539</v>
      </c>
      <c r="Q4" s="3221"/>
      <c r="R4" s="3226" t="s">
        <v>2535</v>
      </c>
      <c r="S4" s="3227"/>
      <c r="T4" s="3226" t="s">
        <v>2536</v>
      </c>
      <c r="U4" s="3227"/>
      <c r="V4" s="3232" t="s">
        <v>2537</v>
      </c>
      <c r="W4" s="3232"/>
      <c r="X4" s="1815"/>
      <c r="Y4" s="3226" t="s">
        <v>2539</v>
      </c>
      <c r="Z4" s="3227"/>
      <c r="AA4" s="3213" t="s">
        <v>2535</v>
      </c>
      <c r="AB4" s="3213" t="s">
        <v>2536</v>
      </c>
      <c r="AC4" s="3213" t="s">
        <v>2537</v>
      </c>
    </row>
    <row r="5" spans="1:29" ht="15">
      <c r="A5" s="404"/>
      <c r="B5" s="405"/>
      <c r="C5" s="3235" t="s">
        <v>2540</v>
      </c>
      <c r="D5" s="3236"/>
      <c r="E5" s="3242" t="s">
        <v>2541</v>
      </c>
      <c r="F5" s="3243"/>
      <c r="G5" s="3235" t="s">
        <v>2542</v>
      </c>
      <c r="H5" s="3236"/>
      <c r="I5" s="3235" t="s">
        <v>2543</v>
      </c>
      <c r="J5" s="3236"/>
      <c r="K5" s="2598"/>
      <c r="L5" s="1132"/>
      <c r="M5" s="1133"/>
      <c r="N5" s="1133"/>
      <c r="O5" s="1133"/>
      <c r="P5" s="3222"/>
      <c r="Q5" s="3223"/>
      <c r="R5" s="3228"/>
      <c r="S5" s="3229"/>
      <c r="T5" s="3228"/>
      <c r="U5" s="3229"/>
      <c r="V5" s="3232"/>
      <c r="W5" s="3232"/>
      <c r="X5" s="1815"/>
      <c r="Y5" s="3228"/>
      <c r="Z5" s="3229"/>
      <c r="AA5" s="3214"/>
      <c r="AB5" s="3214"/>
      <c r="AC5" s="3214"/>
    </row>
    <row r="6" spans="1:29" ht="15.75" thickBot="1">
      <c r="A6" s="406"/>
      <c r="B6" s="407"/>
      <c r="C6" s="3233" t="s">
        <v>2544</v>
      </c>
      <c r="D6" s="3234"/>
      <c r="E6" s="3240" t="s">
        <v>2544</v>
      </c>
      <c r="F6" s="3241"/>
      <c r="G6" s="3233" t="s">
        <v>2544</v>
      </c>
      <c r="H6" s="3234"/>
      <c r="I6" s="3233" t="s">
        <v>2544</v>
      </c>
      <c r="J6" s="3234"/>
      <c r="K6" s="2598" t="s">
        <v>2545</v>
      </c>
      <c r="L6" s="1132"/>
      <c r="M6" s="1133"/>
      <c r="N6" s="1133"/>
      <c r="O6" s="1133"/>
      <c r="P6" s="3224"/>
      <c r="Q6" s="3225"/>
      <c r="R6" s="3228"/>
      <c r="S6" s="3229"/>
      <c r="T6" s="3230"/>
      <c r="U6" s="3231"/>
      <c r="V6" s="3232"/>
      <c r="W6" s="3232"/>
      <c r="X6" s="1815"/>
      <c r="Y6" s="3230"/>
      <c r="Z6" s="3231"/>
      <c r="AA6" s="3215"/>
      <c r="AB6" s="3215"/>
      <c r="AC6" s="3215"/>
    </row>
    <row r="7" spans="1:29" s="117" customFormat="1" ht="15.75" thickBot="1">
      <c r="A7" s="408" t="s">
        <v>2546</v>
      </c>
      <c r="B7" s="409"/>
      <c r="C7" s="410">
        <f>'数据-取费表'!B2</f>
        <v>43130</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237" t="s">
        <v>2547</v>
      </c>
      <c r="Q7" s="3239"/>
      <c r="R7" s="770" t="s">
        <v>23</v>
      </c>
      <c r="S7" s="771">
        <f t="shared" ref="S7:S15" si="0">F7</f>
        <v>0</v>
      </c>
      <c r="T7" s="770" t="s">
        <v>23</v>
      </c>
      <c r="U7" s="771">
        <f t="shared" ref="U7:U15" si="1">H7</f>
        <v>0</v>
      </c>
      <c r="V7" s="770" t="s">
        <v>23</v>
      </c>
      <c r="W7" s="771">
        <f t="shared" ref="W7:W15" si="2">J7</f>
        <v>0</v>
      </c>
      <c r="X7" s="772"/>
      <c r="Y7" s="3237" t="s">
        <v>2547</v>
      </c>
      <c r="Z7" s="3238"/>
      <c r="AA7" s="773" t="e">
        <f>D7/F7</f>
        <v>#DIV/0!</v>
      </c>
      <c r="AB7" s="773" t="e">
        <f>D7/H7</f>
        <v>#DIV/0!</v>
      </c>
      <c r="AC7" s="773" t="e">
        <f>D7/J7</f>
        <v>#DIV/0!</v>
      </c>
    </row>
    <row r="8" spans="1:29" s="117" customFormat="1" ht="15.75" thickBot="1">
      <c r="A8" s="408" t="s">
        <v>2548</v>
      </c>
      <c r="B8" s="409"/>
      <c r="C8" s="414" t="s">
        <v>2549</v>
      </c>
      <c r="D8" s="411">
        <v>100</v>
      </c>
      <c r="E8" s="2600"/>
      <c r="F8" s="413">
        <f>SUMIF(61:61,E8,62:62)-SUMIF(61:61,C8,62:62)+100</f>
        <v>0</v>
      </c>
      <c r="G8" s="414"/>
      <c r="H8" s="411">
        <f>SUMIF(61:61,G8,62:62)-SUMIF(61:61,C8,62:62)+100</f>
        <v>0</v>
      </c>
      <c r="I8" s="2600"/>
      <c r="J8" s="411">
        <f>SUMIF(61:61,I8,62:62)-SUMIF(61:61,C8,62:62)+100</f>
        <v>0</v>
      </c>
      <c r="K8" s="2599"/>
      <c r="L8" s="1134"/>
      <c r="M8" s="1135"/>
      <c r="N8" s="1135"/>
      <c r="O8" s="1135"/>
      <c r="P8" s="3237" t="s">
        <v>2550</v>
      </c>
      <c r="Q8" s="3238"/>
      <c r="R8" s="770" t="s">
        <v>23</v>
      </c>
      <c r="S8" s="771">
        <f t="shared" si="0"/>
        <v>0</v>
      </c>
      <c r="T8" s="770" t="s">
        <v>23</v>
      </c>
      <c r="U8" s="771">
        <f t="shared" si="1"/>
        <v>0</v>
      </c>
      <c r="V8" s="770" t="s">
        <v>23</v>
      </c>
      <c r="W8" s="771">
        <f t="shared" si="2"/>
        <v>0</v>
      </c>
      <c r="X8" s="772"/>
      <c r="Y8" s="3237" t="s">
        <v>2550</v>
      </c>
      <c r="Z8" s="3238"/>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212" t="s">
        <v>2553</v>
      </c>
      <c r="Q9" s="1797" t="str">
        <f t="shared" ref="Q9:Q15" si="6">B9</f>
        <v>用途</v>
      </c>
      <c r="R9" s="770" t="s">
        <v>17</v>
      </c>
      <c r="S9" s="771">
        <f t="shared" si="0"/>
        <v>100</v>
      </c>
      <c r="T9" s="770" t="s">
        <v>17</v>
      </c>
      <c r="U9" s="771">
        <f t="shared" si="1"/>
        <v>100</v>
      </c>
      <c r="V9" s="770" t="s">
        <v>17</v>
      </c>
      <c r="W9" s="771">
        <f t="shared" si="2"/>
        <v>100</v>
      </c>
      <c r="X9" s="772"/>
      <c r="Y9" s="302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12"/>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12"/>
      <c r="Q11" s="1797"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212"/>
      <c r="Q12" s="1797">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212"/>
      <c r="Q13" s="1797">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212"/>
      <c r="Q14" s="1797">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99.75">
      <c r="A15" s="440" t="s">
        <v>2557</v>
      </c>
      <c r="B15" s="69" t="s">
        <v>2082</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10" t="s">
        <v>2558</v>
      </c>
      <c r="Q15" s="1812" t="str">
        <f t="shared" si="6"/>
        <v>居住社区成熟度</v>
      </c>
      <c r="R15" s="774" t="s">
        <v>21</v>
      </c>
      <c r="S15" s="775">
        <f t="shared" si="0"/>
        <v>100</v>
      </c>
      <c r="T15" s="774" t="s">
        <v>21</v>
      </c>
      <c r="U15" s="775">
        <f t="shared" si="1"/>
        <v>100</v>
      </c>
      <c r="V15" s="774" t="s">
        <v>21</v>
      </c>
      <c r="W15" s="775">
        <f t="shared" si="2"/>
        <v>100</v>
      </c>
      <c r="X15" s="1815"/>
      <c r="Y15" s="3203" t="s">
        <v>2558</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2"/>
      <c r="M16" s="1133"/>
      <c r="N16" s="1133"/>
      <c r="O16" s="1133"/>
      <c r="P16" s="3211"/>
      <c r="Q16" s="1812"/>
      <c r="R16" s="774"/>
      <c r="S16" s="775"/>
      <c r="T16" s="774"/>
      <c r="U16" s="775"/>
      <c r="V16" s="774"/>
      <c r="W16" s="775"/>
      <c r="X16" s="1815"/>
      <c r="Y16" s="3204"/>
      <c r="Z16" s="1816"/>
      <c r="AA16" s="1813">
        <v>1</v>
      </c>
      <c r="AB16" s="1813">
        <v>1</v>
      </c>
      <c r="AC16" s="1813">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11"/>
      <c r="Q17" s="1812" t="str">
        <f>B17</f>
        <v>交通便捷度</v>
      </c>
      <c r="R17" s="774" t="s">
        <v>21</v>
      </c>
      <c r="S17" s="775">
        <f>F17</f>
        <v>100</v>
      </c>
      <c r="T17" s="774" t="s">
        <v>21</v>
      </c>
      <c r="U17" s="775">
        <f>H17</f>
        <v>100</v>
      </c>
      <c r="V17" s="774" t="s">
        <v>21</v>
      </c>
      <c r="W17" s="775">
        <f>J17</f>
        <v>100</v>
      </c>
      <c r="X17" s="1815"/>
      <c r="Y17" s="3204"/>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2"/>
      <c r="M18" s="1133"/>
      <c r="N18" s="1133"/>
      <c r="O18" s="1133"/>
      <c r="P18" s="3211"/>
      <c r="Q18" s="1812"/>
      <c r="R18" s="774"/>
      <c r="S18" s="775"/>
      <c r="T18" s="774"/>
      <c r="U18" s="775"/>
      <c r="V18" s="774"/>
      <c r="W18" s="775"/>
      <c r="X18" s="1815"/>
      <c r="Y18" s="3204"/>
      <c r="Z18" s="1816"/>
      <c r="AA18" s="1813">
        <v>1</v>
      </c>
      <c r="AB18" s="1813">
        <v>1</v>
      </c>
      <c r="AC18" s="1813">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11"/>
      <c r="Q19" s="1812" t="str">
        <f>B19</f>
        <v>公共配套设施</v>
      </c>
      <c r="R19" s="774" t="s">
        <v>21</v>
      </c>
      <c r="S19" s="775">
        <f>F19</f>
        <v>100</v>
      </c>
      <c r="T19" s="774" t="s">
        <v>21</v>
      </c>
      <c r="U19" s="775">
        <f>H19</f>
        <v>100</v>
      </c>
      <c r="V19" s="774" t="s">
        <v>21</v>
      </c>
      <c r="W19" s="775">
        <f>J19</f>
        <v>100</v>
      </c>
      <c r="X19" s="1815"/>
      <c r="Y19" s="3204"/>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2"/>
      <c r="M20" s="1133"/>
      <c r="N20" s="1133"/>
      <c r="O20" s="1133"/>
      <c r="P20" s="3211"/>
      <c r="Q20" s="1812"/>
      <c r="R20" s="774"/>
      <c r="S20" s="775"/>
      <c r="T20" s="774"/>
      <c r="U20" s="775"/>
      <c r="V20" s="774"/>
      <c r="W20" s="775"/>
      <c r="X20" s="1815"/>
      <c r="Y20" s="3204"/>
      <c r="Z20" s="1816"/>
      <c r="AA20" s="1813">
        <v>1</v>
      </c>
      <c r="AB20" s="1813">
        <v>1</v>
      </c>
      <c r="AC20" s="1813">
        <v>1</v>
      </c>
    </row>
    <row r="21" spans="1:29" ht="28.5">
      <c r="A21" s="428"/>
      <c r="B21" s="1386"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11"/>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2"/>
      <c r="M22" s="1133"/>
      <c r="N22" s="1133"/>
      <c r="O22" s="1133"/>
      <c r="P22" s="3211"/>
      <c r="Q22" s="1812"/>
      <c r="R22" s="774"/>
      <c r="S22" s="775"/>
      <c r="T22" s="774"/>
      <c r="U22" s="775"/>
      <c r="V22" s="774"/>
      <c r="W22" s="775"/>
      <c r="X22" s="1815"/>
      <c r="Y22" s="3204"/>
      <c r="Z22" s="1816"/>
      <c r="AA22" s="1813">
        <v>1</v>
      </c>
      <c r="AB22" s="1813">
        <v>1</v>
      </c>
      <c r="AC22" s="1813">
        <v>1</v>
      </c>
    </row>
    <row r="23" spans="1:29" ht="57">
      <c r="A23" s="428"/>
      <c r="B23" s="451" t="s">
        <v>2099</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11"/>
      <c r="Q23" s="1812" t="str">
        <f>B23</f>
        <v>自然及人文环境</v>
      </c>
      <c r="R23" s="774" t="s">
        <v>21</v>
      </c>
      <c r="S23" s="775">
        <f>F23</f>
        <v>100</v>
      </c>
      <c r="T23" s="774" t="s">
        <v>21</v>
      </c>
      <c r="U23" s="775">
        <f>H23</f>
        <v>100</v>
      </c>
      <c r="V23" s="774" t="s">
        <v>21</v>
      </c>
      <c r="W23" s="775">
        <f>J23</f>
        <v>100</v>
      </c>
      <c r="X23" s="1815"/>
      <c r="Y23" s="3204"/>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2"/>
      <c r="M24" s="1133"/>
      <c r="N24" s="1133"/>
      <c r="O24" s="1133"/>
      <c r="P24" s="3211"/>
      <c r="Q24" s="1812"/>
      <c r="R24" s="774"/>
      <c r="S24" s="775"/>
      <c r="T24" s="774"/>
      <c r="U24" s="775"/>
      <c r="V24" s="774"/>
      <c r="W24" s="775"/>
      <c r="X24" s="1815"/>
      <c r="Y24" s="3204"/>
      <c r="Z24" s="1816"/>
      <c r="AA24" s="1813">
        <v>1</v>
      </c>
      <c r="AB24" s="1813">
        <v>1</v>
      </c>
      <c r="AC24" s="1813">
        <v>1</v>
      </c>
    </row>
    <row r="25" spans="1:29" ht="15">
      <c r="A25" s="428"/>
      <c r="B25" s="422" t="s">
        <v>2559</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21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4"/>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211"/>
      <c r="Q26" s="1812" t="str">
        <f t="shared" si="11"/>
        <v>朝向</v>
      </c>
      <c r="R26" s="774" t="s">
        <v>21</v>
      </c>
      <c r="S26" s="775">
        <f t="shared" si="12"/>
        <v>100</v>
      </c>
      <c r="T26" s="774" t="s">
        <v>21</v>
      </c>
      <c r="U26" s="775">
        <f t="shared" si="13"/>
        <v>100</v>
      </c>
      <c r="V26" s="774" t="s">
        <v>21</v>
      </c>
      <c r="W26" s="775">
        <f t="shared" si="14"/>
        <v>100</v>
      </c>
      <c r="X26" s="1815"/>
      <c r="Y26" s="320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211"/>
      <c r="Q27" s="1797">
        <f t="shared" si="11"/>
        <v>111</v>
      </c>
      <c r="R27" s="770" t="s">
        <v>21</v>
      </c>
      <c r="S27" s="771">
        <f t="shared" si="12"/>
        <v>100</v>
      </c>
      <c r="T27" s="770" t="s">
        <v>21</v>
      </c>
      <c r="U27" s="771">
        <f t="shared" si="13"/>
        <v>100</v>
      </c>
      <c r="V27" s="770" t="s">
        <v>21</v>
      </c>
      <c r="W27" s="771">
        <f t="shared" si="14"/>
        <v>100</v>
      </c>
      <c r="X27" s="772"/>
      <c r="Y27" s="320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211"/>
      <c r="Q28" s="1812">
        <f t="shared" si="11"/>
        <v>111</v>
      </c>
      <c r="R28" s="774" t="s">
        <v>21</v>
      </c>
      <c r="S28" s="775">
        <f t="shared" si="12"/>
        <v>100</v>
      </c>
      <c r="T28" s="774" t="s">
        <v>21</v>
      </c>
      <c r="U28" s="775">
        <f t="shared" si="13"/>
        <v>100</v>
      </c>
      <c r="V28" s="774" t="s">
        <v>21</v>
      </c>
      <c r="W28" s="775">
        <f t="shared" si="14"/>
        <v>100</v>
      </c>
      <c r="X28" s="1815"/>
      <c r="Y28" s="320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211"/>
      <c r="Q29" s="1812">
        <f t="shared" si="11"/>
        <v>111</v>
      </c>
      <c r="R29" s="774" t="s">
        <v>21</v>
      </c>
      <c r="S29" s="775">
        <f t="shared" si="12"/>
        <v>100</v>
      </c>
      <c r="T29" s="774" t="s">
        <v>21</v>
      </c>
      <c r="U29" s="775">
        <f t="shared" si="13"/>
        <v>100</v>
      </c>
      <c r="V29" s="774" t="s">
        <v>21</v>
      </c>
      <c r="W29" s="775">
        <f t="shared" si="14"/>
        <v>100</v>
      </c>
      <c r="X29" s="1815"/>
      <c r="Y29" s="320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211"/>
      <c r="Q30" s="1812">
        <f t="shared" si="11"/>
        <v>111</v>
      </c>
      <c r="R30" s="774" t="s">
        <v>21</v>
      </c>
      <c r="S30" s="775">
        <f t="shared" si="12"/>
        <v>100</v>
      </c>
      <c r="T30" s="774" t="s">
        <v>21</v>
      </c>
      <c r="U30" s="775">
        <f t="shared" si="13"/>
        <v>100</v>
      </c>
      <c r="V30" s="774" t="s">
        <v>21</v>
      </c>
      <c r="W30" s="775">
        <f t="shared" si="14"/>
        <v>100</v>
      </c>
      <c r="X30" s="1815"/>
      <c r="Y30" s="320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211"/>
      <c r="Q31" s="1812">
        <f t="shared" si="11"/>
        <v>111</v>
      </c>
      <c r="R31" s="774" t="s">
        <v>21</v>
      </c>
      <c r="S31" s="775">
        <f t="shared" si="12"/>
        <v>100</v>
      </c>
      <c r="T31" s="774" t="s">
        <v>21</v>
      </c>
      <c r="U31" s="775">
        <f t="shared" si="13"/>
        <v>100</v>
      </c>
      <c r="V31" s="774" t="s">
        <v>21</v>
      </c>
      <c r="W31" s="775">
        <f t="shared" si="14"/>
        <v>100</v>
      </c>
      <c r="X31" s="1815"/>
      <c r="Y31" s="3204"/>
      <c r="Z31" s="1816">
        <f t="shared" si="18"/>
        <v>111</v>
      </c>
      <c r="AA31" s="1813">
        <f t="shared" si="15"/>
        <v>1</v>
      </c>
      <c r="AB31" s="1813">
        <f t="shared" si="16"/>
        <v>1</v>
      </c>
      <c r="AC31" s="1813">
        <f t="shared" si="17"/>
        <v>1</v>
      </c>
    </row>
    <row r="32" spans="1:29" ht="15">
      <c r="A32" s="440" t="s">
        <v>2561</v>
      </c>
      <c r="B32" s="71" t="s">
        <v>2562</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205" t="s">
        <v>2563</v>
      </c>
      <c r="Q32" s="1812" t="str">
        <f t="shared" si="11"/>
        <v>建筑类型</v>
      </c>
      <c r="R32" s="774" t="s">
        <v>21</v>
      </c>
      <c r="S32" s="775">
        <f t="shared" si="12"/>
        <v>100</v>
      </c>
      <c r="T32" s="774" t="s">
        <v>21</v>
      </c>
      <c r="U32" s="775">
        <f t="shared" si="13"/>
        <v>100</v>
      </c>
      <c r="V32" s="774" t="s">
        <v>21</v>
      </c>
      <c r="W32" s="775">
        <f t="shared" si="14"/>
        <v>100</v>
      </c>
      <c r="X32" s="1815"/>
      <c r="Y32" s="3208"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0"/>
      <c r="M33" s="1143"/>
      <c r="N33" s="1143"/>
      <c r="O33" s="1143"/>
      <c r="P33" s="3206"/>
      <c r="Q33" s="776" t="str">
        <f t="shared" si="11"/>
        <v>项目建筑规模</v>
      </c>
      <c r="R33" s="777" t="s">
        <v>21</v>
      </c>
      <c r="S33" s="778" t="e">
        <f t="shared" si="12"/>
        <v>#N/A</v>
      </c>
      <c r="T33" s="777" t="s">
        <v>21</v>
      </c>
      <c r="U33" s="778" t="e">
        <f t="shared" si="13"/>
        <v>#N/A</v>
      </c>
      <c r="V33" s="777" t="s">
        <v>21</v>
      </c>
      <c r="W33" s="778" t="e">
        <f t="shared" si="14"/>
        <v>#N/A</v>
      </c>
      <c r="X33" s="779"/>
      <c r="Y33" s="3208"/>
      <c r="Z33" s="780" t="str">
        <f t="shared" si="18"/>
        <v>项目建筑规模</v>
      </c>
      <c r="AA33" s="1813" t="e">
        <f t="shared" si="15"/>
        <v>#N/A</v>
      </c>
      <c r="AB33" s="1813" t="e">
        <f t="shared" si="16"/>
        <v>#N/A</v>
      </c>
      <c r="AC33" s="1813" t="e">
        <f t="shared" si="17"/>
        <v>#N/A</v>
      </c>
    </row>
    <row r="34" spans="1:29" ht="15">
      <c r="A34" s="472"/>
      <c r="B34" s="422" t="s">
        <v>2565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206"/>
      <c r="Q34" s="1812" t="str">
        <f t="shared" si="11"/>
        <v>建筑结构</v>
      </c>
      <c r="R34" s="774" t="s">
        <v>21</v>
      </c>
      <c r="S34" s="775">
        <f t="shared" si="12"/>
        <v>100</v>
      </c>
      <c r="T34" s="774" t="s">
        <v>21</v>
      </c>
      <c r="U34" s="775">
        <f t="shared" si="13"/>
        <v>100</v>
      </c>
      <c r="V34" s="774" t="s">
        <v>21</v>
      </c>
      <c r="W34" s="775">
        <f t="shared" si="14"/>
        <v>100</v>
      </c>
      <c r="X34" s="1815"/>
      <c r="Y34" s="3208"/>
      <c r="Z34" s="1816" t="str">
        <f t="shared" si="18"/>
        <v>建筑结构</v>
      </c>
      <c r="AA34" s="1813">
        <f t="shared" si="15"/>
        <v>1</v>
      </c>
      <c r="AB34" s="1813">
        <f t="shared" si="16"/>
        <v>1</v>
      </c>
      <c r="AC34" s="1813">
        <f t="shared" si="17"/>
        <v>1</v>
      </c>
    </row>
    <row r="35" spans="1:29" ht="15">
      <c r="A35" s="472"/>
      <c r="B35" s="422" t="s">
        <v>2566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206"/>
      <c r="Q35" s="1812" t="str">
        <f t="shared" si="11"/>
        <v>建筑品质</v>
      </c>
      <c r="R35" s="774" t="s">
        <v>21</v>
      </c>
      <c r="S35" s="775">
        <f t="shared" si="12"/>
        <v>100</v>
      </c>
      <c r="T35" s="774" t="s">
        <v>21</v>
      </c>
      <c r="U35" s="775">
        <f t="shared" si="13"/>
        <v>100</v>
      </c>
      <c r="V35" s="774" t="s">
        <v>21</v>
      </c>
      <c r="W35" s="775">
        <f t="shared" si="14"/>
        <v>100</v>
      </c>
      <c r="X35" s="1815"/>
      <c r="Y35" s="3208"/>
      <c r="Z35" s="1816" t="str">
        <f t="shared" si="18"/>
        <v>建筑品质</v>
      </c>
      <c r="AA35" s="1813">
        <f t="shared" si="15"/>
        <v>1</v>
      </c>
      <c r="AB35" s="1813">
        <f t="shared" si="16"/>
        <v>1</v>
      </c>
      <c r="AC35" s="1813">
        <f t="shared" si="17"/>
        <v>1</v>
      </c>
    </row>
    <row r="36" spans="1:29" ht="15">
      <c r="A36" s="472"/>
      <c r="B36" s="422" t="s">
        <v>2567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206"/>
      <c r="Q36" s="1812" t="str">
        <f t="shared" si="11"/>
        <v>公共部分装修</v>
      </c>
      <c r="R36" s="774" t="s">
        <v>21</v>
      </c>
      <c r="S36" s="775">
        <f t="shared" si="12"/>
        <v>100</v>
      </c>
      <c r="T36" s="774" t="s">
        <v>21</v>
      </c>
      <c r="U36" s="775">
        <f t="shared" si="13"/>
        <v>100</v>
      </c>
      <c r="V36" s="774" t="s">
        <v>21</v>
      </c>
      <c r="W36" s="775">
        <f t="shared" si="14"/>
        <v>100</v>
      </c>
      <c r="X36" s="1815"/>
      <c r="Y36" s="3208"/>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06"/>
      <c r="Q37" s="1797" t="str">
        <f t="shared" si="11"/>
        <v>成新度</v>
      </c>
      <c r="R37" s="770" t="s">
        <v>21</v>
      </c>
      <c r="S37" s="771" t="e">
        <f t="shared" si="12"/>
        <v>#N/A</v>
      </c>
      <c r="T37" s="770" t="s">
        <v>21</v>
      </c>
      <c r="U37" s="771" t="e">
        <f t="shared" si="13"/>
        <v>#N/A</v>
      </c>
      <c r="V37" s="770" t="s">
        <v>21</v>
      </c>
      <c r="W37" s="771" t="e">
        <f t="shared" si="14"/>
        <v>#N/A</v>
      </c>
      <c r="X37" s="772"/>
      <c r="Y37" s="3208"/>
      <c r="Z37" s="55" t="str">
        <f t="shared" si="18"/>
        <v>成新度</v>
      </c>
      <c r="AA37" s="773" t="e">
        <f t="shared" si="15"/>
        <v>#N/A</v>
      </c>
      <c r="AB37" s="773" t="e">
        <f t="shared" si="16"/>
        <v>#N/A</v>
      </c>
      <c r="AC37" s="773" t="e">
        <f t="shared" si="17"/>
        <v>#N/A</v>
      </c>
    </row>
    <row r="38" spans="1:29" ht="15">
      <c r="A38" s="472"/>
      <c r="B38" s="422" t="s">
        <v>2569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206" t="s">
        <v>2563</v>
      </c>
      <c r="Q38" s="1812" t="str">
        <f t="shared" si="11"/>
        <v>物业管理</v>
      </c>
      <c r="R38" s="774" t="s">
        <v>21</v>
      </c>
      <c r="S38" s="775">
        <f t="shared" si="12"/>
        <v>100</v>
      </c>
      <c r="T38" s="774" t="s">
        <v>21</v>
      </c>
      <c r="U38" s="775">
        <f t="shared" si="13"/>
        <v>100</v>
      </c>
      <c r="V38" s="774" t="s">
        <v>21</v>
      </c>
      <c r="W38" s="775">
        <f t="shared" si="14"/>
        <v>100</v>
      </c>
      <c r="X38" s="1815"/>
      <c r="Y38" s="3208" t="s">
        <v>2563</v>
      </c>
      <c r="Z38" s="1816" t="str">
        <f t="shared" si="18"/>
        <v>物业管理</v>
      </c>
      <c r="AA38" s="1813">
        <f t="shared" si="15"/>
        <v>1</v>
      </c>
      <c r="AB38" s="1813">
        <f t="shared" si="16"/>
        <v>1</v>
      </c>
      <c r="AC38" s="1813">
        <f t="shared" si="17"/>
        <v>1</v>
      </c>
    </row>
    <row r="39" spans="1:29" ht="15">
      <c r="A39" s="472"/>
      <c r="B39" s="422" t="s">
        <v>2570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206"/>
      <c r="Q39" s="1812" t="str">
        <f t="shared" si="11"/>
        <v>市政基础设施</v>
      </c>
      <c r="R39" s="774" t="s">
        <v>21</v>
      </c>
      <c r="S39" s="775">
        <f t="shared" si="12"/>
        <v>100</v>
      </c>
      <c r="T39" s="774" t="s">
        <v>21</v>
      </c>
      <c r="U39" s="775">
        <f t="shared" si="13"/>
        <v>100</v>
      </c>
      <c r="V39" s="774" t="s">
        <v>21</v>
      </c>
      <c r="W39" s="775">
        <f t="shared" si="14"/>
        <v>100</v>
      </c>
      <c r="X39" s="1815"/>
      <c r="Y39" s="3208"/>
      <c r="Z39" s="1816" t="str">
        <f t="shared" si="18"/>
        <v>市政基础设施</v>
      </c>
      <c r="AA39" s="1813">
        <f t="shared" si="15"/>
        <v>1</v>
      </c>
      <c r="AB39" s="1813">
        <f t="shared" si="16"/>
        <v>1</v>
      </c>
      <c r="AC39" s="1813">
        <f t="shared" si="17"/>
        <v>1</v>
      </c>
    </row>
    <row r="40" spans="1:29" ht="15">
      <c r="A40" s="472"/>
      <c r="B40" s="422" t="s">
        <v>2571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206"/>
      <c r="Q40" s="1812" t="str">
        <f t="shared" si="11"/>
        <v>房型</v>
      </c>
      <c r="R40" s="774" t="s">
        <v>21</v>
      </c>
      <c r="S40" s="775">
        <f t="shared" si="12"/>
        <v>100</v>
      </c>
      <c r="T40" s="774" t="s">
        <v>21</v>
      </c>
      <c r="U40" s="775">
        <f t="shared" si="13"/>
        <v>100</v>
      </c>
      <c r="V40" s="774" t="s">
        <v>21</v>
      </c>
      <c r="W40" s="775">
        <f t="shared" si="14"/>
        <v>100</v>
      </c>
      <c r="X40" s="1815"/>
      <c r="Y40" s="3208"/>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3">
        <f t="shared" si="15"/>
        <v>1</v>
      </c>
      <c r="AB41" s="1813">
        <f t="shared" si="16"/>
        <v>1</v>
      </c>
      <c r="AC41" s="1813">
        <f t="shared" si="17"/>
        <v>1</v>
      </c>
    </row>
    <row r="42" spans="1:29" ht="15">
      <c r="A42" s="472"/>
      <c r="B42" s="422" t="s">
        <v>2573</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206"/>
      <c r="Q42" s="1812" t="str">
        <f t="shared" si="11"/>
        <v>内部装修</v>
      </c>
      <c r="R42" s="774" t="s">
        <v>21</v>
      </c>
      <c r="S42" s="775">
        <f t="shared" si="12"/>
        <v>100</v>
      </c>
      <c r="T42" s="774" t="s">
        <v>21</v>
      </c>
      <c r="U42" s="775">
        <f t="shared" si="13"/>
        <v>100</v>
      </c>
      <c r="V42" s="774" t="s">
        <v>21</v>
      </c>
      <c r="W42" s="775">
        <f t="shared" si="14"/>
        <v>100</v>
      </c>
      <c r="X42" s="1815"/>
      <c r="Y42" s="3208"/>
      <c r="Z42" s="1816" t="str">
        <f t="shared" si="18"/>
        <v>内部装修</v>
      </c>
      <c r="AA42" s="1813">
        <f t="shared" si="15"/>
        <v>1</v>
      </c>
      <c r="AB42" s="1813">
        <f t="shared" si="16"/>
        <v>1</v>
      </c>
      <c r="AC42" s="1813">
        <f t="shared" si="17"/>
        <v>1</v>
      </c>
    </row>
    <row r="43" spans="1:29" ht="15">
      <c r="A43" s="472"/>
      <c r="B43" s="422" t="s">
        <v>2574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206"/>
      <c r="Q43" s="1812" t="str">
        <f t="shared" si="11"/>
        <v>内部装修维护情况</v>
      </c>
      <c r="R43" s="774" t="s">
        <v>21</v>
      </c>
      <c r="S43" s="775">
        <f t="shared" si="12"/>
        <v>100</v>
      </c>
      <c r="T43" s="774" t="s">
        <v>21</v>
      </c>
      <c r="U43" s="775">
        <f t="shared" si="13"/>
        <v>100</v>
      </c>
      <c r="V43" s="774" t="s">
        <v>21</v>
      </c>
      <c r="W43" s="775">
        <f t="shared" si="14"/>
        <v>100</v>
      </c>
      <c r="X43" s="1815"/>
      <c r="Y43" s="320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206"/>
      <c r="Q44" s="1797">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206"/>
      <c r="Q45" s="1812">
        <f t="shared" si="11"/>
        <v>111</v>
      </c>
      <c r="R45" s="774" t="s">
        <v>21</v>
      </c>
      <c r="S45" s="775">
        <f t="shared" si="12"/>
        <v>100</v>
      </c>
      <c r="T45" s="774" t="s">
        <v>21</v>
      </c>
      <c r="U45" s="775">
        <f t="shared" si="13"/>
        <v>100</v>
      </c>
      <c r="V45" s="774" t="s">
        <v>21</v>
      </c>
      <c r="W45" s="775">
        <f t="shared" si="14"/>
        <v>100</v>
      </c>
      <c r="X45" s="1815"/>
      <c r="Y45" s="3208"/>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207"/>
      <c r="Q46" s="1812">
        <f t="shared" si="11"/>
        <v>111</v>
      </c>
      <c r="R46" s="774" t="s">
        <v>20</v>
      </c>
      <c r="S46" s="775">
        <f t="shared" si="12"/>
        <v>100</v>
      </c>
      <c r="T46" s="774" t="s">
        <v>20</v>
      </c>
      <c r="U46" s="775">
        <f t="shared" si="13"/>
        <v>100</v>
      </c>
      <c r="V46" s="774" t="s">
        <v>20</v>
      </c>
      <c r="W46" s="775">
        <f t="shared" si="14"/>
        <v>100</v>
      </c>
      <c r="X46" s="1815"/>
      <c r="Y46" s="3209"/>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2"/>
      <c r="L47" s="1145"/>
      <c r="M47" s="1146"/>
      <c r="N47" s="1133"/>
      <c r="O47" s="1146"/>
      <c r="P47" s="3201" t="str">
        <f>A47</f>
        <v>成交单价（元/平方米）</v>
      </c>
      <c r="Q47" s="3201"/>
      <c r="R47" s="3202">
        <f>E47</f>
        <v>0</v>
      </c>
      <c r="S47" s="3202"/>
      <c r="T47" s="3202">
        <f>G47</f>
        <v>0</v>
      </c>
      <c r="U47" s="3202"/>
      <c r="V47" s="3202">
        <f>I47</f>
        <v>0</v>
      </c>
      <c r="W47" s="3202"/>
      <c r="X47" s="759"/>
      <c r="Y47" s="781"/>
      <c r="Z47" s="759"/>
      <c r="AA47" s="759"/>
      <c r="AB47" s="759"/>
      <c r="AC47" s="759"/>
    </row>
    <row r="48" spans="1:29" ht="15.75" thickBot="1">
      <c r="A48" s="486" t="s">
        <v>2576</v>
      </c>
      <c r="B48" s="487"/>
      <c r="C48" s="1415" t="e">
        <f>R49</f>
        <v>#DIV/0!</v>
      </c>
      <c r="D48" s="1416"/>
      <c r="E48" s="1417" t="e">
        <f>R48</f>
        <v>#DIV/0!</v>
      </c>
      <c r="F48" s="1417"/>
      <c r="G48" s="1415" t="e">
        <f>T48</f>
        <v>#DIV/0!</v>
      </c>
      <c r="H48" s="1416"/>
      <c r="I48" s="1417" t="e">
        <f>V48</f>
        <v>#DIV/0!</v>
      </c>
      <c r="J48" s="1416"/>
      <c r="K48" s="2623"/>
      <c r="L48" s="1145"/>
      <c r="M48" s="1146"/>
      <c r="N48" s="1146"/>
      <c r="O48" s="1146"/>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2577</v>
      </c>
      <c r="B49" s="493"/>
      <c r="C49" s="1418" t="e">
        <f>R49</f>
        <v>#DIV/0!</v>
      </c>
      <c r="D49" s="1419"/>
      <c r="E49" s="1419"/>
      <c r="F49" s="1419"/>
      <c r="G49" s="1419"/>
      <c r="H49" s="1419"/>
      <c r="I49" s="1419"/>
      <c r="J49" s="1419"/>
      <c r="K49" s="2624"/>
      <c r="L49" s="1145"/>
      <c r="M49" s="1146"/>
      <c r="N49" s="1146"/>
      <c r="O49" s="1146"/>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3" t="s">
        <v>2581</v>
      </c>
      <c r="B57" s="759"/>
      <c r="C57" s="764"/>
      <c r="D57" s="764"/>
      <c r="E57" s="764"/>
      <c r="F57" s="765"/>
      <c r="G57" s="765"/>
      <c r="H57" s="764"/>
      <c r="I57" s="764"/>
      <c r="J57" s="764"/>
      <c r="K57" s="1162"/>
      <c r="L57" s="1163"/>
      <c r="M57" s="1161"/>
      <c r="N57" s="1161"/>
      <c r="O57" s="1161"/>
      <c r="P57" s="2627"/>
      <c r="Q57" s="504"/>
    </row>
    <row r="58" spans="1:29" s="508" customFormat="1" ht="15">
      <c r="A58" s="505" t="s">
        <v>2582</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2584</v>
      </c>
      <c r="B61" s="510"/>
      <c r="C61" s="522" t="s">
        <v>2585</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2586</v>
      </c>
      <c r="B63" s="528" t="s">
        <v>2552</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2608</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2609</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2561</v>
      </c>
      <c r="B100" s="528" t="s">
        <v>2610</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2612</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2613</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2614</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2615</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2616</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2617</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2618</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2620</v>
      </c>
    </row>
    <row r="137" spans="1:17" ht="15">
      <c r="B137" s="2639" t="s">
        <v>2621</v>
      </c>
      <c r="C137" s="2640"/>
      <c r="D137" s="2640"/>
      <c r="E137" s="2640"/>
      <c r="F137" s="2640"/>
      <c r="G137" s="2641"/>
      <c r="H137" s="2642"/>
      <c r="I137" s="2643" t="s">
        <v>2622</v>
      </c>
      <c r="J137" s="2640"/>
      <c r="K137" s="2644"/>
    </row>
    <row r="138" spans="1:17" ht="15">
      <c r="B138" s="2645"/>
      <c r="C138" s="146" t="s">
        <v>2623</v>
      </c>
      <c r="D138" s="146" t="s">
        <v>2624</v>
      </c>
      <c r="E138" s="2646" t="s">
        <v>2625</v>
      </c>
      <c r="F138" s="2647" t="s">
        <v>2626</v>
      </c>
      <c r="G138" s="146" t="s">
        <v>2624</v>
      </c>
      <c r="H138" s="147" t="s">
        <v>2625</v>
      </c>
      <c r="I138" s="2648"/>
      <c r="J138" s="146" t="s">
        <v>2627</v>
      </c>
      <c r="K138" s="147" t="s">
        <v>2628</v>
      </c>
    </row>
    <row r="139" spans="1:17" ht="15">
      <c r="B139" s="1086">
        <v>6</v>
      </c>
      <c r="C139" s="1087">
        <v>96</v>
      </c>
      <c r="D139" s="2649" t="s">
        <v>2629</v>
      </c>
      <c r="E139" s="1088">
        <v>100</v>
      </c>
      <c r="F139" s="1089">
        <v>102.5</v>
      </c>
      <c r="G139" s="2649" t="s">
        <v>2629</v>
      </c>
      <c r="H139" s="1090">
        <v>105</v>
      </c>
      <c r="I139" s="2650" t="s">
        <v>2630</v>
      </c>
      <c r="J139" s="1087">
        <v>20</v>
      </c>
      <c r="K139" s="1091">
        <f>C145/(J139-2)</f>
        <v>4.0555555555555553E-3</v>
      </c>
    </row>
    <row r="140" spans="1:17" ht="15">
      <c r="B140" s="1092">
        <v>5</v>
      </c>
      <c r="C140" s="1093">
        <v>100</v>
      </c>
      <c r="D140" s="1093"/>
      <c r="E140" s="1094"/>
      <c r="F140" s="1095">
        <v>102</v>
      </c>
      <c r="G140" s="1093"/>
      <c r="H140" s="1096"/>
      <c r="I140" s="2651" t="s">
        <v>2631</v>
      </c>
      <c r="J140" s="315">
        <f>ROUNDUP((J139-1)/2,0)</f>
        <v>10</v>
      </c>
      <c r="K140" s="1097">
        <v>100</v>
      </c>
    </row>
    <row r="141" spans="1:17" ht="15">
      <c r="B141" s="1092">
        <v>4</v>
      </c>
      <c r="C141" s="1093">
        <v>102</v>
      </c>
      <c r="D141" s="1093"/>
      <c r="E141" s="1094"/>
      <c r="F141" s="1095">
        <v>101.5</v>
      </c>
      <c r="G141" s="1093"/>
      <c r="H141" s="1096"/>
      <c r="I141" s="2651" t="s">
        <v>2632</v>
      </c>
      <c r="J141" s="315">
        <v>1</v>
      </c>
      <c r="K141" s="1098">
        <f>ROUND(100+(J141-J140)*K139*100,1)</f>
        <v>96.4</v>
      </c>
    </row>
    <row r="142" spans="1:17" ht="15">
      <c r="B142" s="1092">
        <v>3</v>
      </c>
      <c r="C142" s="1093">
        <v>103</v>
      </c>
      <c r="D142" s="1093"/>
      <c r="E142" s="1094"/>
      <c r="F142" s="1095">
        <v>101</v>
      </c>
      <c r="G142" s="1093"/>
      <c r="H142" s="1096"/>
      <c r="I142" s="2651" t="s">
        <v>2633</v>
      </c>
      <c r="J142" s="315">
        <f>J139</f>
        <v>20</v>
      </c>
      <c r="K142" s="1099">
        <v>95</v>
      </c>
    </row>
    <row r="143" spans="1:17" ht="15">
      <c r="B143" s="1092">
        <v>2</v>
      </c>
      <c r="C143" s="1093">
        <v>100</v>
      </c>
      <c r="D143" s="1093"/>
      <c r="E143" s="1094"/>
      <c r="F143" s="1095">
        <v>100.5</v>
      </c>
      <c r="G143" s="1093"/>
      <c r="H143" s="1096"/>
      <c r="I143" s="2651" t="s">
        <v>2634</v>
      </c>
      <c r="J143" s="1093">
        <v>15</v>
      </c>
      <c r="K143" s="1098">
        <f>ROUND(100+(J143-J140)*K139*100,1)</f>
        <v>102</v>
      </c>
    </row>
    <row r="144" spans="1:17" ht="15">
      <c r="B144" s="1092">
        <v>1</v>
      </c>
      <c r="C144" s="1093">
        <v>98</v>
      </c>
      <c r="D144" s="2652" t="s">
        <v>2635</v>
      </c>
      <c r="E144" s="1094">
        <v>102</v>
      </c>
      <c r="F144" s="1100">
        <v>100</v>
      </c>
      <c r="G144" s="2652" t="s">
        <v>2635</v>
      </c>
      <c r="H144" s="1096">
        <v>105</v>
      </c>
      <c r="I144" s="2651" t="s">
        <v>2634</v>
      </c>
      <c r="J144" s="1093">
        <v>18</v>
      </c>
      <c r="K144" s="1098">
        <f>ROUND(100+(J144-J140)*K139*100,1)</f>
        <v>103.2</v>
      </c>
    </row>
    <row r="145" spans="2:11" ht="15.75" thickBot="1">
      <c r="B145" s="2653" t="s">
        <v>2636</v>
      </c>
      <c r="C145" s="1101">
        <f>ROUND(MAX(C139:C144)/MIN(C139:C144)-1,3)</f>
        <v>7.2999999999999995E-2</v>
      </c>
      <c r="D145" s="1102"/>
      <c r="E145" s="1102"/>
      <c r="F145" s="2654" t="s">
        <v>2637</v>
      </c>
      <c r="G145" s="2655"/>
      <c r="H145" s="2656"/>
      <c r="I145" s="2657" t="s">
        <v>2634</v>
      </c>
      <c r="J145" s="1103">
        <v>8</v>
      </c>
      <c r="K145" s="1104">
        <f>ROUND(100+(J145-J140)*K139*100,1)</f>
        <v>99.2</v>
      </c>
    </row>
    <row r="147" spans="2:11">
      <c r="B147" s="2638" t="s">
        <v>2638</v>
      </c>
    </row>
    <row r="148" spans="2:11">
      <c r="B148" s="2638"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3" t="s">
        <v>2640</v>
      </c>
      <c r="C1" s="1636" t="s">
        <v>2528</v>
      </c>
      <c r="D1" s="1623"/>
      <c r="E1" s="2658"/>
      <c r="F1" s="2585"/>
      <c r="G1" s="1633" t="s">
        <v>2641</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2325</v>
      </c>
      <c r="B2" s="1420" t="e">
        <f ca="1">IF(C2="——",ROUND(C49*D3/10000,0),ROUND(C49*D3/10000,0)-D2)</f>
        <v>#DIV/0!</v>
      </c>
      <c r="C2" s="2587"/>
      <c r="D2" s="1367" t="e">
        <f ca="1">SUMIF(INDIRECT("'"&amp;F2&amp;"'"&amp;"!A:A"),"承租人权益价值",INDIRECT("'"&amp;F2&amp;"'"&amp;"!c:c"))</f>
        <v>#REF!</v>
      </c>
      <c r="E2" s="2588" t="s">
        <v>2326</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2327</v>
      </c>
      <c r="B3" s="609" t="e">
        <f ca="1">IF(C2="——",C49,ROUND(B2*10000/D3,0))</f>
        <v>#DIV/0!</v>
      </c>
      <c r="C3" s="400" t="s">
        <v>2642</v>
      </c>
      <c r="D3" s="399">
        <f>IF(D1="",'数据-汇总表'!E3,SUMIF('数据-汇总表'!$C19:$C33,D1,'数据-汇总表'!$E19:$E33))</f>
        <v>30726.569999999992</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2643</v>
      </c>
      <c r="B4" s="402"/>
      <c r="C4" s="3216" t="s">
        <v>2644</v>
      </c>
      <c r="D4" s="3217"/>
      <c r="E4" s="3218" t="s">
        <v>2645</v>
      </c>
      <c r="F4" s="3219"/>
      <c r="G4" s="3216" t="s">
        <v>2646</v>
      </c>
      <c r="H4" s="3217"/>
      <c r="I4" s="3216" t="s">
        <v>2647</v>
      </c>
      <c r="J4" s="3217"/>
      <c r="K4" s="610" t="s">
        <v>2648</v>
      </c>
      <c r="L4" s="1132"/>
      <c r="M4" s="1133"/>
      <c r="N4" s="1133"/>
      <c r="O4" s="1133"/>
      <c r="P4" s="3220" t="s">
        <v>2649</v>
      </c>
      <c r="Q4" s="3221"/>
      <c r="R4" s="3226" t="s">
        <v>2645</v>
      </c>
      <c r="S4" s="3227"/>
      <c r="T4" s="3226" t="s">
        <v>2646</v>
      </c>
      <c r="U4" s="3227"/>
      <c r="V4" s="3232" t="s">
        <v>2647</v>
      </c>
      <c r="W4" s="3232"/>
      <c r="X4" s="1815"/>
      <c r="Y4" s="3226" t="s">
        <v>2649</v>
      </c>
      <c r="Z4" s="3227"/>
      <c r="AA4" s="3213" t="s">
        <v>2645</v>
      </c>
      <c r="AB4" s="3232" t="s">
        <v>2646</v>
      </c>
      <c r="AC4" s="3213" t="s">
        <v>2647</v>
      </c>
    </row>
    <row r="5" spans="1:29" ht="15">
      <c r="A5" s="404"/>
      <c r="B5" s="405"/>
      <c r="C5" s="3235" t="s">
        <v>2540</v>
      </c>
      <c r="D5" s="3236"/>
      <c r="E5" s="3242" t="s">
        <v>2541</v>
      </c>
      <c r="F5" s="3243"/>
      <c r="G5" s="3235" t="s">
        <v>2542</v>
      </c>
      <c r="H5" s="3236"/>
      <c r="I5" s="3235" t="s">
        <v>2543</v>
      </c>
      <c r="J5" s="3236"/>
      <c r="K5" s="610"/>
      <c r="L5" s="1132"/>
      <c r="M5" s="1133"/>
      <c r="N5" s="1133"/>
      <c r="O5" s="1133"/>
      <c r="P5" s="3222"/>
      <c r="Q5" s="3223"/>
      <c r="R5" s="3228"/>
      <c r="S5" s="3229"/>
      <c r="T5" s="3228"/>
      <c r="U5" s="3229"/>
      <c r="V5" s="3232"/>
      <c r="W5" s="3232"/>
      <c r="X5" s="1815"/>
      <c r="Y5" s="3228"/>
      <c r="Z5" s="3229"/>
      <c r="AA5" s="3214"/>
      <c r="AB5" s="3232"/>
      <c r="AC5" s="3214"/>
    </row>
    <row r="6" spans="1:29" ht="15.75" thickBot="1">
      <c r="A6" s="406"/>
      <c r="B6" s="407"/>
      <c r="C6" s="3233" t="s">
        <v>2544</v>
      </c>
      <c r="D6" s="3234"/>
      <c r="E6" s="3240" t="s">
        <v>2544</v>
      </c>
      <c r="F6" s="3241"/>
      <c r="G6" s="3233" t="s">
        <v>2544</v>
      </c>
      <c r="H6" s="3234"/>
      <c r="I6" s="3233" t="s">
        <v>2544</v>
      </c>
      <c r="J6" s="3234"/>
      <c r="K6" s="610" t="s">
        <v>2545</v>
      </c>
      <c r="L6" s="1132"/>
      <c r="M6" s="1133"/>
      <c r="N6" s="1133"/>
      <c r="O6" s="1133"/>
      <c r="P6" s="3224"/>
      <c r="Q6" s="3225"/>
      <c r="R6" s="3228"/>
      <c r="S6" s="3229"/>
      <c r="T6" s="3230"/>
      <c r="U6" s="3231"/>
      <c r="V6" s="3232"/>
      <c r="W6" s="3232"/>
      <c r="X6" s="1815"/>
      <c r="Y6" s="3230"/>
      <c r="Z6" s="3231"/>
      <c r="AA6" s="3215"/>
      <c r="AB6" s="3232"/>
      <c r="AC6" s="3215"/>
    </row>
    <row r="7" spans="1:29" s="117" customFormat="1" ht="15.75" thickBot="1">
      <c r="A7" s="408" t="s">
        <v>2546</v>
      </c>
      <c r="B7" s="409"/>
      <c r="C7" s="410">
        <f>'数据-取费表'!B2</f>
        <v>43130</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37" t="s">
        <v>2547</v>
      </c>
      <c r="Q7" s="3239"/>
      <c r="R7" s="770" t="s">
        <v>17</v>
      </c>
      <c r="S7" s="771">
        <f t="shared" ref="S7:S15" si="0">F7</f>
        <v>0</v>
      </c>
      <c r="T7" s="770" t="s">
        <v>17</v>
      </c>
      <c r="U7" s="771">
        <f t="shared" ref="U7:U15" si="1">H7</f>
        <v>0</v>
      </c>
      <c r="V7" s="770" t="s">
        <v>17</v>
      </c>
      <c r="W7" s="771">
        <f t="shared" ref="W7:W15" si="2">J7</f>
        <v>0</v>
      </c>
      <c r="X7" s="772"/>
      <c r="Y7" s="3237" t="s">
        <v>2547</v>
      </c>
      <c r="Z7" s="3238"/>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37" t="s">
        <v>2550</v>
      </c>
      <c r="Q8" s="3238"/>
      <c r="R8" s="770" t="s">
        <v>17</v>
      </c>
      <c r="S8" s="771">
        <f t="shared" si="0"/>
        <v>0</v>
      </c>
      <c r="T8" s="770" t="s">
        <v>17</v>
      </c>
      <c r="U8" s="771">
        <f t="shared" si="1"/>
        <v>0</v>
      </c>
      <c r="V8" s="770" t="s">
        <v>17</v>
      </c>
      <c r="W8" s="771">
        <f t="shared" si="2"/>
        <v>0</v>
      </c>
      <c r="X8" s="772"/>
      <c r="Y8" s="3237" t="s">
        <v>2550</v>
      </c>
      <c r="Z8" s="3238"/>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12" t="s">
        <v>2553</v>
      </c>
      <c r="Q9" s="1797" t="str">
        <f t="shared" ref="Q9:Q15" si="6">B9</f>
        <v>用途</v>
      </c>
      <c r="R9" s="770" t="s">
        <v>17</v>
      </c>
      <c r="S9" s="771">
        <f t="shared" si="0"/>
        <v>100</v>
      </c>
      <c r="T9" s="770" t="s">
        <v>17</v>
      </c>
      <c r="U9" s="771">
        <f t="shared" si="1"/>
        <v>100</v>
      </c>
      <c r="V9" s="770" t="s">
        <v>17</v>
      </c>
      <c r="W9" s="771">
        <f t="shared" si="2"/>
        <v>100</v>
      </c>
      <c r="X9" s="772"/>
      <c r="Y9" s="302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12"/>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12"/>
      <c r="Q11" s="179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12"/>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12"/>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12"/>
      <c r="Q14" s="1797">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1.25">
      <c r="A15" s="440" t="s">
        <v>2557</v>
      </c>
      <c r="B15" s="69" t="s">
        <v>2651</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10" t="s">
        <v>2558</v>
      </c>
      <c r="Q15" s="1812" t="str">
        <f t="shared" si="6"/>
        <v>商业繁华度</v>
      </c>
      <c r="R15" s="774" t="s">
        <v>17</v>
      </c>
      <c r="S15" s="775">
        <f t="shared" si="0"/>
        <v>100</v>
      </c>
      <c r="T15" s="774" t="s">
        <v>17</v>
      </c>
      <c r="U15" s="775">
        <f t="shared" si="1"/>
        <v>100</v>
      </c>
      <c r="V15" s="774" t="s">
        <v>17</v>
      </c>
      <c r="W15" s="775">
        <f t="shared" si="2"/>
        <v>100</v>
      </c>
      <c r="X15" s="1815"/>
      <c r="Y15" s="3203" t="s">
        <v>2558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11"/>
      <c r="Q16" s="1812"/>
      <c r="R16" s="774"/>
      <c r="S16" s="775"/>
      <c r="T16" s="774"/>
      <c r="U16" s="775"/>
      <c r="V16" s="774"/>
      <c r="W16" s="775"/>
      <c r="X16" s="1815"/>
      <c r="Y16" s="3204"/>
      <c r="Z16" s="1816"/>
      <c r="AA16" s="1813">
        <v>1</v>
      </c>
      <c r="AB16" s="1813">
        <v>1</v>
      </c>
      <c r="AC16" s="1813">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11"/>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2"/>
      <c r="M18" s="1133"/>
      <c r="N18" s="1133"/>
      <c r="O18" s="1133"/>
      <c r="P18" s="3211"/>
      <c r="Q18" s="1812"/>
      <c r="R18" s="774"/>
      <c r="S18" s="775"/>
      <c r="T18" s="774"/>
      <c r="U18" s="775"/>
      <c r="V18" s="774"/>
      <c r="W18" s="775"/>
      <c r="X18" s="1815"/>
      <c r="Y18" s="3204"/>
      <c r="Z18" s="1816"/>
      <c r="AA18" s="1813">
        <v>1</v>
      </c>
      <c r="AB18" s="1813">
        <v>1</v>
      </c>
      <c r="AC18" s="1813">
        <v>1</v>
      </c>
    </row>
    <row r="19" spans="1:29" ht="42.75">
      <c r="A19" s="428"/>
      <c r="B19" s="451" t="s">
        <v>2652</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11"/>
      <c r="Q19" s="1812" t="str">
        <f>B19</f>
        <v>公共配套设施</v>
      </c>
      <c r="R19" s="774" t="s">
        <v>17</v>
      </c>
      <c r="S19" s="775">
        <f>F19</f>
        <v>100</v>
      </c>
      <c r="T19" s="774" t="s">
        <v>17</v>
      </c>
      <c r="U19" s="775">
        <f>H19</f>
        <v>100</v>
      </c>
      <c r="V19" s="774" t="s">
        <v>17</v>
      </c>
      <c r="W19" s="775">
        <f>J19</f>
        <v>100</v>
      </c>
      <c r="X19" s="1815"/>
      <c r="Y19" s="3204"/>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2"/>
      <c r="M20" s="1133"/>
      <c r="N20" s="1133"/>
      <c r="O20" s="1133"/>
      <c r="P20" s="3211"/>
      <c r="Q20" s="1812"/>
      <c r="R20" s="774"/>
      <c r="S20" s="775"/>
      <c r="T20" s="774"/>
      <c r="U20" s="775"/>
      <c r="V20" s="774"/>
      <c r="W20" s="775"/>
      <c r="X20" s="1815"/>
      <c r="Y20" s="3204"/>
      <c r="Z20" s="1816"/>
      <c r="AA20" s="1813">
        <v>1</v>
      </c>
      <c r="AB20" s="1813">
        <v>1</v>
      </c>
      <c r="AC20" s="1813">
        <v>1</v>
      </c>
    </row>
    <row r="21" spans="1:29" ht="28.5">
      <c r="A21" s="428"/>
      <c r="B21" s="1386"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11"/>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2"/>
      <c r="M22" s="1133"/>
      <c r="N22" s="1133"/>
      <c r="O22" s="1133"/>
      <c r="P22" s="3211"/>
      <c r="Q22" s="1812"/>
      <c r="R22" s="774"/>
      <c r="S22" s="775"/>
      <c r="T22" s="774"/>
      <c r="U22" s="775"/>
      <c r="V22" s="774"/>
      <c r="W22" s="775"/>
      <c r="X22" s="1815"/>
      <c r="Y22" s="3204"/>
      <c r="Z22" s="1816"/>
      <c r="AA22" s="1813">
        <v>1</v>
      </c>
      <c r="AB22" s="1813">
        <v>1</v>
      </c>
      <c r="AC22" s="1813">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11"/>
      <c r="Q23" s="1812" t="str">
        <f>B23</f>
        <v>自然及人文环境</v>
      </c>
      <c r="R23" s="774" t="s">
        <v>17</v>
      </c>
      <c r="S23" s="775">
        <f>F23</f>
        <v>100</v>
      </c>
      <c r="T23" s="774" t="s">
        <v>17</v>
      </c>
      <c r="U23" s="775">
        <f>H23</f>
        <v>100</v>
      </c>
      <c r="V23" s="774" t="s">
        <v>17</v>
      </c>
      <c r="W23" s="775">
        <f>J23</f>
        <v>100</v>
      </c>
      <c r="X23" s="1815"/>
      <c r="Y23" s="3204"/>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2"/>
      <c r="M24" s="1133"/>
      <c r="N24" s="1133"/>
      <c r="O24" s="1133"/>
      <c r="P24" s="3211"/>
      <c r="Q24" s="1812"/>
      <c r="R24" s="774"/>
      <c r="S24" s="775"/>
      <c r="T24" s="774"/>
      <c r="U24" s="775"/>
      <c r="V24" s="774"/>
      <c r="W24" s="775"/>
      <c r="X24" s="1815"/>
      <c r="Y24" s="3204"/>
      <c r="Z24" s="1816"/>
      <c r="AA24" s="1813">
        <v>1</v>
      </c>
      <c r="AB24" s="1813">
        <v>1</v>
      </c>
      <c r="AC24" s="1813">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11"/>
      <c r="Q25" s="1812" t="str">
        <f t="shared" ref="Q25:Q46" si="11">B25</f>
        <v>临街状况</v>
      </c>
      <c r="R25" s="774" t="s">
        <v>17</v>
      </c>
      <c r="S25" s="775">
        <f>F25</f>
        <v>100</v>
      </c>
      <c r="T25" s="774" t="s">
        <v>17</v>
      </c>
      <c r="U25" s="775">
        <f>H25</f>
        <v>100</v>
      </c>
      <c r="V25" s="774" t="s">
        <v>17</v>
      </c>
      <c r="W25" s="775">
        <f>J25</f>
        <v>100</v>
      </c>
      <c r="X25" s="1815"/>
      <c r="Y25" s="3204"/>
      <c r="Z25" s="1816" t="str">
        <f>Q25</f>
        <v>临街状况</v>
      </c>
      <c r="AA25" s="1813">
        <f t="shared" si="3"/>
        <v>1</v>
      </c>
      <c r="AB25" s="1813">
        <f t="shared" si="4"/>
        <v>1</v>
      </c>
      <c r="AC25" s="1813">
        <f t="shared" si="5"/>
        <v>1</v>
      </c>
    </row>
    <row r="26" spans="1:29" ht="15">
      <c r="A26" s="428"/>
      <c r="B26" s="1388" t="s">
        <v>2655</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11"/>
      <c r="Q26" s="1812" t="str">
        <f t="shared" si="11"/>
        <v>平面位置/可视性</v>
      </c>
      <c r="R26" s="774" t="s">
        <v>17</v>
      </c>
      <c r="S26" s="775">
        <f>F26</f>
        <v>100</v>
      </c>
      <c r="T26" s="774" t="s">
        <v>17</v>
      </c>
      <c r="U26" s="775">
        <f>H26</f>
        <v>100</v>
      </c>
      <c r="V26" s="774" t="s">
        <v>17</v>
      </c>
      <c r="W26" s="775">
        <f>J26</f>
        <v>100</v>
      </c>
      <c r="X26" s="1815"/>
      <c r="Y26" s="3204"/>
      <c r="Z26" s="1816" t="str">
        <f>Q26</f>
        <v>平面位置/可视性</v>
      </c>
      <c r="AA26" s="1813">
        <f t="shared" si="3"/>
        <v>1</v>
      </c>
      <c r="AB26" s="1813">
        <f t="shared" si="4"/>
        <v>1</v>
      </c>
      <c r="AC26" s="1813">
        <f t="shared" si="5"/>
        <v>1</v>
      </c>
    </row>
    <row r="27" spans="1:29" s="117" customFormat="1" ht="15">
      <c r="A27" s="431"/>
      <c r="B27" s="451" t="s">
        <v>2656</v>
      </c>
      <c r="C27" s="2666"/>
      <c r="D27" s="462">
        <v>100</v>
      </c>
      <c r="E27" s="2666"/>
      <c r="F27" s="464">
        <f>SUMIF(90:90,E27,91:91)-SUMIF(90:90,C27,91:91)+100</f>
        <v>100</v>
      </c>
      <c r="G27" s="2666"/>
      <c r="H27" s="462">
        <f>SUMIF(90:90,G27,91:91)-SUMIF(90:90,C27,91:91)+100</f>
        <v>100</v>
      </c>
      <c r="I27" s="2666"/>
      <c r="J27" s="462">
        <f>SUMIF(90:90,I27,91:91)-SUMIF(90:90,C27,91:91)+100</f>
        <v>100</v>
      </c>
      <c r="K27" s="612"/>
      <c r="L27" s="1134"/>
      <c r="M27" s="1135"/>
      <c r="N27" s="1135"/>
      <c r="O27" s="1135"/>
      <c r="P27" s="3211"/>
      <c r="Q27" s="1797" t="str">
        <f t="shared" si="11"/>
        <v>人流量</v>
      </c>
      <c r="R27" s="770" t="s">
        <v>17</v>
      </c>
      <c r="S27" s="771">
        <f>F27</f>
        <v>100</v>
      </c>
      <c r="T27" s="770" t="s">
        <v>17</v>
      </c>
      <c r="U27" s="771">
        <f>H27</f>
        <v>100</v>
      </c>
      <c r="V27" s="770" t="s">
        <v>17</v>
      </c>
      <c r="W27" s="771">
        <f>J27</f>
        <v>100</v>
      </c>
      <c r="X27" s="772"/>
      <c r="Y27" s="3204"/>
      <c r="Z27" s="55" t="str">
        <f>Q27</f>
        <v>人流量</v>
      </c>
      <c r="AA27" s="1813">
        <f>D27/F27</f>
        <v>1</v>
      </c>
      <c r="AB27" s="1813">
        <f>D27/H27</f>
        <v>1</v>
      </c>
      <c r="AC27" s="1813">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1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11"/>
      <c r="Q29" s="1812">
        <f t="shared" si="11"/>
        <v>111</v>
      </c>
      <c r="R29" s="774" t="s">
        <v>17</v>
      </c>
      <c r="S29" s="775">
        <f t="shared" si="12"/>
        <v>100</v>
      </c>
      <c r="T29" s="774" t="s">
        <v>17</v>
      </c>
      <c r="U29" s="775">
        <f t="shared" si="13"/>
        <v>100</v>
      </c>
      <c r="V29" s="774" t="s">
        <v>17</v>
      </c>
      <c r="W29" s="775">
        <f t="shared" si="14"/>
        <v>100</v>
      </c>
      <c r="X29" s="1815"/>
      <c r="Y29" s="320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11"/>
      <c r="Q30" s="1812">
        <f t="shared" si="11"/>
        <v>111</v>
      </c>
      <c r="R30" s="774" t="s">
        <v>17</v>
      </c>
      <c r="S30" s="775">
        <f t="shared" si="12"/>
        <v>100</v>
      </c>
      <c r="T30" s="774" t="s">
        <v>17</v>
      </c>
      <c r="U30" s="775">
        <f t="shared" si="13"/>
        <v>100</v>
      </c>
      <c r="V30" s="774" t="s">
        <v>17</v>
      </c>
      <c r="W30" s="775">
        <f t="shared" si="14"/>
        <v>100</v>
      </c>
      <c r="X30" s="1815"/>
      <c r="Y30" s="320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11"/>
      <c r="Q31" s="1812">
        <f t="shared" si="11"/>
        <v>111</v>
      </c>
      <c r="R31" s="774" t="s">
        <v>17</v>
      </c>
      <c r="S31" s="775">
        <f t="shared" si="12"/>
        <v>100</v>
      </c>
      <c r="T31" s="774" t="s">
        <v>17</v>
      </c>
      <c r="U31" s="775">
        <f t="shared" si="13"/>
        <v>100</v>
      </c>
      <c r="V31" s="774" t="s">
        <v>17</v>
      </c>
      <c r="W31" s="775">
        <f t="shared" si="14"/>
        <v>100</v>
      </c>
      <c r="X31" s="1815"/>
      <c r="Y31" s="3204"/>
      <c r="Z31" s="1816">
        <f t="shared" si="15"/>
        <v>111</v>
      </c>
      <c r="AA31" s="1813">
        <f t="shared" si="3"/>
        <v>1</v>
      </c>
      <c r="AB31" s="1813">
        <f t="shared" si="4"/>
        <v>1</v>
      </c>
      <c r="AC31" s="1813">
        <f t="shared" si="5"/>
        <v>1</v>
      </c>
    </row>
    <row r="32" spans="1:29" ht="15">
      <c r="A32" s="440" t="s">
        <v>2561</v>
      </c>
      <c r="B32" s="71" t="s">
        <v>2658</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2"/>
      <c r="M32" s="1133"/>
      <c r="N32" s="1133"/>
      <c r="O32" s="1133"/>
      <c r="P32" s="3205" t="s">
        <v>2563</v>
      </c>
      <c r="Q32" s="1812" t="str">
        <f t="shared" si="11"/>
        <v>商业类型</v>
      </c>
      <c r="R32" s="774" t="s">
        <v>17</v>
      </c>
      <c r="S32" s="775">
        <f t="shared" si="12"/>
        <v>100</v>
      </c>
      <c r="T32" s="774" t="s">
        <v>17</v>
      </c>
      <c r="U32" s="775">
        <f t="shared" si="13"/>
        <v>100</v>
      </c>
      <c r="V32" s="774" t="s">
        <v>17</v>
      </c>
      <c r="W32" s="775">
        <f t="shared" si="14"/>
        <v>100</v>
      </c>
      <c r="X32" s="1815"/>
      <c r="Y32" s="3208" t="s">
        <v>2563</v>
      </c>
      <c r="Z32" s="1816" t="str">
        <f t="shared" si="15"/>
        <v>商业类型</v>
      </c>
      <c r="AA32" s="1813">
        <f t="shared" si="3"/>
        <v>1</v>
      </c>
      <c r="AB32" s="1813">
        <f t="shared" si="4"/>
        <v>1</v>
      </c>
      <c r="AC32" s="1813">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06"/>
      <c r="Q33" s="776" t="str">
        <f t="shared" si="11"/>
        <v>项目建筑规模</v>
      </c>
      <c r="R33" s="777" t="s">
        <v>17</v>
      </c>
      <c r="S33" s="778" t="e">
        <f t="shared" si="12"/>
        <v>#N/A</v>
      </c>
      <c r="T33" s="777" t="s">
        <v>17</v>
      </c>
      <c r="U33" s="778" t="e">
        <f t="shared" si="13"/>
        <v>#N/A</v>
      </c>
      <c r="V33" s="777" t="s">
        <v>17</v>
      </c>
      <c r="W33" s="778" t="e">
        <f t="shared" si="14"/>
        <v>#N/A</v>
      </c>
      <c r="X33" s="779"/>
      <c r="Y33" s="3208"/>
      <c r="Z33" s="780" t="str">
        <f t="shared" si="15"/>
        <v>项目建筑规模</v>
      </c>
      <c r="AA33" s="1813" t="e">
        <f t="shared" si="3"/>
        <v>#N/A</v>
      </c>
      <c r="AB33" s="1813" t="e">
        <f t="shared" si="4"/>
        <v>#N/A</v>
      </c>
      <c r="AC33" s="1813" t="e">
        <f t="shared" si="5"/>
        <v>#N/A</v>
      </c>
    </row>
    <row r="34" spans="1:29" ht="15">
      <c r="A34" s="472"/>
      <c r="B34" s="422" t="s">
        <v>2565</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2"/>
      <c r="M34" s="1133"/>
      <c r="N34" s="1133"/>
      <c r="O34" s="1133"/>
      <c r="P34" s="3206"/>
      <c r="Q34" s="1812" t="str">
        <f t="shared" si="11"/>
        <v>建筑结构</v>
      </c>
      <c r="R34" s="774" t="s">
        <v>17</v>
      </c>
      <c r="S34" s="775">
        <f t="shared" si="12"/>
        <v>100</v>
      </c>
      <c r="T34" s="774" t="s">
        <v>17</v>
      </c>
      <c r="U34" s="775">
        <f t="shared" si="13"/>
        <v>100</v>
      </c>
      <c r="V34" s="774" t="s">
        <v>17</v>
      </c>
      <c r="W34" s="775">
        <f t="shared" si="14"/>
        <v>100</v>
      </c>
      <c r="X34" s="1815"/>
      <c r="Y34" s="3208"/>
      <c r="Z34" s="1816" t="str">
        <f t="shared" si="15"/>
        <v>建筑结构</v>
      </c>
      <c r="AA34" s="1813">
        <f t="shared" si="3"/>
        <v>1</v>
      </c>
      <c r="AB34" s="1813">
        <f t="shared" si="4"/>
        <v>1</v>
      </c>
      <c r="AC34" s="1813">
        <f t="shared" si="5"/>
        <v>1</v>
      </c>
    </row>
    <row r="35" spans="1:29" ht="15">
      <c r="A35" s="472"/>
      <c r="B35" s="422" t="s">
        <v>2659</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2"/>
      <c r="M35" s="1133"/>
      <c r="N35" s="1133"/>
      <c r="O35" s="1133"/>
      <c r="P35" s="3206"/>
      <c r="Q35" s="1812" t="str">
        <f t="shared" si="11"/>
        <v>公共部分装修</v>
      </c>
      <c r="R35" s="774" t="s">
        <v>17</v>
      </c>
      <c r="S35" s="775">
        <f t="shared" si="12"/>
        <v>100</v>
      </c>
      <c r="T35" s="774" t="s">
        <v>17</v>
      </c>
      <c r="U35" s="775">
        <f t="shared" si="13"/>
        <v>100</v>
      </c>
      <c r="V35" s="774" t="s">
        <v>17</v>
      </c>
      <c r="W35" s="775">
        <f t="shared" si="14"/>
        <v>100</v>
      </c>
      <c r="X35" s="1815"/>
      <c r="Y35" s="3208"/>
      <c r="Z35" s="1816" t="str">
        <f t="shared" si="15"/>
        <v>公共部分装修</v>
      </c>
      <c r="AA35" s="1813">
        <f t="shared" si="3"/>
        <v>1</v>
      </c>
      <c r="AB35" s="1813">
        <f t="shared" si="4"/>
        <v>1</v>
      </c>
      <c r="AC35" s="1813">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06"/>
      <c r="Q36" s="1812" t="str">
        <f t="shared" si="11"/>
        <v>成新度</v>
      </c>
      <c r="R36" s="774" t="s">
        <v>17</v>
      </c>
      <c r="S36" s="775" t="e">
        <f t="shared" si="12"/>
        <v>#N/A</v>
      </c>
      <c r="T36" s="774" t="s">
        <v>17</v>
      </c>
      <c r="U36" s="775" t="e">
        <f t="shared" si="13"/>
        <v>#N/A</v>
      </c>
      <c r="V36" s="774" t="s">
        <v>17</v>
      </c>
      <c r="W36" s="775" t="e">
        <f t="shared" si="14"/>
        <v>#N/A</v>
      </c>
      <c r="X36" s="1815"/>
      <c r="Y36" s="3208"/>
      <c r="Z36" s="1816" t="str">
        <f t="shared" si="15"/>
        <v>成新度</v>
      </c>
      <c r="AA36" s="1813" t="e">
        <f t="shared" si="3"/>
        <v>#N/A</v>
      </c>
      <c r="AB36" s="1813" t="e">
        <f t="shared" si="4"/>
        <v>#N/A</v>
      </c>
      <c r="AC36" s="1813" t="e">
        <f t="shared" si="5"/>
        <v>#N/A</v>
      </c>
    </row>
    <row r="37" spans="1:29" s="117" customFormat="1" ht="15">
      <c r="A37" s="473"/>
      <c r="B37" s="422" t="s">
        <v>2661</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4"/>
      <c r="M37" s="1135"/>
      <c r="N37" s="1135"/>
      <c r="O37" s="1135"/>
      <c r="P37" s="3206"/>
      <c r="Q37" s="1797"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2662</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2"/>
      <c r="M38" s="1133"/>
      <c r="N38" s="1133"/>
      <c r="O38" s="1133"/>
      <c r="P38" s="3206" t="s">
        <v>2563</v>
      </c>
      <c r="Q38" s="1812" t="str">
        <f t="shared" si="11"/>
        <v>业态</v>
      </c>
      <c r="R38" s="774" t="s">
        <v>17</v>
      </c>
      <c r="S38" s="775">
        <f t="shared" si="12"/>
        <v>100</v>
      </c>
      <c r="T38" s="774" t="s">
        <v>17</v>
      </c>
      <c r="U38" s="775">
        <f t="shared" si="13"/>
        <v>100</v>
      </c>
      <c r="V38" s="774" t="s">
        <v>17</v>
      </c>
      <c r="W38" s="775">
        <f t="shared" si="14"/>
        <v>100</v>
      </c>
      <c r="X38" s="1815"/>
      <c r="Y38" s="3208" t="s">
        <v>2563</v>
      </c>
      <c r="Z38" s="1816" t="str">
        <f t="shared" si="15"/>
        <v>业态</v>
      </c>
      <c r="AA38" s="1813">
        <f t="shared" si="3"/>
        <v>1</v>
      </c>
      <c r="AB38" s="1813">
        <f t="shared" si="4"/>
        <v>1</v>
      </c>
      <c r="AC38" s="1813">
        <f t="shared" si="5"/>
        <v>1</v>
      </c>
    </row>
    <row r="39" spans="1:29" ht="15">
      <c r="A39" s="472"/>
      <c r="B39" s="422" t="s">
        <v>2663</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2"/>
      <c r="M39" s="1133"/>
      <c r="N39" s="1133"/>
      <c r="O39" s="1133"/>
      <c r="P39" s="3206"/>
      <c r="Q39" s="1812" t="str">
        <f t="shared" si="11"/>
        <v>层高</v>
      </c>
      <c r="R39" s="774" t="s">
        <v>17</v>
      </c>
      <c r="S39" s="775">
        <f t="shared" si="12"/>
        <v>100</v>
      </c>
      <c r="T39" s="774" t="s">
        <v>17</v>
      </c>
      <c r="U39" s="775">
        <f t="shared" si="13"/>
        <v>100</v>
      </c>
      <c r="V39" s="774" t="s">
        <v>17</v>
      </c>
      <c r="W39" s="775">
        <f t="shared" si="14"/>
        <v>100</v>
      </c>
      <c r="X39" s="1815"/>
      <c r="Y39" s="3208"/>
      <c r="Z39" s="1816" t="str">
        <f t="shared" si="15"/>
        <v>层高</v>
      </c>
      <c r="AA39" s="1813">
        <f t="shared" si="3"/>
        <v>1</v>
      </c>
      <c r="AB39" s="1813">
        <f t="shared" si="4"/>
        <v>1</v>
      </c>
      <c r="AC39" s="1813">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06"/>
      <c r="Q40" s="1812" t="str">
        <f t="shared" si="11"/>
        <v>单套建筑面积</v>
      </c>
      <c r="R40" s="774" t="s">
        <v>17</v>
      </c>
      <c r="S40" s="775">
        <f t="shared" si="12"/>
        <v>100</v>
      </c>
      <c r="T40" s="774" t="s">
        <v>17</v>
      </c>
      <c r="U40" s="775">
        <f t="shared" si="13"/>
        <v>100</v>
      </c>
      <c r="V40" s="774" t="s">
        <v>17</v>
      </c>
      <c r="W40" s="775">
        <f t="shared" si="14"/>
        <v>100</v>
      </c>
      <c r="X40" s="1815"/>
      <c r="Y40" s="3208"/>
      <c r="Z40" s="1816" t="str">
        <f t="shared" si="15"/>
        <v>单套建筑面积</v>
      </c>
      <c r="AA40" s="1813">
        <f t="shared" si="3"/>
        <v>1</v>
      </c>
      <c r="AB40" s="1813">
        <f t="shared" si="4"/>
        <v>1</v>
      </c>
      <c r="AC40" s="1813">
        <f t="shared" si="5"/>
        <v>1</v>
      </c>
    </row>
    <row r="41" spans="1:29" s="471" customFormat="1" ht="15">
      <c r="A41" s="468"/>
      <c r="B41" s="1814"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06"/>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3">
        <f t="shared" si="3"/>
        <v>1</v>
      </c>
      <c r="AB41" s="1813">
        <f t="shared" si="4"/>
        <v>1</v>
      </c>
      <c r="AC41" s="1813">
        <f t="shared" si="5"/>
        <v>1</v>
      </c>
    </row>
    <row r="42" spans="1:29" ht="15">
      <c r="A42" s="472"/>
      <c r="B42" s="422" t="s">
        <v>2666</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2"/>
      <c r="M42" s="1133"/>
      <c r="N42" s="1133"/>
      <c r="O42" s="1133"/>
      <c r="P42" s="3206"/>
      <c r="Q42" s="1812" t="str">
        <f t="shared" si="11"/>
        <v>内部装修</v>
      </c>
      <c r="R42" s="774" t="s">
        <v>17</v>
      </c>
      <c r="S42" s="775">
        <f t="shared" si="12"/>
        <v>100</v>
      </c>
      <c r="T42" s="774" t="s">
        <v>17</v>
      </c>
      <c r="U42" s="775">
        <f t="shared" si="13"/>
        <v>100</v>
      </c>
      <c r="V42" s="774" t="s">
        <v>17</v>
      </c>
      <c r="W42" s="775">
        <f t="shared" si="14"/>
        <v>100</v>
      </c>
      <c r="X42" s="1815"/>
      <c r="Y42" s="3208"/>
      <c r="Z42" s="1816" t="str">
        <f t="shared" si="15"/>
        <v>内部装修</v>
      </c>
      <c r="AA42" s="1813">
        <f t="shared" si="3"/>
        <v>1</v>
      </c>
      <c r="AB42" s="1813">
        <f t="shared" si="4"/>
        <v>1</v>
      </c>
      <c r="AC42" s="1813">
        <f t="shared" si="5"/>
        <v>1</v>
      </c>
    </row>
    <row r="43" spans="1:29" ht="15">
      <c r="A43" s="472"/>
      <c r="B43" s="422" t="s">
        <v>2574</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2"/>
      <c r="M43" s="1133"/>
      <c r="N43" s="1133"/>
      <c r="O43" s="1133"/>
      <c r="P43" s="3206"/>
      <c r="Q43" s="1812" t="str">
        <f t="shared" si="11"/>
        <v>内部装修维护情况</v>
      </c>
      <c r="R43" s="774" t="s">
        <v>17</v>
      </c>
      <c r="S43" s="775">
        <f t="shared" si="12"/>
        <v>100</v>
      </c>
      <c r="T43" s="774" t="s">
        <v>17</v>
      </c>
      <c r="U43" s="775">
        <f t="shared" si="13"/>
        <v>100</v>
      </c>
      <c r="V43" s="774" t="s">
        <v>17</v>
      </c>
      <c r="W43" s="775">
        <f t="shared" si="14"/>
        <v>100</v>
      </c>
      <c r="X43" s="1815"/>
      <c r="Y43" s="320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06"/>
      <c r="Q44" s="1797">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06"/>
      <c r="Q45" s="1812">
        <f t="shared" si="11"/>
        <v>111</v>
      </c>
      <c r="R45" s="774" t="s">
        <v>17</v>
      </c>
      <c r="S45" s="775">
        <f t="shared" si="12"/>
        <v>100</v>
      </c>
      <c r="T45" s="774" t="s">
        <v>17</v>
      </c>
      <c r="U45" s="775">
        <f t="shared" si="13"/>
        <v>100</v>
      </c>
      <c r="V45" s="774" t="s">
        <v>17</v>
      </c>
      <c r="W45" s="775">
        <f t="shared" si="14"/>
        <v>100</v>
      </c>
      <c r="X45" s="1815"/>
      <c r="Y45" s="3208"/>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07"/>
      <c r="Q46" s="1812">
        <f t="shared" si="11"/>
        <v>111</v>
      </c>
      <c r="R46" s="774" t="s">
        <v>17</v>
      </c>
      <c r="S46" s="775">
        <f t="shared" si="12"/>
        <v>100</v>
      </c>
      <c r="T46" s="774" t="s">
        <v>17</v>
      </c>
      <c r="U46" s="775">
        <f t="shared" si="13"/>
        <v>100</v>
      </c>
      <c r="V46" s="774" t="s">
        <v>17</v>
      </c>
      <c r="W46" s="775">
        <f t="shared" si="14"/>
        <v>100</v>
      </c>
      <c r="X46" s="1815"/>
      <c r="Y46" s="3209"/>
      <c r="Z46" s="1816">
        <f t="shared" si="15"/>
        <v>111</v>
      </c>
      <c r="AA46" s="1813">
        <f t="shared" si="3"/>
        <v>1</v>
      </c>
      <c r="AB46" s="1813">
        <f t="shared" si="4"/>
        <v>1</v>
      </c>
      <c r="AC46" s="1813">
        <f t="shared" si="5"/>
        <v>1</v>
      </c>
    </row>
    <row r="47" spans="1:29" ht="15">
      <c r="A47" s="479" t="s">
        <v>2575</v>
      </c>
      <c r="B47" s="480"/>
      <c r="C47" s="1409" t="s">
        <v>1</v>
      </c>
      <c r="D47" s="1410"/>
      <c r="E47" s="1411"/>
      <c r="F47" s="1412"/>
      <c r="G47" s="1413"/>
      <c r="H47" s="1414"/>
      <c r="I47" s="1411"/>
      <c r="J47" s="1414"/>
      <c r="K47" s="783"/>
      <c r="L47" s="1145"/>
      <c r="M47" s="1146"/>
      <c r="N47" s="1133"/>
      <c r="O47" s="1146"/>
      <c r="P47" s="3201" t="str">
        <f>A47</f>
        <v>成交单价（元/平方米）</v>
      </c>
      <c r="Q47" s="3201"/>
      <c r="R47" s="3232">
        <f>E47</f>
        <v>0</v>
      </c>
      <c r="S47" s="3232"/>
      <c r="T47" s="3232">
        <f>G47</f>
        <v>0</v>
      </c>
      <c r="U47" s="3232"/>
      <c r="V47" s="3232">
        <f>I47</f>
        <v>0</v>
      </c>
      <c r="W47" s="3232"/>
      <c r="X47" s="759"/>
      <c r="Y47" s="781"/>
      <c r="Z47" s="759"/>
      <c r="AA47" s="759"/>
      <c r="AB47" s="759"/>
      <c r="AC47" s="759"/>
    </row>
    <row r="48" spans="1:29" ht="15.75" thickBot="1">
      <c r="A48" s="486" t="s">
        <v>2667</v>
      </c>
      <c r="B48" s="487"/>
      <c r="C48" s="1415" t="e">
        <f>R49</f>
        <v>#DIV/0!</v>
      </c>
      <c r="D48" s="1416"/>
      <c r="E48" s="1417" t="e">
        <f>R48</f>
        <v>#DIV/0!</v>
      </c>
      <c r="F48" s="1417"/>
      <c r="G48" s="1415" t="e">
        <f>T48</f>
        <v>#DIV/0!</v>
      </c>
      <c r="H48" s="1416"/>
      <c r="I48" s="1417" t="e">
        <f>V48</f>
        <v>#DIV/0!</v>
      </c>
      <c r="J48" s="1416"/>
      <c r="K48" s="784"/>
      <c r="L48" s="1145"/>
      <c r="M48" s="1146"/>
      <c r="N48" s="1133"/>
      <c r="O48" s="1146"/>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2668</v>
      </c>
      <c r="B49" s="493"/>
      <c r="C49" s="1419" t="e">
        <f>R49</f>
        <v>#DIV/0!</v>
      </c>
      <c r="D49" s="1419"/>
      <c r="E49" s="1419"/>
      <c r="F49" s="1419"/>
      <c r="G49" s="1419"/>
      <c r="H49" s="1419"/>
      <c r="I49" s="1419"/>
      <c r="J49" s="1419"/>
      <c r="K49" s="785"/>
      <c r="L49" s="1145"/>
      <c r="M49" s="1146"/>
      <c r="N49" s="1133"/>
      <c r="O49" s="1146"/>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7"/>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7"/>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3"/>
      <c r="M57" s="1161"/>
      <c r="N57" s="1161"/>
      <c r="O57" s="1161"/>
      <c r="P57" s="2668"/>
      <c r="Q57" s="2669"/>
      <c r="R57" s="759"/>
      <c r="S57" s="759"/>
      <c r="T57" s="759"/>
      <c r="U57" s="759"/>
      <c r="V57" s="759"/>
      <c r="W57" s="759"/>
      <c r="X57" s="759"/>
      <c r="Y57" s="759"/>
      <c r="Z57" s="759"/>
      <c r="AA57" s="759"/>
      <c r="AB57" s="759"/>
      <c r="AC57" s="759"/>
    </row>
    <row r="58" spans="1:29" s="508" customFormat="1" ht="15">
      <c r="A58" s="505" t="s">
        <v>2546</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2548</v>
      </c>
      <c r="B61" s="510"/>
      <c r="C61" s="522" t="s">
        <v>2650</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2586</v>
      </c>
      <c r="B63" s="528" t="s">
        <v>2552</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1"/>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36"/>
      <c r="E73" s="536"/>
      <c r="F73" s="536"/>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2653</v>
      </c>
      <c r="C82" s="660" t="s">
        <v>2673</v>
      </c>
      <c r="D82" s="660" t="s">
        <v>2674</v>
      </c>
      <c r="E82" s="660" t="s">
        <v>2675</v>
      </c>
      <c r="F82" s="660" t="s">
        <v>2676</v>
      </c>
      <c r="G82" s="660" t="s">
        <v>2677</v>
      </c>
      <c r="H82" s="539"/>
      <c r="I82" s="539"/>
      <c r="J82" s="539"/>
      <c r="K82" s="539"/>
      <c r="L82" s="539"/>
      <c r="M82" s="1384"/>
      <c r="N82" s="1155"/>
      <c r="O82" s="1155"/>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2678</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3"/>
      <c r="O88" s="1153"/>
      <c r="P88" s="2631"/>
      <c r="Q88" s="504"/>
    </row>
    <row r="89" spans="1:17" s="117" customFormat="1" ht="15.75" thickBot="1">
      <c r="A89" s="579"/>
      <c r="B89" s="543"/>
      <c r="C89" s="560"/>
      <c r="D89" s="536"/>
      <c r="E89" s="536"/>
      <c r="F89" s="536"/>
      <c r="G89" s="536"/>
      <c r="H89" s="536"/>
      <c r="I89" s="536"/>
      <c r="J89" s="536"/>
      <c r="K89" s="536"/>
      <c r="L89" s="536"/>
      <c r="M89" s="536"/>
      <c r="N89" s="1155"/>
      <c r="O89" s="1155"/>
      <c r="P89" s="2631"/>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2"/>
      <c r="Q91" s="559"/>
    </row>
    <row r="92" spans="1:17" ht="15.75" thickTop="1">
      <c r="A92" s="534"/>
      <c r="B92" s="538" t="str">
        <f>B28</f>
        <v>楼层</v>
      </c>
      <c r="C92" s="554"/>
      <c r="D92" s="554"/>
      <c r="E92" s="554"/>
      <c r="F92" s="554"/>
      <c r="G92" s="554"/>
      <c r="H92" s="554"/>
      <c r="I92" s="554"/>
      <c r="J92" s="554"/>
      <c r="K92" s="554"/>
      <c r="L92" s="580"/>
      <c r="M92" s="581"/>
      <c r="N92" s="1154"/>
      <c r="O92" s="1154"/>
      <c r="P92" s="2631"/>
      <c r="Q92" s="504"/>
    </row>
    <row r="93" spans="1:17" ht="15.75" thickBot="1">
      <c r="A93" s="534"/>
      <c r="B93" s="543"/>
      <c r="C93" s="536"/>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36"/>
      <c r="E95" s="536"/>
      <c r="F95" s="536"/>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60"/>
      <c r="D97" s="536"/>
      <c r="E97" s="536"/>
      <c r="F97" s="536"/>
      <c r="G97" s="536"/>
      <c r="H97" s="536"/>
      <c r="I97" s="536"/>
      <c r="J97" s="536"/>
      <c r="K97" s="536"/>
      <c r="L97" s="536"/>
      <c r="M97" s="537"/>
      <c r="N97" s="1155"/>
      <c r="O97" s="1155"/>
      <c r="P97" s="2631"/>
      <c r="Q97" s="504"/>
    </row>
    <row r="98" spans="1:17" ht="15.75" thickTop="1">
      <c r="A98" s="534"/>
      <c r="B98" s="546">
        <f>B31</f>
        <v>111</v>
      </c>
      <c r="C98" s="554"/>
      <c r="D98" s="554"/>
      <c r="E98" s="554"/>
      <c r="F98" s="554"/>
      <c r="G98" s="587"/>
      <c r="H98" s="587"/>
      <c r="I98" s="587"/>
      <c r="J98" s="587"/>
      <c r="K98" s="588"/>
      <c r="L98" s="589"/>
      <c r="M98" s="590"/>
      <c r="N98" s="1154"/>
      <c r="O98" s="1154"/>
      <c r="P98" s="2631"/>
      <c r="Q98" s="504"/>
    </row>
    <row r="99" spans="1:17" ht="15.75" thickBot="1">
      <c r="A99" s="2637"/>
      <c r="B99" s="569"/>
      <c r="C99" s="570"/>
      <c r="D99" s="570"/>
      <c r="E99" s="570"/>
      <c r="F99" s="570"/>
      <c r="G99" s="591"/>
      <c r="H99" s="591"/>
      <c r="I99" s="591"/>
      <c r="J99" s="591"/>
      <c r="K99" s="591"/>
      <c r="L99" s="591"/>
      <c r="M99" s="592"/>
      <c r="N99" s="1155"/>
      <c r="O99" s="1155"/>
      <c r="P99" s="2631"/>
      <c r="Q99" s="504"/>
    </row>
    <row r="100" spans="1:17">
      <c r="A100" s="527" t="s">
        <v>2561</v>
      </c>
      <c r="B100" s="528" t="s">
        <v>2679</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1"/>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2"/>
      <c r="Q104" s="559"/>
    </row>
    <row r="105" spans="1:17" ht="15" thickTop="1">
      <c r="A105" s="599"/>
      <c r="B105" s="538" t="s">
        <v>2612</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1"/>
      <c r="Q106" s="504"/>
    </row>
    <row r="107" spans="1:17" ht="15" thickTop="1">
      <c r="A107" s="599"/>
      <c r="B107" s="538" t="s">
        <v>2614</v>
      </c>
      <c r="C107" s="554"/>
      <c r="D107" s="554"/>
      <c r="E107" s="554"/>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1"/>
      <c r="Q111" s="504"/>
    </row>
    <row r="112" spans="1:17" s="471" customFormat="1" ht="15" thickTop="1">
      <c r="A112" s="593"/>
      <c r="B112" s="538" t="s">
        <v>2616</v>
      </c>
      <c r="C112" s="554"/>
      <c r="D112" s="554"/>
      <c r="E112" s="554"/>
      <c r="F112" s="554"/>
      <c r="G112" s="554"/>
      <c r="H112" s="583"/>
      <c r="I112" s="583"/>
      <c r="J112" s="583"/>
      <c r="K112" s="584"/>
      <c r="L112" s="585"/>
      <c r="M112" s="586"/>
      <c r="N112" s="1156"/>
      <c r="O112" s="1156"/>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2"/>
      <c r="Q113" s="559"/>
    </row>
    <row r="114" spans="1:17" ht="15" thickTop="1">
      <c r="A114" s="599"/>
      <c r="B114" s="538" t="s">
        <v>2680</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1"/>
      <c r="Q115" s="504"/>
    </row>
    <row r="116" spans="1:17" ht="15" thickTop="1">
      <c r="A116" s="599"/>
      <c r="B116" s="538" t="s">
        <v>2681</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2682</v>
      </c>
      <c r="C118" s="627"/>
      <c r="D118" s="627"/>
      <c r="E118" s="627"/>
      <c r="F118" s="627"/>
      <c r="G118" s="627"/>
      <c r="H118" s="555"/>
      <c r="I118" s="555"/>
      <c r="J118" s="555"/>
      <c r="K118" s="555"/>
      <c r="L118" s="556"/>
      <c r="M118" s="557"/>
      <c r="N118" s="1154"/>
      <c r="O118" s="1154"/>
      <c r="P118" s="2631"/>
      <c r="Q118" s="504"/>
    </row>
    <row r="119" spans="1:17" ht="15.75" thickBot="1">
      <c r="A119" s="534"/>
      <c r="B119" s="543"/>
      <c r="C119" s="560"/>
      <c r="D119" s="536"/>
      <c r="E119" s="536"/>
      <c r="F119" s="536"/>
      <c r="G119" s="536"/>
      <c r="H119" s="536"/>
      <c r="I119" s="536"/>
      <c r="J119" s="536"/>
      <c r="K119" s="536"/>
      <c r="L119" s="536"/>
      <c r="M119" s="537"/>
      <c r="N119" s="1155"/>
      <c r="O119" s="1155"/>
      <c r="P119" s="2631"/>
      <c r="Q119" s="504"/>
    </row>
    <row r="120" spans="1:17" s="471" customFormat="1" ht="15" thickTop="1">
      <c r="A120" s="593"/>
      <c r="B120" s="538" t="s">
        <v>2683</v>
      </c>
      <c r="C120" s="583"/>
      <c r="D120" s="583"/>
      <c r="E120" s="583"/>
      <c r="F120" s="583"/>
      <c r="G120" s="555"/>
      <c r="H120" s="555"/>
      <c r="I120" s="555"/>
      <c r="J120" s="555"/>
      <c r="K120" s="555"/>
      <c r="L120" s="556"/>
      <c r="M120" s="557"/>
      <c r="N120" s="1156"/>
      <c r="O120" s="1156"/>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2"/>
      <c r="Q121" s="559"/>
    </row>
    <row r="122" spans="1:17" ht="15" thickTop="1">
      <c r="A122" s="599"/>
      <c r="B122" s="538" t="s">
        <v>2618</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36"/>
      <c r="E129" s="536"/>
      <c r="F129" s="536"/>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0" t="s">
        <v>2684</v>
      </c>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7"/>
      <c r="D2" s="1367" t="e">
        <f ca="1">SUMIF(INDIRECT("'"&amp;F2&amp;"'"&amp;"!A:A"),"承租人权益价值",INDIRECT("'"&amp;F2&amp;"'"&amp;"!c:c"))</f>
        <v>#REF!</v>
      </c>
      <c r="E2" s="2588" t="s">
        <v>2326</v>
      </c>
      <c r="F2" s="2589"/>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30726.569999999992</v>
      </c>
      <c r="E3" s="2664"/>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2643</v>
      </c>
      <c r="B4" s="402"/>
      <c r="C4" s="3216" t="s">
        <v>2644</v>
      </c>
      <c r="D4" s="3217"/>
      <c r="E4" s="3218" t="s">
        <v>2645</v>
      </c>
      <c r="F4" s="3219"/>
      <c r="G4" s="3216" t="s">
        <v>2646</v>
      </c>
      <c r="H4" s="3217"/>
      <c r="I4" s="3216" t="s">
        <v>2647</v>
      </c>
      <c r="J4" s="3217"/>
      <c r="K4" s="610" t="s">
        <v>2648</v>
      </c>
      <c r="L4" s="1132"/>
      <c r="M4" s="1133"/>
      <c r="N4" s="1133"/>
      <c r="O4" s="1133"/>
      <c r="P4" s="3250" t="s">
        <v>2649</v>
      </c>
      <c r="Q4" s="3251"/>
      <c r="R4" s="3254" t="s">
        <v>2645</v>
      </c>
      <c r="S4" s="3255"/>
      <c r="T4" s="3254" t="s">
        <v>2646</v>
      </c>
      <c r="U4" s="3255"/>
      <c r="V4" s="3256" t="s">
        <v>2647</v>
      </c>
      <c r="W4" s="3256"/>
      <c r="X4" s="2671"/>
      <c r="Y4" s="3254" t="s">
        <v>2649</v>
      </c>
      <c r="Z4" s="3255"/>
      <c r="AA4" s="3258" t="s">
        <v>2645</v>
      </c>
      <c r="AB4" s="3258" t="s">
        <v>2646</v>
      </c>
      <c r="AC4" s="3247" t="s">
        <v>2647</v>
      </c>
    </row>
    <row r="5" spans="1:29" ht="15">
      <c r="A5" s="404"/>
      <c r="B5" s="405"/>
      <c r="C5" s="3235" t="s">
        <v>2540</v>
      </c>
      <c r="D5" s="3236"/>
      <c r="E5" s="3242" t="s">
        <v>2541</v>
      </c>
      <c r="F5" s="3243"/>
      <c r="G5" s="3235" t="s">
        <v>2542</v>
      </c>
      <c r="H5" s="3236"/>
      <c r="I5" s="3235" t="s">
        <v>2543</v>
      </c>
      <c r="J5" s="3236"/>
      <c r="K5" s="610"/>
      <c r="L5" s="1132"/>
      <c r="M5" s="1133"/>
      <c r="N5" s="1133"/>
      <c r="O5" s="1133"/>
      <c r="P5" s="3252"/>
      <c r="Q5" s="3223"/>
      <c r="R5" s="3228"/>
      <c r="S5" s="3229"/>
      <c r="T5" s="3228"/>
      <c r="U5" s="3229"/>
      <c r="V5" s="3232"/>
      <c r="W5" s="3232"/>
      <c r="X5" s="1815"/>
      <c r="Y5" s="3228"/>
      <c r="Z5" s="3229"/>
      <c r="AA5" s="3214"/>
      <c r="AB5" s="3214"/>
      <c r="AC5" s="3248"/>
    </row>
    <row r="6" spans="1:29" ht="15.75" thickBot="1">
      <c r="A6" s="406"/>
      <c r="B6" s="407"/>
      <c r="C6" s="3233" t="s">
        <v>2544</v>
      </c>
      <c r="D6" s="3234"/>
      <c r="E6" s="3240" t="s">
        <v>2544</v>
      </c>
      <c r="F6" s="3241"/>
      <c r="G6" s="3233" t="s">
        <v>2544</v>
      </c>
      <c r="H6" s="3234"/>
      <c r="I6" s="3233" t="s">
        <v>2544</v>
      </c>
      <c r="J6" s="3234"/>
      <c r="K6" s="610" t="s">
        <v>2545</v>
      </c>
      <c r="L6" s="1132"/>
      <c r="M6" s="1133"/>
      <c r="N6" s="1133"/>
      <c r="O6" s="1133"/>
      <c r="P6" s="3253"/>
      <c r="Q6" s="3225"/>
      <c r="R6" s="3228"/>
      <c r="S6" s="3229"/>
      <c r="T6" s="3230"/>
      <c r="U6" s="3231"/>
      <c r="V6" s="3232"/>
      <c r="W6" s="3232"/>
      <c r="X6" s="1815"/>
      <c r="Y6" s="3230"/>
      <c r="Z6" s="3231"/>
      <c r="AA6" s="3215"/>
      <c r="AB6" s="3215"/>
      <c r="AC6" s="3249"/>
    </row>
    <row r="7" spans="1:29" s="117" customFormat="1" ht="15.75" thickBot="1">
      <c r="A7" s="408" t="s">
        <v>2546</v>
      </c>
      <c r="B7" s="409"/>
      <c r="C7" s="410">
        <f>'数据-取费表'!B2</f>
        <v>43130</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7" t="s">
        <v>2547</v>
      </c>
      <c r="Q7" s="3239"/>
      <c r="R7" s="770" t="s">
        <v>17</v>
      </c>
      <c r="S7" s="771">
        <f t="shared" ref="S7:S15" si="0">F7</f>
        <v>0</v>
      </c>
      <c r="T7" s="770" t="s">
        <v>17</v>
      </c>
      <c r="U7" s="771">
        <f t="shared" ref="U7:U15" si="1">H7</f>
        <v>0</v>
      </c>
      <c r="V7" s="770" t="s">
        <v>17</v>
      </c>
      <c r="W7" s="771">
        <f t="shared" ref="W7:W15" si="2">J7</f>
        <v>0</v>
      </c>
      <c r="X7" s="772"/>
      <c r="Y7" s="3237" t="s">
        <v>2547</v>
      </c>
      <c r="Z7" s="3238"/>
      <c r="AA7" s="773" t="e">
        <f>D7/F7</f>
        <v>#DIV/0!</v>
      </c>
      <c r="AB7" s="773" t="e">
        <f>D7/H7</f>
        <v>#DIV/0!</v>
      </c>
      <c r="AC7" s="2672"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7" t="s">
        <v>2550</v>
      </c>
      <c r="Q8" s="3238"/>
      <c r="R8" s="770" t="s">
        <v>17</v>
      </c>
      <c r="S8" s="771">
        <f t="shared" si="0"/>
        <v>0</v>
      </c>
      <c r="T8" s="770" t="s">
        <v>17</v>
      </c>
      <c r="U8" s="771">
        <f t="shared" si="1"/>
        <v>0</v>
      </c>
      <c r="V8" s="770" t="s">
        <v>17</v>
      </c>
      <c r="W8" s="771">
        <f t="shared" si="2"/>
        <v>0</v>
      </c>
      <c r="X8" s="772"/>
      <c r="Y8" s="3237" t="s">
        <v>2550</v>
      </c>
      <c r="Z8" s="3238"/>
      <c r="AA8" s="773" t="e">
        <f t="shared" ref="AA8:AA47" si="3">D8/F8</f>
        <v>#DIV/0!</v>
      </c>
      <c r="AB8" s="773" t="e">
        <f t="shared" ref="AB8:AB47" si="4">D8/H8</f>
        <v>#DIV/0!</v>
      </c>
      <c r="AC8" s="2672"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12" t="s">
        <v>2553</v>
      </c>
      <c r="Q9" s="1797" t="str">
        <f t="shared" ref="Q9:Q15" si="6">B9</f>
        <v>用途</v>
      </c>
      <c r="R9" s="770" t="s">
        <v>17</v>
      </c>
      <c r="S9" s="771">
        <f t="shared" si="0"/>
        <v>100</v>
      </c>
      <c r="T9" s="770" t="s">
        <v>17</v>
      </c>
      <c r="U9" s="771">
        <f t="shared" si="1"/>
        <v>100</v>
      </c>
      <c r="V9" s="770" t="s">
        <v>17</v>
      </c>
      <c r="W9" s="771">
        <f t="shared" si="2"/>
        <v>100</v>
      </c>
      <c r="X9" s="772"/>
      <c r="Y9" s="3029" t="s">
        <v>2554</v>
      </c>
      <c r="Z9" s="55" t="str">
        <f t="shared" ref="Z9:Z15" si="7">Q9</f>
        <v>用途</v>
      </c>
      <c r="AA9" s="773">
        <f t="shared" si="3"/>
        <v>1</v>
      </c>
      <c r="AB9" s="773">
        <f t="shared" si="4"/>
        <v>1</v>
      </c>
      <c r="AC9" s="2672">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12"/>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2">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12"/>
      <c r="Q11" s="179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4"/>
      <c r="M12" s="1135"/>
      <c r="N12" s="1135"/>
      <c r="O12" s="1135"/>
      <c r="P12" s="3212"/>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2"/>
      <c r="M13" s="1133"/>
      <c r="N13" s="1133"/>
      <c r="O13" s="1133"/>
      <c r="P13" s="3212"/>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2"/>
      <c r="M14" s="1133"/>
      <c r="N14" s="1133"/>
      <c r="O14" s="1133"/>
      <c r="P14" s="3212"/>
      <c r="Q14" s="1797">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2">
        <f t="shared" si="5"/>
        <v>1</v>
      </c>
    </row>
    <row r="15" spans="1:29" ht="71.25">
      <c r="A15" s="440" t="s">
        <v>2557</v>
      </c>
      <c r="B15" s="629" t="s">
        <v>2685</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10" t="s">
        <v>2558</v>
      </c>
      <c r="Q15" s="1812" t="str">
        <f t="shared" si="6"/>
        <v>办公集聚程度</v>
      </c>
      <c r="R15" s="774" t="s">
        <v>17</v>
      </c>
      <c r="S15" s="775">
        <f t="shared" si="0"/>
        <v>100</v>
      </c>
      <c r="T15" s="774" t="s">
        <v>17</v>
      </c>
      <c r="U15" s="775">
        <f t="shared" si="1"/>
        <v>100</v>
      </c>
      <c r="V15" s="774" t="s">
        <v>17</v>
      </c>
      <c r="W15" s="775">
        <f t="shared" si="2"/>
        <v>100</v>
      </c>
      <c r="X15" s="1815"/>
      <c r="Y15" s="3203" t="s">
        <v>2558</v>
      </c>
      <c r="Z15" s="1816" t="str">
        <f t="shared" si="7"/>
        <v>办公集聚程度</v>
      </c>
      <c r="AA15" s="1813">
        <f t="shared" si="3"/>
        <v>1</v>
      </c>
      <c r="AB15" s="1813">
        <f t="shared" si="4"/>
        <v>1</v>
      </c>
      <c r="AC15" s="2675">
        <f t="shared" si="5"/>
        <v>1</v>
      </c>
    </row>
    <row r="16" spans="1:29" ht="15">
      <c r="A16" s="428"/>
      <c r="B16" s="630"/>
      <c r="C16" s="2612"/>
      <c r="D16" s="448"/>
      <c r="E16" s="447"/>
      <c r="F16" s="448"/>
      <c r="G16" s="2612"/>
      <c r="H16" s="450"/>
      <c r="I16" s="447"/>
      <c r="J16" s="448"/>
      <c r="K16" s="615"/>
      <c r="L16" s="1142"/>
      <c r="M16" s="1133"/>
      <c r="N16" s="1133"/>
      <c r="O16" s="1133"/>
      <c r="P16" s="3211"/>
      <c r="Q16" s="1812"/>
      <c r="R16" s="774"/>
      <c r="S16" s="775"/>
      <c r="T16" s="774"/>
      <c r="U16" s="775"/>
      <c r="V16" s="774"/>
      <c r="W16" s="775"/>
      <c r="X16" s="1815"/>
      <c r="Y16" s="3204"/>
      <c r="Z16" s="1816"/>
      <c r="AA16" s="1813">
        <v>1</v>
      </c>
      <c r="AB16" s="1813">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11"/>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2675">
        <f t="shared" si="5"/>
        <v>1</v>
      </c>
    </row>
    <row r="18" spans="1:29" ht="15">
      <c r="A18" s="428"/>
      <c r="B18" s="632"/>
      <c r="C18" s="2677"/>
      <c r="D18" s="450"/>
      <c r="E18" s="2610"/>
      <c r="F18" s="450"/>
      <c r="G18" s="2611"/>
      <c r="H18" s="448"/>
      <c r="I18" s="2611"/>
      <c r="J18" s="448"/>
      <c r="K18" s="615"/>
      <c r="L18" s="1142"/>
      <c r="M18" s="1133"/>
      <c r="N18" s="1133"/>
      <c r="O18" s="1133"/>
      <c r="P18" s="3211"/>
      <c r="Q18" s="1812"/>
      <c r="R18" s="774"/>
      <c r="S18" s="775"/>
      <c r="T18" s="774"/>
      <c r="U18" s="775"/>
      <c r="V18" s="774"/>
      <c r="W18" s="775"/>
      <c r="X18" s="1815"/>
      <c r="Y18" s="3204"/>
      <c r="Z18" s="1816"/>
      <c r="AA18" s="1813">
        <v>1</v>
      </c>
      <c r="AB18" s="1813">
        <v>1</v>
      </c>
      <c r="AC18" s="2675">
        <v>1</v>
      </c>
    </row>
    <row r="19" spans="1:29" ht="42.75">
      <c r="A19" s="428"/>
      <c r="B19" s="631" t="s">
        <v>2686</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11"/>
      <c r="Q19" s="1812" t="str">
        <f>B19</f>
        <v>公共配套设施</v>
      </c>
      <c r="R19" s="774" t="s">
        <v>17</v>
      </c>
      <c r="S19" s="775">
        <f>F19</f>
        <v>100</v>
      </c>
      <c r="T19" s="774" t="s">
        <v>17</v>
      </c>
      <c r="U19" s="775">
        <f>H19</f>
        <v>100</v>
      </c>
      <c r="V19" s="774" t="s">
        <v>17</v>
      </c>
      <c r="W19" s="775">
        <f>J19</f>
        <v>100</v>
      </c>
      <c r="X19" s="1815"/>
      <c r="Y19" s="3204"/>
      <c r="Z19" s="1816" t="str">
        <f>Q19</f>
        <v>公共配套设施</v>
      </c>
      <c r="AA19" s="1813">
        <f t="shared" si="3"/>
        <v>1</v>
      </c>
      <c r="AB19" s="1813">
        <f t="shared" si="4"/>
        <v>1</v>
      </c>
      <c r="AC19" s="2675">
        <f t="shared" si="5"/>
        <v>1</v>
      </c>
    </row>
    <row r="20" spans="1:29" ht="15">
      <c r="A20" s="428"/>
      <c r="B20" s="632"/>
      <c r="C20" s="2612"/>
      <c r="D20" s="448"/>
      <c r="E20" s="2605"/>
      <c r="F20" s="448"/>
      <c r="G20" s="2606"/>
      <c r="H20" s="448"/>
      <c r="I20" s="2606"/>
      <c r="J20" s="448"/>
      <c r="K20" s="615"/>
      <c r="L20" s="1142"/>
      <c r="M20" s="1133"/>
      <c r="N20" s="1133"/>
      <c r="O20" s="1133"/>
      <c r="P20" s="3211"/>
      <c r="Q20" s="1812"/>
      <c r="R20" s="774"/>
      <c r="S20" s="775"/>
      <c r="T20" s="774"/>
      <c r="U20" s="775"/>
      <c r="V20" s="774"/>
      <c r="W20" s="775"/>
      <c r="X20" s="1815"/>
      <c r="Y20" s="3204"/>
      <c r="Z20" s="1816"/>
      <c r="AA20" s="1813">
        <v>1</v>
      </c>
      <c r="AB20" s="1813">
        <v>1</v>
      </c>
      <c r="AC20" s="2675">
        <v>1</v>
      </c>
    </row>
    <row r="21" spans="1:29" ht="28.5">
      <c r="A21" s="428"/>
      <c r="B21" s="633"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11"/>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2675">
        <f t="shared" ref="AC21" si="10">D21/J21</f>
        <v>1</v>
      </c>
    </row>
    <row r="22" spans="1:29" ht="15">
      <c r="A22" s="428"/>
      <c r="B22" s="633"/>
      <c r="C22" s="2677"/>
      <c r="D22" s="448"/>
      <c r="E22" s="447"/>
      <c r="F22" s="448"/>
      <c r="G22" s="2612"/>
      <c r="H22" s="448"/>
      <c r="I22" s="2612"/>
      <c r="J22" s="448"/>
      <c r="K22" s="1385"/>
      <c r="L22" s="1142"/>
      <c r="M22" s="1133"/>
      <c r="N22" s="1133"/>
      <c r="O22" s="1133"/>
      <c r="P22" s="3211"/>
      <c r="Q22" s="1812"/>
      <c r="R22" s="774"/>
      <c r="S22" s="775"/>
      <c r="T22" s="774"/>
      <c r="U22" s="775"/>
      <c r="V22" s="774"/>
      <c r="W22" s="775"/>
      <c r="X22" s="1815"/>
      <c r="Y22" s="3204"/>
      <c r="Z22" s="1816"/>
      <c r="AA22" s="1813">
        <v>1</v>
      </c>
      <c r="AB22" s="1813">
        <v>1</v>
      </c>
      <c r="AC22" s="2675">
        <v>1</v>
      </c>
    </row>
    <row r="23" spans="1:29" ht="42.75">
      <c r="A23" s="428"/>
      <c r="B23" s="631"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11"/>
      <c r="Q23" s="1812" t="str">
        <f>B23</f>
        <v>环境质量</v>
      </c>
      <c r="R23" s="774" t="s">
        <v>17</v>
      </c>
      <c r="S23" s="775">
        <f>F23</f>
        <v>100</v>
      </c>
      <c r="T23" s="774" t="s">
        <v>17</v>
      </c>
      <c r="U23" s="775">
        <f>H23</f>
        <v>100</v>
      </c>
      <c r="V23" s="774" t="s">
        <v>17</v>
      </c>
      <c r="W23" s="775">
        <f>J23</f>
        <v>100</v>
      </c>
      <c r="X23" s="1815"/>
      <c r="Y23" s="3204"/>
      <c r="Z23" s="1816" t="str">
        <f>Q23</f>
        <v>环境质量</v>
      </c>
      <c r="AA23" s="1813">
        <f t="shared" si="3"/>
        <v>1</v>
      </c>
      <c r="AB23" s="1813">
        <f t="shared" si="4"/>
        <v>1</v>
      </c>
      <c r="AC23" s="2675">
        <f t="shared" si="5"/>
        <v>1</v>
      </c>
    </row>
    <row r="24" spans="1:29" ht="15">
      <c r="A24" s="428"/>
      <c r="B24" s="633"/>
      <c r="C24" s="2612"/>
      <c r="D24" s="448"/>
      <c r="E24" s="2605"/>
      <c r="F24" s="448"/>
      <c r="G24" s="2606"/>
      <c r="H24" s="448"/>
      <c r="I24" s="2606"/>
      <c r="J24" s="448"/>
      <c r="K24" s="615"/>
      <c r="L24" s="1142"/>
      <c r="M24" s="1133"/>
      <c r="N24" s="1133"/>
      <c r="O24" s="1133"/>
      <c r="P24" s="3211"/>
      <c r="Q24" s="1812"/>
      <c r="R24" s="774"/>
      <c r="S24" s="775"/>
      <c r="T24" s="774"/>
      <c r="U24" s="775"/>
      <c r="V24" s="774"/>
      <c r="W24" s="775"/>
      <c r="X24" s="1815"/>
      <c r="Y24" s="3204"/>
      <c r="Z24" s="1816"/>
      <c r="AA24" s="1813">
        <v>1</v>
      </c>
      <c r="AB24" s="1813">
        <v>1</v>
      </c>
      <c r="AC24" s="2675">
        <v>1</v>
      </c>
    </row>
    <row r="25" spans="1:29" ht="27">
      <c r="A25" s="404"/>
      <c r="B25" s="631" t="s">
        <v>2689</v>
      </c>
      <c r="C25" s="2616"/>
      <c r="D25" s="435">
        <v>100</v>
      </c>
      <c r="E25" s="434"/>
      <c r="F25" s="435">
        <f>SUMIF(87:87,E26,88:88)-SUMIF(87:87,C26,88:88)+100</f>
        <v>100</v>
      </c>
      <c r="G25" s="2616"/>
      <c r="H25" s="435">
        <f>SUMIF(87:87,G26,88:88)-SUMIF(87:87,C26,88:88)+100</f>
        <v>100</v>
      </c>
      <c r="I25" s="434"/>
      <c r="J25" s="435">
        <f>SUMIF(87:87,I26,88:88)-SUMIF(87:87,C26,88:88)+100</f>
        <v>100</v>
      </c>
      <c r="K25" s="614"/>
      <c r="L25" s="1142"/>
      <c r="M25" s="1133"/>
      <c r="N25" s="1133"/>
      <c r="O25" s="1133"/>
      <c r="P25" s="3211"/>
      <c r="Q25" s="1812" t="str">
        <f>B25</f>
        <v>毗邻道路的类型与等级</v>
      </c>
      <c r="R25" s="774" t="s">
        <v>17</v>
      </c>
      <c r="S25" s="775">
        <f>F25</f>
        <v>100</v>
      </c>
      <c r="T25" s="774" t="s">
        <v>17</v>
      </c>
      <c r="U25" s="775">
        <f>H25</f>
        <v>100</v>
      </c>
      <c r="V25" s="774" t="s">
        <v>17</v>
      </c>
      <c r="W25" s="775">
        <f>J25</f>
        <v>100</v>
      </c>
      <c r="X25" s="1815"/>
      <c r="Y25" s="3204"/>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2"/>
      <c r="M26" s="1133"/>
      <c r="N26" s="1133"/>
      <c r="O26" s="1133"/>
      <c r="P26" s="3211"/>
      <c r="Q26" s="1812"/>
      <c r="R26" s="774"/>
      <c r="S26" s="775"/>
      <c r="T26" s="774"/>
      <c r="U26" s="775"/>
      <c r="V26" s="774"/>
      <c r="W26" s="775"/>
      <c r="X26" s="1815"/>
      <c r="Y26" s="3204"/>
      <c r="Z26" s="1816"/>
      <c r="AA26" s="1813">
        <v>1</v>
      </c>
      <c r="AB26" s="1813">
        <v>1</v>
      </c>
      <c r="AC26" s="267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11"/>
      <c r="Q27" s="1812" t="str">
        <f t="shared" ref="Q27:Q47" si="11">B27</f>
        <v>楼层</v>
      </c>
      <c r="R27" s="774" t="s">
        <v>17</v>
      </c>
      <c r="S27" s="775">
        <f>F27</f>
        <v>100</v>
      </c>
      <c r="T27" s="774" t="s">
        <v>17</v>
      </c>
      <c r="U27" s="775">
        <f>H27</f>
        <v>100</v>
      </c>
      <c r="V27" s="774" t="s">
        <v>17</v>
      </c>
      <c r="W27" s="775">
        <f>J27</f>
        <v>100</v>
      </c>
      <c r="X27" s="1815"/>
      <c r="Y27" s="3204"/>
      <c r="Z27" s="1816" t="str">
        <f>Q27</f>
        <v>楼层</v>
      </c>
      <c r="AA27" s="1813">
        <f t="shared" si="3"/>
        <v>1</v>
      </c>
      <c r="AB27" s="1813">
        <f t="shared" si="4"/>
        <v>1</v>
      </c>
      <c r="AC27" s="2675">
        <f t="shared" si="5"/>
        <v>1</v>
      </c>
    </row>
    <row r="28" spans="1:29" s="117" customFormat="1" ht="15">
      <c r="A28" s="431"/>
      <c r="B28" s="631"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211"/>
      <c r="Q28" s="1797" t="str">
        <f t="shared" si="11"/>
        <v>朝向</v>
      </c>
      <c r="R28" s="770" t="s">
        <v>17</v>
      </c>
      <c r="S28" s="771">
        <f>F28</f>
        <v>100</v>
      </c>
      <c r="T28" s="770" t="s">
        <v>17</v>
      </c>
      <c r="U28" s="771">
        <f>H28</f>
        <v>100</v>
      </c>
      <c r="V28" s="770" t="s">
        <v>17</v>
      </c>
      <c r="W28" s="771">
        <f>J28</f>
        <v>100</v>
      </c>
      <c r="X28" s="772"/>
      <c r="Y28" s="3204"/>
      <c r="Z28" s="55" t="str">
        <f>Q28</f>
        <v>朝向</v>
      </c>
      <c r="AA28" s="1813">
        <f>D28/F28</f>
        <v>1</v>
      </c>
      <c r="AB28" s="1813">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211"/>
      <c r="Q29" s="1812">
        <f t="shared" si="11"/>
        <v>111</v>
      </c>
      <c r="R29" s="774" t="s">
        <v>17</v>
      </c>
      <c r="S29" s="775">
        <f t="shared" ref="S29:S47" si="12">F29</f>
        <v>100</v>
      </c>
      <c r="T29" s="774" t="s">
        <v>17</v>
      </c>
      <c r="U29" s="775">
        <f t="shared" ref="U29:U47" si="13">H29</f>
        <v>100</v>
      </c>
      <c r="V29" s="774" t="s">
        <v>17</v>
      </c>
      <c r="W29" s="775">
        <f t="shared" ref="W29:W47" si="14">J29</f>
        <v>100</v>
      </c>
      <c r="X29" s="1815"/>
      <c r="Y29" s="3204"/>
      <c r="Z29" s="1816">
        <f t="shared" ref="Z29:Z47" si="15">Q29</f>
        <v>111</v>
      </c>
      <c r="AA29" s="1813">
        <f t="shared" si="3"/>
        <v>1</v>
      </c>
      <c r="AB29" s="1813">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211"/>
      <c r="Q30" s="1812">
        <f t="shared" si="11"/>
        <v>111</v>
      </c>
      <c r="R30" s="774" t="s">
        <v>17</v>
      </c>
      <c r="S30" s="775">
        <f t="shared" si="12"/>
        <v>100</v>
      </c>
      <c r="T30" s="774" t="s">
        <v>17</v>
      </c>
      <c r="U30" s="775">
        <f t="shared" si="13"/>
        <v>100</v>
      </c>
      <c r="V30" s="774" t="s">
        <v>17</v>
      </c>
      <c r="W30" s="775">
        <f t="shared" si="14"/>
        <v>100</v>
      </c>
      <c r="X30" s="1815"/>
      <c r="Y30" s="3204"/>
      <c r="Z30" s="1816">
        <f t="shared" si="15"/>
        <v>111</v>
      </c>
      <c r="AA30" s="1813">
        <f t="shared" si="3"/>
        <v>1</v>
      </c>
      <c r="AB30" s="1813">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211"/>
      <c r="Q31" s="1812">
        <f t="shared" si="11"/>
        <v>111</v>
      </c>
      <c r="R31" s="774" t="s">
        <v>17</v>
      </c>
      <c r="S31" s="775">
        <f t="shared" si="12"/>
        <v>100</v>
      </c>
      <c r="T31" s="774" t="s">
        <v>17</v>
      </c>
      <c r="U31" s="775">
        <f t="shared" si="13"/>
        <v>100</v>
      </c>
      <c r="V31" s="774" t="s">
        <v>17</v>
      </c>
      <c r="W31" s="775">
        <f t="shared" si="14"/>
        <v>100</v>
      </c>
      <c r="X31" s="1815"/>
      <c r="Y31" s="3204"/>
      <c r="Z31" s="1816">
        <f t="shared" si="15"/>
        <v>111</v>
      </c>
      <c r="AA31" s="1813">
        <f t="shared" si="3"/>
        <v>1</v>
      </c>
      <c r="AB31" s="1813">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211"/>
      <c r="Q32" s="1812">
        <f t="shared" si="11"/>
        <v>111</v>
      </c>
      <c r="R32" s="774" t="s">
        <v>17</v>
      </c>
      <c r="S32" s="775">
        <f t="shared" si="12"/>
        <v>100</v>
      </c>
      <c r="T32" s="774" t="s">
        <v>17</v>
      </c>
      <c r="U32" s="775">
        <f t="shared" si="13"/>
        <v>100</v>
      </c>
      <c r="V32" s="774" t="s">
        <v>17</v>
      </c>
      <c r="W32" s="775">
        <f t="shared" si="14"/>
        <v>100</v>
      </c>
      <c r="X32" s="1815"/>
      <c r="Y32" s="3204"/>
      <c r="Z32" s="1816">
        <f t="shared" si="15"/>
        <v>111</v>
      </c>
      <c r="AA32" s="1813">
        <f t="shared" si="3"/>
        <v>1</v>
      </c>
      <c r="AB32" s="1813">
        <f t="shared" si="4"/>
        <v>1</v>
      </c>
      <c r="AC32" s="2675">
        <f t="shared" si="5"/>
        <v>1</v>
      </c>
    </row>
    <row r="33" spans="1:29" ht="15">
      <c r="A33" s="440" t="s">
        <v>2561</v>
      </c>
      <c r="B33" s="71" t="s">
        <v>2691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205" t="s">
        <v>2563</v>
      </c>
      <c r="Q33" s="1812" t="str">
        <f t="shared" si="11"/>
        <v>建筑类型</v>
      </c>
      <c r="R33" s="774" t="s">
        <v>17</v>
      </c>
      <c r="S33" s="775">
        <f t="shared" si="12"/>
        <v>100</v>
      </c>
      <c r="T33" s="774" t="s">
        <v>17</v>
      </c>
      <c r="U33" s="775">
        <f t="shared" si="13"/>
        <v>100</v>
      </c>
      <c r="V33" s="774" t="s">
        <v>17</v>
      </c>
      <c r="W33" s="775">
        <f t="shared" si="14"/>
        <v>100</v>
      </c>
      <c r="X33" s="1815"/>
      <c r="Y33" s="3208" t="s">
        <v>2563</v>
      </c>
      <c r="Z33" s="1816" t="str">
        <f t="shared" si="15"/>
        <v>建筑类型</v>
      </c>
      <c r="AA33" s="1813">
        <f t="shared" si="3"/>
        <v>1</v>
      </c>
      <c r="AB33" s="1813">
        <f t="shared" si="4"/>
        <v>1</v>
      </c>
      <c r="AC33" s="2675">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06"/>
      <c r="Q34" s="776" t="str">
        <f t="shared" si="11"/>
        <v>项目建筑规模</v>
      </c>
      <c r="R34" s="777" t="s">
        <v>17</v>
      </c>
      <c r="S34" s="778" t="e">
        <f t="shared" si="12"/>
        <v>#N/A</v>
      </c>
      <c r="T34" s="777" t="s">
        <v>17</v>
      </c>
      <c r="U34" s="778" t="e">
        <f t="shared" si="13"/>
        <v>#N/A</v>
      </c>
      <c r="V34" s="777" t="s">
        <v>17</v>
      </c>
      <c r="W34" s="778" t="e">
        <f t="shared" si="14"/>
        <v>#N/A</v>
      </c>
      <c r="X34" s="779"/>
      <c r="Y34" s="3208"/>
      <c r="Z34" s="780" t="str">
        <f t="shared" si="15"/>
        <v>项目建筑规模</v>
      </c>
      <c r="AA34" s="1813" t="e">
        <f t="shared" si="3"/>
        <v>#N/A</v>
      </c>
      <c r="AB34" s="1813" t="e">
        <f t="shared" si="4"/>
        <v>#N/A</v>
      </c>
      <c r="AC34" s="2675"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06"/>
      <c r="Q35" s="1812" t="str">
        <f t="shared" si="11"/>
        <v>建筑结构</v>
      </c>
      <c r="R35" s="774" t="s">
        <v>17</v>
      </c>
      <c r="S35" s="775">
        <f t="shared" si="12"/>
        <v>100</v>
      </c>
      <c r="T35" s="774" t="s">
        <v>17</v>
      </c>
      <c r="U35" s="775">
        <f t="shared" si="13"/>
        <v>100</v>
      </c>
      <c r="V35" s="774" t="s">
        <v>17</v>
      </c>
      <c r="W35" s="775">
        <f t="shared" si="14"/>
        <v>100</v>
      </c>
      <c r="X35" s="1815"/>
      <c r="Y35" s="3208"/>
      <c r="Z35" s="1816" t="str">
        <f t="shared" si="15"/>
        <v>建筑结构</v>
      </c>
      <c r="AA35" s="1813">
        <f t="shared" si="3"/>
        <v>1</v>
      </c>
      <c r="AB35" s="1813">
        <f t="shared" si="4"/>
        <v>1</v>
      </c>
      <c r="AC35" s="2675">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06"/>
      <c r="Q36" s="1812" t="str">
        <f t="shared" si="11"/>
        <v>公共部分装修</v>
      </c>
      <c r="R36" s="774" t="s">
        <v>17</v>
      </c>
      <c r="S36" s="775">
        <f t="shared" si="12"/>
        <v>100</v>
      </c>
      <c r="T36" s="774" t="s">
        <v>17</v>
      </c>
      <c r="U36" s="775">
        <f t="shared" si="13"/>
        <v>100</v>
      </c>
      <c r="V36" s="774" t="s">
        <v>17</v>
      </c>
      <c r="W36" s="775">
        <f t="shared" si="14"/>
        <v>100</v>
      </c>
      <c r="X36" s="1815"/>
      <c r="Y36" s="3208"/>
      <c r="Z36" s="1816" t="str">
        <f t="shared" si="15"/>
        <v>公共部分装修</v>
      </c>
      <c r="AA36" s="1813">
        <f t="shared" si="3"/>
        <v>1</v>
      </c>
      <c r="AB36" s="1813">
        <f t="shared" si="4"/>
        <v>1</v>
      </c>
      <c r="AC36" s="2675">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06"/>
      <c r="Q37" s="1812" t="str">
        <f t="shared" si="11"/>
        <v>成新度</v>
      </c>
      <c r="R37" s="774" t="s">
        <v>17</v>
      </c>
      <c r="S37" s="775" t="e">
        <f t="shared" si="12"/>
        <v>#N/A</v>
      </c>
      <c r="T37" s="774" t="s">
        <v>17</v>
      </c>
      <c r="U37" s="775" t="e">
        <f t="shared" si="13"/>
        <v>#N/A</v>
      </c>
      <c r="V37" s="774" t="s">
        <v>17</v>
      </c>
      <c r="W37" s="775" t="e">
        <f t="shared" si="14"/>
        <v>#N/A</v>
      </c>
      <c r="X37" s="1815"/>
      <c r="Y37" s="3208"/>
      <c r="Z37" s="1816" t="str">
        <f t="shared" si="15"/>
        <v>成新度</v>
      </c>
      <c r="AA37" s="1813" t="e">
        <f t="shared" si="3"/>
        <v>#N/A</v>
      </c>
      <c r="AB37" s="1813" t="e">
        <f t="shared" si="4"/>
        <v>#N/A</v>
      </c>
      <c r="AC37" s="2675"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06"/>
      <c r="Q38" s="1797"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72">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06" t="s">
        <v>2563</v>
      </c>
      <c r="Q39" s="1812" t="str">
        <f t="shared" si="11"/>
        <v>物业管理</v>
      </c>
      <c r="R39" s="774" t="s">
        <v>17</v>
      </c>
      <c r="S39" s="775">
        <f t="shared" si="12"/>
        <v>100</v>
      </c>
      <c r="T39" s="774" t="s">
        <v>17</v>
      </c>
      <c r="U39" s="775">
        <f t="shared" si="13"/>
        <v>100</v>
      </c>
      <c r="V39" s="774" t="s">
        <v>17</v>
      </c>
      <c r="W39" s="775">
        <f t="shared" si="14"/>
        <v>100</v>
      </c>
      <c r="X39" s="1815"/>
      <c r="Y39" s="3208" t="s">
        <v>2563</v>
      </c>
      <c r="Z39" s="1816" t="str">
        <f t="shared" si="15"/>
        <v>物业管理</v>
      </c>
      <c r="AA39" s="1813">
        <f t="shared" si="3"/>
        <v>1</v>
      </c>
      <c r="AB39" s="1813">
        <f t="shared" si="4"/>
        <v>1</v>
      </c>
      <c r="AC39" s="2675">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06"/>
      <c r="Q40" s="1812" t="str">
        <f t="shared" si="11"/>
        <v>市政基础设施</v>
      </c>
      <c r="R40" s="774" t="s">
        <v>17</v>
      </c>
      <c r="S40" s="775">
        <f t="shared" si="12"/>
        <v>100</v>
      </c>
      <c r="T40" s="774" t="s">
        <v>17</v>
      </c>
      <c r="U40" s="775">
        <f t="shared" si="13"/>
        <v>100</v>
      </c>
      <c r="V40" s="774" t="s">
        <v>17</v>
      </c>
      <c r="W40" s="775">
        <f t="shared" si="14"/>
        <v>100</v>
      </c>
      <c r="X40" s="1815"/>
      <c r="Y40" s="3208"/>
      <c r="Z40" s="1816" t="str">
        <f t="shared" si="15"/>
        <v>市政基础设施</v>
      </c>
      <c r="AA40" s="1813">
        <f t="shared" si="3"/>
        <v>1</v>
      </c>
      <c r="AB40" s="1813">
        <f t="shared" si="4"/>
        <v>1</v>
      </c>
      <c r="AC40" s="2675">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06"/>
      <c r="Q41" s="1812" t="str">
        <f t="shared" si="11"/>
        <v>层高</v>
      </c>
      <c r="R41" s="774" t="s">
        <v>17</v>
      </c>
      <c r="S41" s="775">
        <f t="shared" si="12"/>
        <v>100</v>
      </c>
      <c r="T41" s="774" t="s">
        <v>17</v>
      </c>
      <c r="U41" s="775">
        <f t="shared" si="13"/>
        <v>100</v>
      </c>
      <c r="V41" s="774" t="s">
        <v>17</v>
      </c>
      <c r="W41" s="775">
        <f t="shared" si="14"/>
        <v>100</v>
      </c>
      <c r="X41" s="1815"/>
      <c r="Y41" s="3208"/>
      <c r="Z41" s="1816" t="str">
        <f t="shared" si="15"/>
        <v>层高</v>
      </c>
      <c r="AA41" s="1813">
        <f t="shared" si="3"/>
        <v>1</v>
      </c>
      <c r="AB41" s="1813">
        <f t="shared" si="4"/>
        <v>1</v>
      </c>
      <c r="AC41" s="2675">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06"/>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3">
        <f t="shared" si="3"/>
        <v>1</v>
      </c>
      <c r="AB42" s="1813">
        <f t="shared" si="4"/>
        <v>1</v>
      </c>
      <c r="AC42" s="2675">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06"/>
      <c r="Q43" s="1812" t="str">
        <f t="shared" si="11"/>
        <v>内部装修</v>
      </c>
      <c r="R43" s="774" t="s">
        <v>17</v>
      </c>
      <c r="S43" s="775">
        <f t="shared" si="12"/>
        <v>100</v>
      </c>
      <c r="T43" s="774" t="s">
        <v>17</v>
      </c>
      <c r="U43" s="775">
        <f t="shared" si="13"/>
        <v>100</v>
      </c>
      <c r="V43" s="774" t="s">
        <v>17</v>
      </c>
      <c r="W43" s="775">
        <f t="shared" si="14"/>
        <v>100</v>
      </c>
      <c r="X43" s="1815"/>
      <c r="Y43" s="3208"/>
      <c r="Z43" s="1816" t="str">
        <f t="shared" si="15"/>
        <v>内部装修</v>
      </c>
      <c r="AA43" s="1813">
        <f t="shared" si="3"/>
        <v>1</v>
      </c>
      <c r="AB43" s="1813">
        <f t="shared" si="4"/>
        <v>1</v>
      </c>
      <c r="AC43" s="2675">
        <f t="shared" si="5"/>
        <v>1</v>
      </c>
    </row>
    <row r="44" spans="1:29" ht="15">
      <c r="A44" s="472"/>
      <c r="B44" s="422" t="s">
        <v>2574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2"/>
      <c r="M44" s="1133"/>
      <c r="N44" s="1133"/>
      <c r="O44" s="1133"/>
      <c r="P44" s="3206"/>
      <c r="Q44" s="1812" t="str">
        <f t="shared" si="11"/>
        <v>内部装修维护情况</v>
      </c>
      <c r="R44" s="774" t="s">
        <v>17</v>
      </c>
      <c r="S44" s="775">
        <f t="shared" si="12"/>
        <v>100</v>
      </c>
      <c r="T44" s="774" t="s">
        <v>17</v>
      </c>
      <c r="U44" s="775">
        <f t="shared" si="13"/>
        <v>100</v>
      </c>
      <c r="V44" s="774" t="s">
        <v>17</v>
      </c>
      <c r="W44" s="775">
        <f t="shared" si="14"/>
        <v>100</v>
      </c>
      <c r="X44" s="1815"/>
      <c r="Y44" s="3208"/>
      <c r="Z44" s="1816" t="str">
        <f t="shared" si="15"/>
        <v>内部装修维护情况</v>
      </c>
      <c r="AA44" s="1813">
        <f t="shared" si="3"/>
        <v>1</v>
      </c>
      <c r="AB44" s="1813">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06"/>
      <c r="Q45" s="1797">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06"/>
      <c r="Q46" s="1812">
        <f t="shared" si="11"/>
        <v>111</v>
      </c>
      <c r="R46" s="774" t="s">
        <v>17</v>
      </c>
      <c r="S46" s="775">
        <f t="shared" si="12"/>
        <v>100</v>
      </c>
      <c r="T46" s="774" t="s">
        <v>17</v>
      </c>
      <c r="U46" s="775">
        <f t="shared" si="13"/>
        <v>100</v>
      </c>
      <c r="V46" s="774" t="s">
        <v>17</v>
      </c>
      <c r="W46" s="775">
        <f t="shared" si="14"/>
        <v>100</v>
      </c>
      <c r="X46" s="1815"/>
      <c r="Y46" s="3208"/>
      <c r="Z46" s="1816">
        <f t="shared" si="15"/>
        <v>111</v>
      </c>
      <c r="AA46" s="1813">
        <f t="shared" si="3"/>
        <v>1</v>
      </c>
      <c r="AB46" s="1813">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07"/>
      <c r="Q47" s="1812">
        <f t="shared" si="11"/>
        <v>111</v>
      </c>
      <c r="R47" s="774" t="s">
        <v>17</v>
      </c>
      <c r="S47" s="775">
        <f t="shared" si="12"/>
        <v>100</v>
      </c>
      <c r="T47" s="774" t="s">
        <v>17</v>
      </c>
      <c r="U47" s="775">
        <f t="shared" si="13"/>
        <v>100</v>
      </c>
      <c r="V47" s="774" t="s">
        <v>17</v>
      </c>
      <c r="W47" s="775">
        <f t="shared" si="14"/>
        <v>100</v>
      </c>
      <c r="X47" s="1815"/>
      <c r="Y47" s="3209"/>
      <c r="Z47" s="1816">
        <f t="shared" si="15"/>
        <v>111</v>
      </c>
      <c r="AA47" s="1813">
        <f t="shared" si="3"/>
        <v>1</v>
      </c>
      <c r="AB47" s="1813">
        <f t="shared" si="4"/>
        <v>1</v>
      </c>
      <c r="AC47" s="2675">
        <f t="shared" si="5"/>
        <v>1</v>
      </c>
    </row>
    <row r="48" spans="1:29" ht="15">
      <c r="A48" s="479" t="s">
        <v>2575</v>
      </c>
      <c r="B48" s="480"/>
      <c r="C48" s="1409" t="s">
        <v>1</v>
      </c>
      <c r="D48" s="1410"/>
      <c r="E48" s="1411"/>
      <c r="F48" s="1412"/>
      <c r="G48" s="1413"/>
      <c r="H48" s="1414"/>
      <c r="I48" s="1411"/>
      <c r="J48" s="485"/>
      <c r="K48" s="783"/>
      <c r="L48" s="1145"/>
      <c r="M48" s="1133"/>
      <c r="N48" s="1133"/>
      <c r="O48" s="1133"/>
      <c r="P48" s="3212" t="str">
        <f>A48</f>
        <v>成交单价（元/平方米）</v>
      </c>
      <c r="Q48" s="3201"/>
      <c r="R48" s="3202">
        <f>E48</f>
        <v>0</v>
      </c>
      <c r="S48" s="3202"/>
      <c r="T48" s="3202">
        <f>G48</f>
        <v>0</v>
      </c>
      <c r="U48" s="3202"/>
      <c r="V48" s="3202">
        <f>I48</f>
        <v>0</v>
      </c>
      <c r="W48" s="3202"/>
      <c r="X48" s="446"/>
      <c r="Y48" s="781"/>
      <c r="Z48" s="446"/>
      <c r="AA48" s="446"/>
      <c r="AB48" s="446"/>
      <c r="AC48" s="630"/>
    </row>
    <row r="49" spans="1:29" ht="15.75" thickBot="1">
      <c r="A49" s="486" t="s">
        <v>2667</v>
      </c>
      <c r="B49" s="487"/>
      <c r="C49" s="1415" t="e">
        <f>R50</f>
        <v>#DIV/0!</v>
      </c>
      <c r="D49" s="1416"/>
      <c r="E49" s="1417" t="e">
        <f>R49</f>
        <v>#DIV/0!</v>
      </c>
      <c r="F49" s="1417"/>
      <c r="G49" s="1415" t="e">
        <f>T49</f>
        <v>#DIV/0!</v>
      </c>
      <c r="H49" s="1416"/>
      <c r="I49" s="1417" t="e">
        <f>V49</f>
        <v>#DIV/0!</v>
      </c>
      <c r="J49" s="489"/>
      <c r="K49" s="784"/>
      <c r="L49" s="1145"/>
      <c r="M49" s="1133"/>
      <c r="N49" s="1133"/>
      <c r="O49" s="1133"/>
      <c r="P49" s="3212"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446"/>
      <c r="Y49" s="446"/>
      <c r="Z49" s="446"/>
      <c r="AA49" s="446"/>
      <c r="AB49" s="446"/>
      <c r="AC49" s="630"/>
    </row>
    <row r="50" spans="1:29" ht="15.75" thickBot="1">
      <c r="A50" s="492" t="s">
        <v>2668</v>
      </c>
      <c r="B50" s="493"/>
      <c r="C50" s="1419" t="e">
        <f>R50</f>
        <v>#DIV/0!</v>
      </c>
      <c r="D50" s="1419"/>
      <c r="E50" s="1419"/>
      <c r="F50" s="1419"/>
      <c r="G50" s="1419"/>
      <c r="H50" s="1419"/>
      <c r="I50" s="1419"/>
      <c r="J50" s="494"/>
      <c r="K50" s="785"/>
      <c r="L50" s="1145"/>
      <c r="M50" s="1133"/>
      <c r="N50" s="1133"/>
      <c r="O50" s="1133"/>
      <c r="P50" s="3244" t="str">
        <f>A50</f>
        <v>估价对象XX用房的比较价值（楼面单价，元/平方米）</v>
      </c>
      <c r="Q50" s="3245"/>
      <c r="R50" s="3246" t="e">
        <f>IF(F1="售价",ROUND(AVERAGE(R49:V49),0),ROUND(AVERAGE(R49:V49),1))</f>
        <v>#DIV/0!</v>
      </c>
      <c r="S50" s="3246"/>
      <c r="T50" s="3246"/>
      <c r="U50" s="3246"/>
      <c r="V50" s="3246"/>
      <c r="W50" s="3246"/>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3" t="s">
        <v>2672</v>
      </c>
      <c r="B58" s="759"/>
      <c r="C58" s="764"/>
      <c r="D58" s="764"/>
      <c r="E58" s="764"/>
      <c r="F58" s="765"/>
      <c r="G58" s="765"/>
      <c r="H58" s="764"/>
      <c r="I58" s="764"/>
      <c r="J58" s="764"/>
      <c r="K58" s="766"/>
      <c r="L58" s="1163"/>
      <c r="M58" s="1161"/>
      <c r="N58" s="1161"/>
      <c r="O58" s="1161"/>
      <c r="P58" s="2682"/>
      <c r="Q58" s="504"/>
    </row>
    <row r="59" spans="1:29" s="508" customFormat="1" ht="15">
      <c r="A59" s="505" t="s">
        <v>2546</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83"/>
    </row>
    <row r="61" spans="1:29" s="117" customFormat="1" ht="15.75" thickBot="1">
      <c r="A61" s="515" t="s">
        <v>2583</v>
      </c>
      <c r="B61" s="516"/>
      <c r="C61" s="517"/>
      <c r="D61" s="518"/>
      <c r="E61" s="518"/>
      <c r="F61" s="518"/>
      <c r="G61" s="518"/>
      <c r="H61" s="518"/>
      <c r="I61" s="518"/>
      <c r="J61" s="518"/>
      <c r="K61" s="518"/>
      <c r="L61" s="518"/>
      <c r="M61" s="519"/>
      <c r="N61" s="518"/>
      <c r="O61" s="519"/>
      <c r="P61" s="2683"/>
      <c r="Q61" s="504"/>
    </row>
    <row r="62" spans="1:29" s="117" customFormat="1" ht="15">
      <c r="A62" s="521" t="s">
        <v>2548</v>
      </c>
      <c r="B62" s="510"/>
      <c r="C62" s="522" t="s">
        <v>2650</v>
      </c>
      <c r="D62" s="523"/>
      <c r="E62" s="523"/>
      <c r="F62" s="523"/>
      <c r="G62" s="523"/>
      <c r="H62" s="523"/>
      <c r="I62" s="523"/>
      <c r="J62" s="523"/>
      <c r="K62" s="523"/>
      <c r="L62" s="524"/>
      <c r="M62" s="525"/>
      <c r="N62" s="1153"/>
      <c r="O62" s="1153"/>
      <c r="P62" s="2684"/>
      <c r="Q62" s="504"/>
    </row>
    <row r="63" spans="1:29" s="117" customFormat="1" ht="15.75" thickBot="1">
      <c r="A63" s="521"/>
      <c r="B63" s="510"/>
      <c r="C63" s="511">
        <v>100</v>
      </c>
      <c r="D63" s="512"/>
      <c r="E63" s="512"/>
      <c r="F63" s="512"/>
      <c r="G63" s="512"/>
      <c r="H63" s="512"/>
      <c r="I63" s="512"/>
      <c r="J63" s="512"/>
      <c r="K63" s="512"/>
      <c r="L63" s="512"/>
      <c r="M63" s="514"/>
      <c r="N63" s="1153"/>
      <c r="O63" s="1153"/>
      <c r="P63" s="2683"/>
      <c r="Q63" s="504"/>
    </row>
    <row r="64" spans="1:29">
      <c r="A64" s="527" t="s">
        <v>2586</v>
      </c>
      <c r="B64" s="528" t="s">
        <v>2552</v>
      </c>
      <c r="C64" s="529">
        <f>C9</f>
        <v>0</v>
      </c>
      <c r="D64" s="530"/>
      <c r="E64" s="530"/>
      <c r="F64" s="530"/>
      <c r="G64" s="530"/>
      <c r="H64" s="530"/>
      <c r="I64" s="530"/>
      <c r="J64" s="530"/>
      <c r="K64" s="531"/>
      <c r="L64" s="532"/>
      <c r="M64" s="533"/>
      <c r="N64" s="1154"/>
      <c r="O64" s="1154"/>
      <c r="P64" s="2685"/>
      <c r="Q64" s="504"/>
    </row>
    <row r="65" spans="1:17" ht="15.75" thickBot="1">
      <c r="A65" s="534"/>
      <c r="B65" s="535"/>
      <c r="C65" s="536">
        <v>100</v>
      </c>
      <c r="D65" s="536"/>
      <c r="E65" s="536"/>
      <c r="F65" s="536"/>
      <c r="G65" s="536"/>
      <c r="H65" s="536"/>
      <c r="I65" s="536"/>
      <c r="J65" s="536"/>
      <c r="K65" s="536"/>
      <c r="L65" s="536"/>
      <c r="M65" s="537"/>
      <c r="N65" s="1155"/>
      <c r="O65" s="1155"/>
      <c r="P65" s="268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5"/>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5"/>
      <c r="Q68" s="504"/>
    </row>
    <row r="69" spans="1:17" ht="15">
      <c r="A69" s="534"/>
      <c r="B69" s="548"/>
      <c r="C69" s="549"/>
      <c r="D69" s="549"/>
      <c r="E69" s="549"/>
      <c r="F69" s="549"/>
      <c r="G69" s="549"/>
      <c r="H69" s="549"/>
      <c r="I69" s="549"/>
      <c r="J69" s="549"/>
      <c r="K69" s="550"/>
      <c r="L69" s="551"/>
      <c r="M69" s="552"/>
      <c r="N69" s="1154"/>
      <c r="O69" s="1154"/>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5.75" thickTop="1">
      <c r="A71" s="553"/>
      <c r="B71" s="538">
        <f>B12</f>
        <v>111</v>
      </c>
      <c r="C71" s="554"/>
      <c r="D71" s="554"/>
      <c r="E71" s="554"/>
      <c r="F71" s="554"/>
      <c r="G71" s="554"/>
      <c r="H71" s="555"/>
      <c r="I71" s="555"/>
      <c r="J71" s="555"/>
      <c r="K71" s="555"/>
      <c r="L71" s="556"/>
      <c r="M71" s="557"/>
      <c r="N71" s="1156"/>
      <c r="O71" s="1156"/>
      <c r="P71" s="2686"/>
      <c r="Q71" s="559"/>
    </row>
    <row r="72" spans="1:17" s="471" customFormat="1" ht="15.75" thickBot="1">
      <c r="A72" s="553"/>
      <c r="B72" s="543"/>
      <c r="C72" s="560"/>
      <c r="D72" s="536"/>
      <c r="E72" s="536"/>
      <c r="F72" s="536"/>
      <c r="G72" s="536"/>
      <c r="H72" s="536"/>
      <c r="I72" s="536"/>
      <c r="J72" s="536"/>
      <c r="K72" s="536"/>
      <c r="L72" s="536"/>
      <c r="M72" s="537"/>
      <c r="N72" s="1155"/>
      <c r="O72" s="1155"/>
      <c r="P72" s="2686"/>
      <c r="Q72" s="559"/>
    </row>
    <row r="73" spans="1:17" s="471" customFormat="1" ht="15.75" thickTop="1">
      <c r="A73" s="553"/>
      <c r="B73" s="538">
        <f>B13</f>
        <v>111</v>
      </c>
      <c r="C73" s="554"/>
      <c r="D73" s="554"/>
      <c r="E73" s="554"/>
      <c r="F73" s="554"/>
      <c r="G73" s="554"/>
      <c r="H73" s="555"/>
      <c r="I73" s="555"/>
      <c r="J73" s="555"/>
      <c r="K73" s="555"/>
      <c r="L73" s="556"/>
      <c r="M73" s="557"/>
      <c r="N73" s="1156"/>
      <c r="O73" s="1156"/>
      <c r="P73" s="2687"/>
      <c r="Q73" s="561"/>
    </row>
    <row r="74" spans="1:17" s="471" customFormat="1" ht="15.75" thickBot="1">
      <c r="A74" s="553"/>
      <c r="B74" s="543"/>
      <c r="C74" s="560"/>
      <c r="D74" s="560"/>
      <c r="E74" s="560"/>
      <c r="F74" s="560"/>
      <c r="G74" s="560"/>
      <c r="H74" s="562"/>
      <c r="I74" s="562"/>
      <c r="J74" s="562"/>
      <c r="K74" s="562"/>
      <c r="L74" s="562"/>
      <c r="M74" s="563"/>
      <c r="N74" s="1156"/>
      <c r="O74" s="1156"/>
      <c r="P74" s="2686"/>
      <c r="Q74" s="559"/>
    </row>
    <row r="75" spans="1:17" s="471" customFormat="1" ht="15.75" thickTop="1">
      <c r="A75" s="553"/>
      <c r="B75" s="546">
        <f>B14</f>
        <v>111</v>
      </c>
      <c r="C75" s="523"/>
      <c r="D75" s="523"/>
      <c r="E75" s="523"/>
      <c r="F75" s="523"/>
      <c r="G75" s="523"/>
      <c r="H75" s="564"/>
      <c r="I75" s="564"/>
      <c r="J75" s="564"/>
      <c r="K75" s="564"/>
      <c r="L75" s="565"/>
      <c r="M75" s="566"/>
      <c r="N75" s="1156"/>
      <c r="O75" s="1156"/>
      <c r="P75" s="2688"/>
      <c r="Q75" s="559"/>
    </row>
    <row r="76" spans="1:17" s="471" customFormat="1" ht="15.75" thickBot="1">
      <c r="A76" s="568"/>
      <c r="B76" s="569"/>
      <c r="C76" s="570"/>
      <c r="D76" s="570"/>
      <c r="E76" s="570"/>
      <c r="F76" s="570"/>
      <c r="G76" s="570"/>
      <c r="H76" s="571"/>
      <c r="I76" s="571"/>
      <c r="J76" s="571"/>
      <c r="K76" s="571"/>
      <c r="L76" s="571"/>
      <c r="M76" s="572"/>
      <c r="N76" s="1156"/>
      <c r="O76" s="1156"/>
      <c r="P76" s="268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5"/>
      <c r="Q82" s="504"/>
    </row>
    <row r="83" spans="1:17" ht="15.75" thickTop="1">
      <c r="A83" s="534"/>
      <c r="B83" s="546" t="s">
        <v>2687</v>
      </c>
      <c r="C83" s="660" t="s">
        <v>2673</v>
      </c>
      <c r="D83" s="660" t="s">
        <v>2674</v>
      </c>
      <c r="E83" s="660" t="s">
        <v>2675</v>
      </c>
      <c r="F83" s="660" t="s">
        <v>2676</v>
      </c>
      <c r="G83" s="660" t="s">
        <v>2677</v>
      </c>
      <c r="H83" s="539"/>
      <c r="I83" s="539"/>
      <c r="J83" s="539"/>
      <c r="K83" s="539"/>
      <c r="L83" s="539"/>
      <c r="M83" s="1384"/>
      <c r="N83" s="1155"/>
      <c r="O83" s="1155"/>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5"/>
      <c r="Q86" s="504"/>
    </row>
    <row r="87" spans="1:17" s="117" customFormat="1" ht="27.75" thickTop="1">
      <c r="A87" s="579"/>
      <c r="B87" s="538" t="s">
        <v>2697</v>
      </c>
      <c r="C87" s="554"/>
      <c r="D87" s="554"/>
      <c r="E87" s="554"/>
      <c r="F87" s="554"/>
      <c r="G87" s="554"/>
      <c r="H87" s="554"/>
      <c r="I87" s="554"/>
      <c r="J87" s="554"/>
      <c r="K87" s="554"/>
      <c r="L87" s="580"/>
      <c r="M87" s="581"/>
      <c r="N87" s="1153"/>
      <c r="O87" s="1153"/>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5"/>
      <c r="Q88" s="504"/>
    </row>
    <row r="89" spans="1:17" s="117" customFormat="1" ht="15.75" thickTop="1">
      <c r="A89" s="579"/>
      <c r="B89" s="538" t="str">
        <f>B27</f>
        <v>楼层</v>
      </c>
      <c r="C89" s="554"/>
      <c r="D89" s="554"/>
      <c r="E89" s="554"/>
      <c r="F89" s="2636"/>
      <c r="G89" s="554"/>
      <c r="H89" s="554"/>
      <c r="I89" s="554"/>
      <c r="J89" s="554"/>
      <c r="K89" s="554"/>
      <c r="L89" s="554"/>
      <c r="M89" s="581"/>
      <c r="N89" s="1153"/>
      <c r="O89" s="1153"/>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5"/>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5.75" thickTop="1">
      <c r="A93" s="534"/>
      <c r="B93" s="538">
        <f>B29</f>
        <v>111</v>
      </c>
      <c r="C93" s="554"/>
      <c r="D93" s="554"/>
      <c r="E93" s="554"/>
      <c r="F93" s="554"/>
      <c r="G93" s="554"/>
      <c r="H93" s="554"/>
      <c r="I93" s="554"/>
      <c r="J93" s="554"/>
      <c r="K93" s="554"/>
      <c r="L93" s="580"/>
      <c r="M93" s="581"/>
      <c r="N93" s="1154"/>
      <c r="O93" s="1154"/>
      <c r="P93" s="2685"/>
      <c r="Q93" s="504"/>
    </row>
    <row r="94" spans="1:17" ht="15.75" thickBot="1">
      <c r="A94" s="534"/>
      <c r="B94" s="543"/>
      <c r="C94" s="560"/>
      <c r="D94" s="536"/>
      <c r="E94" s="536"/>
      <c r="F94" s="536"/>
      <c r="G94" s="536"/>
      <c r="H94" s="536"/>
      <c r="I94" s="536"/>
      <c r="J94" s="536"/>
      <c r="K94" s="536"/>
      <c r="L94" s="536"/>
      <c r="M94" s="537"/>
      <c r="N94" s="1155"/>
      <c r="O94" s="1155"/>
      <c r="P94" s="2685"/>
      <c r="Q94" s="504"/>
    </row>
    <row r="95" spans="1:17" ht="15.75" thickTop="1">
      <c r="A95" s="534"/>
      <c r="B95" s="538">
        <f>B30</f>
        <v>111</v>
      </c>
      <c r="C95" s="554"/>
      <c r="D95" s="554"/>
      <c r="E95" s="554"/>
      <c r="F95" s="554"/>
      <c r="G95" s="583"/>
      <c r="H95" s="583"/>
      <c r="I95" s="583"/>
      <c r="J95" s="583"/>
      <c r="K95" s="584"/>
      <c r="L95" s="585"/>
      <c r="M95" s="586"/>
      <c r="N95" s="1154"/>
      <c r="O95" s="1154"/>
      <c r="P95" s="2685"/>
      <c r="Q95" s="504"/>
    </row>
    <row r="96" spans="1:17" ht="15.75" thickBot="1">
      <c r="A96" s="534"/>
      <c r="B96" s="543"/>
      <c r="C96" s="560"/>
      <c r="D96" s="560"/>
      <c r="E96" s="560"/>
      <c r="F96" s="560"/>
      <c r="G96" s="536"/>
      <c r="H96" s="536"/>
      <c r="I96" s="536"/>
      <c r="J96" s="536"/>
      <c r="K96" s="536"/>
      <c r="L96" s="536"/>
      <c r="M96" s="537"/>
      <c r="N96" s="1155"/>
      <c r="O96" s="1155"/>
      <c r="P96" s="2685"/>
      <c r="Q96" s="504"/>
    </row>
    <row r="97" spans="1:17" ht="15.75" thickTop="1">
      <c r="A97" s="534"/>
      <c r="B97" s="538">
        <f>B31</f>
        <v>111</v>
      </c>
      <c r="C97" s="554"/>
      <c r="D97" s="554"/>
      <c r="E97" s="554"/>
      <c r="F97" s="554"/>
      <c r="G97" s="583"/>
      <c r="H97" s="583"/>
      <c r="I97" s="583"/>
      <c r="J97" s="583"/>
      <c r="K97" s="584"/>
      <c r="L97" s="585"/>
      <c r="M97" s="586"/>
      <c r="N97" s="1154"/>
      <c r="O97" s="1154"/>
      <c r="P97" s="2685"/>
      <c r="Q97" s="504"/>
    </row>
    <row r="98" spans="1:17" ht="15.75" thickBot="1">
      <c r="A98" s="534"/>
      <c r="B98" s="543"/>
      <c r="C98" s="560"/>
      <c r="D98" s="536"/>
      <c r="E98" s="536"/>
      <c r="F98" s="536"/>
      <c r="G98" s="536"/>
      <c r="H98" s="536"/>
      <c r="I98" s="536"/>
      <c r="J98" s="536"/>
      <c r="K98" s="536"/>
      <c r="L98" s="536"/>
      <c r="M98" s="537"/>
      <c r="N98" s="1155"/>
      <c r="O98" s="1155"/>
      <c r="P98" s="2685"/>
      <c r="Q98" s="504"/>
    </row>
    <row r="99" spans="1:17" ht="15.75" thickTop="1">
      <c r="A99" s="534"/>
      <c r="B99" s="546">
        <f>B32</f>
        <v>111</v>
      </c>
      <c r="C99" s="523"/>
      <c r="D99" s="523"/>
      <c r="E99" s="523"/>
      <c r="F99" s="523"/>
      <c r="G99" s="587"/>
      <c r="H99" s="587"/>
      <c r="I99" s="587"/>
      <c r="J99" s="587"/>
      <c r="K99" s="588"/>
      <c r="L99" s="589"/>
      <c r="M99" s="590"/>
      <c r="N99" s="1154"/>
      <c r="O99" s="1154"/>
      <c r="P99" s="2685"/>
      <c r="Q99" s="504"/>
    </row>
    <row r="100" spans="1:17" ht="15.75" thickBot="1">
      <c r="A100" s="2637"/>
      <c r="B100" s="569"/>
      <c r="C100" s="570"/>
      <c r="D100" s="570"/>
      <c r="E100" s="570"/>
      <c r="F100" s="570"/>
      <c r="G100" s="591"/>
      <c r="H100" s="591"/>
      <c r="I100" s="591"/>
      <c r="J100" s="591"/>
      <c r="K100" s="591"/>
      <c r="L100" s="591"/>
      <c r="M100" s="592"/>
      <c r="N100" s="1155"/>
      <c r="O100" s="1155"/>
      <c r="P100" s="2685"/>
      <c r="Q100" s="504"/>
    </row>
    <row r="101" spans="1:17">
      <c r="A101" s="527" t="s">
        <v>2561</v>
      </c>
      <c r="B101" s="528" t="s">
        <v>2610</v>
      </c>
      <c r="C101" s="530"/>
      <c r="D101" s="530"/>
      <c r="E101" s="530"/>
      <c r="F101" s="530"/>
      <c r="G101" s="530"/>
      <c r="H101" s="530"/>
      <c r="I101" s="530"/>
      <c r="J101" s="530"/>
      <c r="K101" s="531"/>
      <c r="L101" s="532"/>
      <c r="M101" s="533"/>
      <c r="N101" s="1154"/>
      <c r="O101" s="1154"/>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5"/>
      <c r="Q103" s="504"/>
    </row>
    <row r="104" spans="1:17" s="471" customFormat="1">
      <c r="A104" s="593"/>
      <c r="B104" s="594"/>
      <c r="C104" s="595"/>
      <c r="D104" s="595"/>
      <c r="E104" s="595"/>
      <c r="F104" s="595"/>
      <c r="G104" s="595"/>
      <c r="H104" s="595"/>
      <c r="I104" s="595"/>
      <c r="J104" s="596"/>
      <c r="K104" s="596"/>
      <c r="L104" s="597"/>
      <c r="M104" s="598"/>
      <c r="N104" s="1156"/>
      <c r="O104" s="1156"/>
      <c r="P104" s="2686"/>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6"/>
      <c r="Q105" s="559"/>
    </row>
    <row r="106" spans="1:17" ht="15" thickTop="1">
      <c r="A106" s="599"/>
      <c r="B106" s="538" t="s">
        <v>2612</v>
      </c>
      <c r="C106" s="554"/>
      <c r="D106" s="554"/>
      <c r="E106" s="583"/>
      <c r="F106" s="583"/>
      <c r="G106" s="583"/>
      <c r="H106" s="583"/>
      <c r="I106" s="583"/>
      <c r="J106" s="583"/>
      <c r="K106" s="584"/>
      <c r="L106" s="585"/>
      <c r="M106" s="586"/>
      <c r="N106" s="1154"/>
      <c r="O106" s="1154"/>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5"/>
      <c r="Q107" s="504"/>
    </row>
    <row r="108" spans="1:17" ht="15" thickTop="1">
      <c r="A108" s="599"/>
      <c r="B108" s="538" t="s">
        <v>2614</v>
      </c>
      <c r="C108" s="554"/>
      <c r="D108" s="554"/>
      <c r="E108" s="554"/>
      <c r="F108" s="583"/>
      <c r="G108" s="583"/>
      <c r="H108" s="583"/>
      <c r="I108" s="583"/>
      <c r="J108" s="583"/>
      <c r="K108" s="584"/>
      <c r="L108" s="585"/>
      <c r="M108" s="586"/>
      <c r="N108" s="1154"/>
      <c r="O108" s="1154"/>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5"/>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6"/>
      <c r="Q114" s="559"/>
    </row>
    <row r="115" spans="1:17" ht="15" thickTop="1">
      <c r="A115" s="599"/>
      <c r="B115" s="538" t="s">
        <v>2615</v>
      </c>
      <c r="C115" s="554"/>
      <c r="D115" s="554"/>
      <c r="E115" s="583"/>
      <c r="F115" s="583"/>
      <c r="G115" s="583"/>
      <c r="H115" s="583"/>
      <c r="I115" s="583"/>
      <c r="J115" s="583"/>
      <c r="K115" s="584"/>
      <c r="L115" s="585"/>
      <c r="M115" s="586"/>
      <c r="N115" s="1154"/>
      <c r="O115" s="1154"/>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5"/>
      <c r="Q116" s="504"/>
    </row>
    <row r="117" spans="1:17" ht="15" thickTop="1">
      <c r="A117" s="599"/>
      <c r="B117" s="538" t="s">
        <v>2616</v>
      </c>
      <c r="C117" s="554"/>
      <c r="D117" s="554"/>
      <c r="E117" s="554"/>
      <c r="F117" s="554"/>
      <c r="G117" s="554"/>
      <c r="H117" s="583"/>
      <c r="I117" s="583"/>
      <c r="J117" s="583"/>
      <c r="K117" s="584"/>
      <c r="L117" s="585"/>
      <c r="M117" s="586"/>
      <c r="N117" s="1154"/>
      <c r="O117" s="1154"/>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5"/>
      <c r="Q118" s="504"/>
    </row>
    <row r="119" spans="1:17" ht="15" thickTop="1">
      <c r="A119" s="599"/>
      <c r="B119" s="636" t="s">
        <v>2699</v>
      </c>
      <c r="C119" s="583"/>
      <c r="D119" s="583"/>
      <c r="E119" s="583"/>
      <c r="F119" s="583"/>
      <c r="G119" s="583"/>
      <c r="H119" s="583"/>
      <c r="I119" s="583"/>
      <c r="J119" s="583"/>
      <c r="K119" s="583"/>
      <c r="L119" s="2690"/>
      <c r="M119" s="2691"/>
      <c r="N119" s="1155"/>
      <c r="O119" s="1155"/>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5"/>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6"/>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2618</v>
      </c>
      <c r="C123" s="554"/>
      <c r="D123" s="554"/>
      <c r="E123" s="554"/>
      <c r="F123" s="583"/>
      <c r="G123" s="583"/>
      <c r="H123" s="583"/>
      <c r="I123" s="583"/>
      <c r="J123" s="583"/>
      <c r="K123" s="584"/>
      <c r="L123" s="585"/>
      <c r="M123" s="586"/>
      <c r="N123" s="1154"/>
      <c r="O123" s="1154"/>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5"/>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6"/>
      <c r="Q128" s="559"/>
    </row>
    <row r="129" spans="1:17" ht="15" thickTop="1">
      <c r="A129" s="599"/>
      <c r="B129" s="538">
        <f>B46</f>
        <v>111</v>
      </c>
      <c r="C129" s="554"/>
      <c r="D129" s="554"/>
      <c r="E129" s="554"/>
      <c r="F129" s="554"/>
      <c r="G129" s="583"/>
      <c r="H129" s="583"/>
      <c r="I129" s="583"/>
      <c r="J129" s="583"/>
      <c r="K129" s="584"/>
      <c r="L129" s="585"/>
      <c r="M129" s="586"/>
      <c r="N129" s="1154"/>
      <c r="O129" s="1154"/>
      <c r="P129" s="2685"/>
      <c r="Q129" s="504"/>
    </row>
    <row r="130" spans="1:17" ht="15.75" thickBot="1">
      <c r="A130" s="534"/>
      <c r="B130" s="543"/>
      <c r="C130" s="560"/>
      <c r="D130" s="560"/>
      <c r="E130" s="560"/>
      <c r="F130" s="560"/>
      <c r="G130" s="536"/>
      <c r="H130" s="536"/>
      <c r="I130" s="536"/>
      <c r="J130" s="536"/>
      <c r="K130" s="536"/>
      <c r="L130" s="536"/>
      <c r="M130" s="537"/>
      <c r="N130" s="1155"/>
      <c r="O130" s="1155"/>
      <c r="P130" s="2685"/>
      <c r="Q130" s="504"/>
    </row>
    <row r="131" spans="1:17" ht="15" thickTop="1">
      <c r="A131" s="599"/>
      <c r="B131" s="546">
        <f>B47</f>
        <v>111</v>
      </c>
      <c r="C131" s="523"/>
      <c r="D131" s="523"/>
      <c r="E131" s="523"/>
      <c r="F131" s="523"/>
      <c r="G131" s="587"/>
      <c r="H131" s="587"/>
      <c r="I131" s="587"/>
      <c r="J131" s="587"/>
      <c r="K131" s="523"/>
      <c r="L131" s="524"/>
      <c r="M131" s="590"/>
      <c r="N131" s="1154"/>
      <c r="O131" s="1154"/>
      <c r="P131" s="2685"/>
      <c r="Q131" s="504"/>
    </row>
    <row r="132" spans="1:17" ht="15.75"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北京市朝阳区东风乡农工商公司：</v>
      </c>
    </row>
    <row r="4" spans="1:1" ht="54">
      <c r="A4" s="1950" t="str">
        <f>"受贵公司委托，我公司对"&amp;项目基本情况!S1&amp;"进行了预评估。"</f>
        <v>受贵公司委托，我公司对北京市北京市朝阳区东风乡绿隔地区第四宗地J-7地块7#商业楼-1层-101等6套房屋、J-8地块8#商业楼-2层001等49套房屋商业、库房、车位用房房地产抵押价值进行了预评估。</v>
      </c>
    </row>
    <row r="5" spans="1:1" ht="18.75">
      <c r="A5" s="1951" t="s">
        <v>1613</v>
      </c>
    </row>
    <row r="6" spans="1:1" ht="18.75">
      <c r="A6" s="1952" t="s">
        <v>1614</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东风乡绿隔地区第四宗地J-7地块7#商业楼-1层-101等6套房屋、J-8地块8#商业楼-2层001等49套房屋商业、库房、车位用房房地产，为所有。根据《商品房预售合同》[合同编号：Y974000]，估价对象（分摊）出让国有建设用地使用权面积为0平方米，建筑面积为30726.57平方米。</v>
      </c>
    </row>
    <row r="8" spans="1:1" ht="57.75">
      <c r="A8" s="1953" t="s">
        <v>1615</v>
      </c>
    </row>
    <row r="9" spans="1:1" ht="18.75">
      <c r="A9" s="1952" t="s">
        <v>1616</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东风乡绿隔地区第四宗地J-7地块7#商业楼-1层-101等6套房屋、J-8地块8#商业楼-2层001等49套房屋商业、库房、车位用房房地产,属开发建设的商业项目，该项目尚在开发建设中。根据《商品房预售合同》[合同编号：Y974000]，估价对象（分摊）出让国有建设用地使用权面积为0平方米，规划建筑面积为30726.57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为估价委托人在向北京农商银行总行朝阳支行 办理贷款手续过程中，确定房地产抵押贷款额度提供参考依据而评估房地产抵押价值。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2018年1月30日（评估专业人员实地查勘之日）</v>
      </c>
    </row>
    <row r="16" spans="1:1" ht="18.75">
      <c r="A16" s="1955" t="s">
        <v>1620</v>
      </c>
    </row>
    <row r="17" spans="1:1" ht="75">
      <c r="A17" s="1950" t="s">
        <v>1621</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30日，估价对象规划用途为商业、地下车库，土地取得方式为出让，出让国有建设用地使用权剩余土地使用年限为商业26.6年、车库36.6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26.6年、车库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1610</v>
      </c>
    </row>
    <row r="24" spans="1:1" ht="18">
      <c r="A24" s="1957" t="str">
        <f>"本次评估采用的主估价方法为"&amp;结果表!K4&amp;"和"&amp;结果表!L4&amp;"。"</f>
        <v>本次评估采用的主估价方法为成本法和收益法。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0" t="s">
        <v>2700</v>
      </c>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7"/>
      <c r="D2" s="1126" t="e">
        <f ca="1">SUMIF(INDIRECT("'"&amp;F2&amp;"'"&amp;"!A:A"),"承租人权益价值",INDIRECT("'"&amp;F2&amp;"'"&amp;"!c:c"))</f>
        <v>#REF!</v>
      </c>
      <c r="E2" s="2588" t="s">
        <v>2326</v>
      </c>
      <c r="F2" s="2589"/>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30726.569999999992</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216" t="s">
        <v>2644</v>
      </c>
      <c r="D4" s="3217"/>
      <c r="E4" s="3218" t="s">
        <v>2645</v>
      </c>
      <c r="F4" s="3219"/>
      <c r="G4" s="3216" t="s">
        <v>2646</v>
      </c>
      <c r="H4" s="3217"/>
      <c r="I4" s="3216" t="s">
        <v>2647</v>
      </c>
      <c r="J4" s="3217"/>
      <c r="K4" s="610" t="s">
        <v>2648</v>
      </c>
      <c r="L4" s="1132"/>
      <c r="M4" s="1133"/>
      <c r="N4" s="1133"/>
      <c r="O4" s="1133"/>
      <c r="P4" s="3220" t="s">
        <v>2649</v>
      </c>
      <c r="Q4" s="3221"/>
      <c r="R4" s="3226" t="s">
        <v>2645</v>
      </c>
      <c r="S4" s="3227"/>
      <c r="T4" s="3226" t="s">
        <v>2646</v>
      </c>
      <c r="U4" s="3227"/>
      <c r="V4" s="3232" t="s">
        <v>2647</v>
      </c>
      <c r="W4" s="3232"/>
      <c r="X4" s="1815"/>
      <c r="Y4" s="3226" t="s">
        <v>2649</v>
      </c>
      <c r="Z4" s="3227"/>
      <c r="AA4" s="3213" t="s">
        <v>2645</v>
      </c>
      <c r="AB4" s="3214" t="s">
        <v>2646</v>
      </c>
      <c r="AC4" s="3213" t="s">
        <v>2647</v>
      </c>
    </row>
    <row r="5" spans="1:29" ht="15">
      <c r="A5" s="404"/>
      <c r="B5" s="405"/>
      <c r="C5" s="3235" t="s">
        <v>2540</v>
      </c>
      <c r="D5" s="3236"/>
      <c r="E5" s="3242" t="s">
        <v>2541</v>
      </c>
      <c r="F5" s="3243"/>
      <c r="G5" s="3235" t="s">
        <v>2542</v>
      </c>
      <c r="H5" s="3236"/>
      <c r="I5" s="3235" t="s">
        <v>2543</v>
      </c>
      <c r="J5" s="3236"/>
      <c r="K5" s="610"/>
      <c r="L5" s="1132"/>
      <c r="M5" s="1133"/>
      <c r="N5" s="1133"/>
      <c r="O5" s="1133"/>
      <c r="P5" s="3222"/>
      <c r="Q5" s="3223"/>
      <c r="R5" s="3228"/>
      <c r="S5" s="3229"/>
      <c r="T5" s="3228"/>
      <c r="U5" s="3229"/>
      <c r="V5" s="3232"/>
      <c r="W5" s="3232"/>
      <c r="X5" s="1815"/>
      <c r="Y5" s="3228"/>
      <c r="Z5" s="3229"/>
      <c r="AA5" s="3214"/>
      <c r="AB5" s="3214"/>
      <c r="AC5" s="3214"/>
    </row>
    <row r="6" spans="1:29" ht="15.75" thickBot="1">
      <c r="A6" s="406"/>
      <c r="B6" s="407"/>
      <c r="C6" s="3233" t="s">
        <v>2544</v>
      </c>
      <c r="D6" s="3234"/>
      <c r="E6" s="3240" t="s">
        <v>2544</v>
      </c>
      <c r="F6" s="3241"/>
      <c r="G6" s="3233" t="s">
        <v>2544</v>
      </c>
      <c r="H6" s="3234"/>
      <c r="I6" s="3233" t="s">
        <v>2544</v>
      </c>
      <c r="J6" s="3234"/>
      <c r="K6" s="610" t="s">
        <v>2545</v>
      </c>
      <c r="L6" s="1132"/>
      <c r="M6" s="1133"/>
      <c r="N6" s="1133"/>
      <c r="O6" s="1133"/>
      <c r="P6" s="3224"/>
      <c r="Q6" s="3225"/>
      <c r="R6" s="3228"/>
      <c r="S6" s="3229"/>
      <c r="T6" s="3230"/>
      <c r="U6" s="3231"/>
      <c r="V6" s="3232"/>
      <c r="W6" s="3232"/>
      <c r="X6" s="1815"/>
      <c r="Y6" s="3230"/>
      <c r="Z6" s="3231"/>
      <c r="AA6" s="3215"/>
      <c r="AB6" s="3215"/>
      <c r="AC6" s="3215"/>
    </row>
    <row r="7" spans="1:29" s="117" customFormat="1" ht="15.75" thickBot="1">
      <c r="A7" s="408" t="s">
        <v>2546</v>
      </c>
      <c r="B7" s="409"/>
      <c r="C7" s="410">
        <f>'数据-取费表'!B2</f>
        <v>43130</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37" t="s">
        <v>2547</v>
      </c>
      <c r="Q7" s="3239"/>
      <c r="R7" s="770" t="s">
        <v>17</v>
      </c>
      <c r="S7" s="771">
        <f t="shared" ref="S7:S15" si="0">F7</f>
        <v>0</v>
      </c>
      <c r="T7" s="770" t="s">
        <v>17</v>
      </c>
      <c r="U7" s="771">
        <f t="shared" ref="U7:U15" si="1">H7</f>
        <v>0</v>
      </c>
      <c r="V7" s="770" t="s">
        <v>17</v>
      </c>
      <c r="W7" s="771">
        <f t="shared" ref="W7:W15" si="2">J7</f>
        <v>0</v>
      </c>
      <c r="X7" s="772"/>
      <c r="Y7" s="3237" t="s">
        <v>2547</v>
      </c>
      <c r="Z7" s="3238"/>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37" t="s">
        <v>2550</v>
      </c>
      <c r="Q8" s="3238"/>
      <c r="R8" s="770" t="s">
        <v>17</v>
      </c>
      <c r="S8" s="771">
        <f t="shared" si="0"/>
        <v>0</v>
      </c>
      <c r="T8" s="770" t="s">
        <v>17</v>
      </c>
      <c r="U8" s="771">
        <f t="shared" si="1"/>
        <v>0</v>
      </c>
      <c r="V8" s="770" t="s">
        <v>17</v>
      </c>
      <c r="W8" s="771">
        <f t="shared" si="2"/>
        <v>0</v>
      </c>
      <c r="X8" s="772"/>
      <c r="Y8" s="3237" t="s">
        <v>2550</v>
      </c>
      <c r="Z8" s="3238"/>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01" t="s">
        <v>2553</v>
      </c>
      <c r="Q9" s="1797" t="str">
        <f t="shared" ref="Q9:Q15" si="6">B9</f>
        <v>用途</v>
      </c>
      <c r="R9" s="770" t="s">
        <v>17</v>
      </c>
      <c r="S9" s="771">
        <f t="shared" si="0"/>
        <v>100</v>
      </c>
      <c r="T9" s="770" t="s">
        <v>17</v>
      </c>
      <c r="U9" s="771">
        <f t="shared" si="1"/>
        <v>100</v>
      </c>
      <c r="V9" s="770" t="s">
        <v>17</v>
      </c>
      <c r="W9" s="771">
        <f t="shared" si="2"/>
        <v>100</v>
      </c>
      <c r="X9" s="772"/>
      <c r="Y9" s="302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01"/>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01"/>
      <c r="Q11" s="179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201"/>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201"/>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201"/>
      <c r="Q14" s="1797">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2557</v>
      </c>
      <c r="B15" s="69" t="s">
        <v>2701</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03" t="s">
        <v>2558</v>
      </c>
      <c r="Q15" s="1812" t="str">
        <f t="shared" si="6"/>
        <v>产业集聚程度</v>
      </c>
      <c r="R15" s="774" t="s">
        <v>17</v>
      </c>
      <c r="S15" s="775">
        <f t="shared" si="0"/>
        <v>100</v>
      </c>
      <c r="T15" s="774" t="s">
        <v>17</v>
      </c>
      <c r="U15" s="775">
        <f t="shared" si="1"/>
        <v>100</v>
      </c>
      <c r="V15" s="774" t="s">
        <v>17</v>
      </c>
      <c r="W15" s="775">
        <f t="shared" si="2"/>
        <v>100</v>
      </c>
      <c r="X15" s="1815"/>
      <c r="Y15" s="3203"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04"/>
      <c r="Q16" s="1812"/>
      <c r="R16" s="774"/>
      <c r="S16" s="775"/>
      <c r="T16" s="774"/>
      <c r="U16" s="775"/>
      <c r="V16" s="774"/>
      <c r="W16" s="775"/>
      <c r="X16" s="1815"/>
      <c r="Y16" s="3204"/>
      <c r="Z16" s="1816"/>
      <c r="AA16" s="1813">
        <v>1</v>
      </c>
      <c r="AB16" s="1813">
        <v>1</v>
      </c>
      <c r="AC16" s="1813">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04"/>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2"/>
      <c r="M18" s="1133"/>
      <c r="N18" s="1133"/>
      <c r="O18" s="1141"/>
      <c r="P18" s="3204"/>
      <c r="Q18" s="1812"/>
      <c r="R18" s="774"/>
      <c r="S18" s="775"/>
      <c r="T18" s="774"/>
      <c r="U18" s="775"/>
      <c r="V18" s="774"/>
      <c r="W18" s="775"/>
      <c r="X18" s="1815"/>
      <c r="Y18" s="3204"/>
      <c r="Z18" s="1816"/>
      <c r="AA18" s="1813">
        <v>1</v>
      </c>
      <c r="AB18" s="1813">
        <v>1</v>
      </c>
      <c r="AC18" s="1813">
        <v>1</v>
      </c>
    </row>
    <row r="19" spans="1:29" ht="42.75">
      <c r="A19" s="428"/>
      <c r="B19" s="451" t="s">
        <v>2686</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04"/>
      <c r="Q19" s="1812" t="str">
        <f>B19</f>
        <v>公共配套设施</v>
      </c>
      <c r="R19" s="774" t="s">
        <v>17</v>
      </c>
      <c r="S19" s="775">
        <f>F19</f>
        <v>100</v>
      </c>
      <c r="T19" s="774" t="s">
        <v>17</v>
      </c>
      <c r="U19" s="775">
        <f>H19</f>
        <v>100</v>
      </c>
      <c r="V19" s="774" t="s">
        <v>17</v>
      </c>
      <c r="W19" s="775">
        <f>J19</f>
        <v>100</v>
      </c>
      <c r="X19" s="1815"/>
      <c r="Y19" s="3204"/>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2"/>
      <c r="M20" s="1133"/>
      <c r="N20" s="1133"/>
      <c r="O20" s="1141"/>
      <c r="P20" s="3204"/>
      <c r="Q20" s="1812"/>
      <c r="R20" s="774"/>
      <c r="S20" s="775"/>
      <c r="T20" s="774"/>
      <c r="U20" s="775"/>
      <c r="V20" s="774"/>
      <c r="W20" s="775"/>
      <c r="X20" s="1815"/>
      <c r="Y20" s="3204"/>
      <c r="Z20" s="1816"/>
      <c r="AA20" s="1813">
        <v>1</v>
      </c>
      <c r="AB20" s="1813">
        <v>1</v>
      </c>
      <c r="AC20" s="1813">
        <v>1</v>
      </c>
    </row>
    <row r="21" spans="1:29" ht="28.5">
      <c r="A21" s="428"/>
      <c r="B21" s="1386" t="s">
        <v>2687</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04"/>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2"/>
      <c r="M22" s="1133"/>
      <c r="N22" s="1133"/>
      <c r="O22" s="1141"/>
      <c r="P22" s="3204"/>
      <c r="Q22" s="1812"/>
      <c r="R22" s="774"/>
      <c r="S22" s="775"/>
      <c r="T22" s="774"/>
      <c r="U22" s="775"/>
      <c r="V22" s="774"/>
      <c r="W22" s="775"/>
      <c r="X22" s="1815"/>
      <c r="Y22" s="3204"/>
      <c r="Z22" s="1816"/>
      <c r="AA22" s="1813">
        <v>1</v>
      </c>
      <c r="AB22" s="1813">
        <v>1</v>
      </c>
      <c r="AC22" s="1813">
        <v>1</v>
      </c>
    </row>
    <row r="23" spans="1:29" ht="71.25">
      <c r="A23" s="428"/>
      <c r="B23" s="451" t="s">
        <v>2688</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04"/>
      <c r="Q23" s="1812" t="str">
        <f>B23</f>
        <v>环境质量</v>
      </c>
      <c r="R23" s="774" t="s">
        <v>17</v>
      </c>
      <c r="S23" s="775">
        <f>F23</f>
        <v>100</v>
      </c>
      <c r="T23" s="774" t="s">
        <v>17</v>
      </c>
      <c r="U23" s="775">
        <f>H23</f>
        <v>100</v>
      </c>
      <c r="V23" s="774" t="s">
        <v>17</v>
      </c>
      <c r="W23" s="775">
        <f>J23</f>
        <v>100</v>
      </c>
      <c r="X23" s="1815"/>
      <c r="Y23" s="3204"/>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2"/>
      <c r="M24" s="1133"/>
      <c r="N24" s="1133"/>
      <c r="O24" s="1141"/>
      <c r="P24" s="3204"/>
      <c r="Q24" s="1812"/>
      <c r="R24" s="774"/>
      <c r="S24" s="775"/>
      <c r="T24" s="774"/>
      <c r="U24" s="775"/>
      <c r="V24" s="774"/>
      <c r="W24" s="775"/>
      <c r="X24" s="1815"/>
      <c r="Y24" s="320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04"/>
      <c r="Q25" s="1812">
        <f>B25</f>
        <v>111</v>
      </c>
      <c r="R25" s="774" t="s">
        <v>17</v>
      </c>
      <c r="S25" s="775">
        <f>F25</f>
        <v>100</v>
      </c>
      <c r="T25" s="774" t="s">
        <v>17</v>
      </c>
      <c r="U25" s="775">
        <f>H25</f>
        <v>100</v>
      </c>
      <c r="V25" s="774" t="s">
        <v>17</v>
      </c>
      <c r="W25" s="775">
        <f>J25</f>
        <v>100</v>
      </c>
      <c r="X25" s="1815"/>
      <c r="Y25" s="320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04"/>
      <c r="Q26" s="1812">
        <f t="shared" ref="Q26:Q40" si="11">B26</f>
        <v>111</v>
      </c>
      <c r="R26" s="774" t="s">
        <v>17</v>
      </c>
      <c r="S26" s="775">
        <f>F26</f>
        <v>100</v>
      </c>
      <c r="T26" s="774" t="s">
        <v>17</v>
      </c>
      <c r="U26" s="775">
        <f>H26</f>
        <v>100</v>
      </c>
      <c r="V26" s="774" t="s">
        <v>17</v>
      </c>
      <c r="W26" s="775">
        <f>J26</f>
        <v>100</v>
      </c>
      <c r="X26" s="1815"/>
      <c r="Y26" s="320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04"/>
      <c r="Q27" s="1797">
        <f t="shared" si="11"/>
        <v>111</v>
      </c>
      <c r="R27" s="770" t="s">
        <v>17</v>
      </c>
      <c r="S27" s="771">
        <f>F27</f>
        <v>100</v>
      </c>
      <c r="T27" s="770" t="s">
        <v>17</v>
      </c>
      <c r="U27" s="771">
        <f>H27</f>
        <v>100</v>
      </c>
      <c r="V27" s="770" t="s">
        <v>17</v>
      </c>
      <c r="W27" s="771">
        <f>J27</f>
        <v>100</v>
      </c>
      <c r="X27" s="772"/>
      <c r="Y27" s="320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04"/>
      <c r="Q28" s="1812">
        <f t="shared" si="11"/>
        <v>111</v>
      </c>
      <c r="R28" s="774" t="s">
        <v>17</v>
      </c>
      <c r="S28" s="775">
        <f t="shared" ref="S28:S40" si="12">F28</f>
        <v>100</v>
      </c>
      <c r="T28" s="774" t="s">
        <v>17</v>
      </c>
      <c r="U28" s="775">
        <f t="shared" ref="U28:U40" si="13">H28</f>
        <v>100</v>
      </c>
      <c r="V28" s="774" t="s">
        <v>17</v>
      </c>
      <c r="W28" s="775">
        <f t="shared" ref="W28:W40" si="14">J28</f>
        <v>100</v>
      </c>
      <c r="X28" s="1815"/>
      <c r="Y28" s="3204"/>
      <c r="Z28" s="1816">
        <f t="shared" ref="Z28:Z40" si="15">Q28</f>
        <v>111</v>
      </c>
      <c r="AA28" s="1813">
        <f t="shared" si="3"/>
        <v>1</v>
      </c>
      <c r="AB28" s="1813">
        <f t="shared" si="4"/>
        <v>1</v>
      </c>
      <c r="AC28" s="1813">
        <f t="shared" si="5"/>
        <v>1</v>
      </c>
    </row>
    <row r="29" spans="1:29" ht="15">
      <c r="A29" s="466" t="s">
        <v>2561</v>
      </c>
      <c r="B29" s="71" t="s">
        <v>2691</v>
      </c>
      <c r="C29" s="2680"/>
      <c r="D29" s="467">
        <v>100</v>
      </c>
      <c r="E29" s="2680"/>
      <c r="F29" s="461">
        <f>SUMIF(88:88,E29,89:89)-SUMIF(88:88,C29,89:89)+100</f>
        <v>100</v>
      </c>
      <c r="G29" s="2680"/>
      <c r="H29" s="435">
        <f>SUMIF(88:88,G29,89:89)-SUMIF(88:88,C29,89:89)+100</f>
        <v>100</v>
      </c>
      <c r="I29" s="2680"/>
      <c r="J29" s="467">
        <f>SUMIF(88:88,I29,89:89)-SUMIF(88:88,C29,89:89)+100</f>
        <v>100</v>
      </c>
      <c r="K29" s="612"/>
      <c r="L29" s="1142"/>
      <c r="M29" s="1133"/>
      <c r="N29" s="1133"/>
      <c r="O29" s="1141"/>
      <c r="P29" s="3259" t="s">
        <v>2563</v>
      </c>
      <c r="Q29" s="1812" t="str">
        <f t="shared" si="11"/>
        <v>建筑类型</v>
      </c>
      <c r="R29" s="774" t="s">
        <v>17</v>
      </c>
      <c r="S29" s="775">
        <f t="shared" si="12"/>
        <v>100</v>
      </c>
      <c r="T29" s="774" t="s">
        <v>17</v>
      </c>
      <c r="U29" s="775">
        <f t="shared" si="13"/>
        <v>100</v>
      </c>
      <c r="V29" s="774" t="s">
        <v>17</v>
      </c>
      <c r="W29" s="775">
        <f t="shared" si="14"/>
        <v>100</v>
      </c>
      <c r="X29" s="1815"/>
      <c r="Y29" s="3208"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08"/>
      <c r="Q31" s="1812" t="str">
        <f t="shared" si="11"/>
        <v>建筑结构</v>
      </c>
      <c r="R31" s="774" t="s">
        <v>17</v>
      </c>
      <c r="S31" s="775">
        <f t="shared" si="12"/>
        <v>100</v>
      </c>
      <c r="T31" s="774" t="s">
        <v>17</v>
      </c>
      <c r="U31" s="775">
        <f t="shared" si="13"/>
        <v>100</v>
      </c>
      <c r="V31" s="774" t="s">
        <v>17</v>
      </c>
      <c r="W31" s="775">
        <f t="shared" si="14"/>
        <v>100</v>
      </c>
      <c r="X31" s="1815"/>
      <c r="Y31" s="3208"/>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08"/>
      <c r="Q32" s="1812" t="str">
        <f t="shared" si="11"/>
        <v>公共部分装修</v>
      </c>
      <c r="R32" s="774" t="s">
        <v>17</v>
      </c>
      <c r="S32" s="775">
        <f t="shared" si="12"/>
        <v>100</v>
      </c>
      <c r="T32" s="774" t="s">
        <v>17</v>
      </c>
      <c r="U32" s="775">
        <f t="shared" si="13"/>
        <v>100</v>
      </c>
      <c r="V32" s="774" t="s">
        <v>17</v>
      </c>
      <c r="W32" s="775">
        <f t="shared" si="14"/>
        <v>100</v>
      </c>
      <c r="X32" s="1815"/>
      <c r="Y32" s="3208"/>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08"/>
      <c r="Q33" s="1812" t="str">
        <f t="shared" si="11"/>
        <v>成新度</v>
      </c>
      <c r="R33" s="774" t="s">
        <v>17</v>
      </c>
      <c r="S33" s="775" t="e">
        <f t="shared" si="12"/>
        <v>#N/A</v>
      </c>
      <c r="T33" s="774" t="s">
        <v>17</v>
      </c>
      <c r="U33" s="775" t="e">
        <f t="shared" si="13"/>
        <v>#N/A</v>
      </c>
      <c r="V33" s="774" t="s">
        <v>17</v>
      </c>
      <c r="W33" s="775" t="e">
        <f t="shared" si="14"/>
        <v>#N/A</v>
      </c>
      <c r="X33" s="1815"/>
      <c r="Y33" s="3208"/>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08"/>
      <c r="Q34" s="1797"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08" t="s">
        <v>2563</v>
      </c>
      <c r="Q35" s="1812" t="str">
        <f t="shared" si="11"/>
        <v>市政基础设施</v>
      </c>
      <c r="R35" s="774" t="s">
        <v>17</v>
      </c>
      <c r="S35" s="775">
        <f t="shared" si="12"/>
        <v>100</v>
      </c>
      <c r="T35" s="774" t="s">
        <v>17</v>
      </c>
      <c r="U35" s="775">
        <f t="shared" si="13"/>
        <v>100</v>
      </c>
      <c r="V35" s="774" t="s">
        <v>17</v>
      </c>
      <c r="W35" s="775">
        <f t="shared" si="14"/>
        <v>100</v>
      </c>
      <c r="X35" s="1815"/>
      <c r="Y35" s="3208"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08"/>
      <c r="Q36" s="1812" t="str">
        <f t="shared" si="11"/>
        <v>内部装修</v>
      </c>
      <c r="R36" s="774" t="s">
        <v>17</v>
      </c>
      <c r="S36" s="775">
        <f t="shared" si="12"/>
        <v>100</v>
      </c>
      <c r="T36" s="774" t="s">
        <v>17</v>
      </c>
      <c r="U36" s="775">
        <f t="shared" si="13"/>
        <v>100</v>
      </c>
      <c r="V36" s="774" t="s">
        <v>17</v>
      </c>
      <c r="W36" s="775">
        <f t="shared" si="14"/>
        <v>100</v>
      </c>
      <c r="X36" s="1815"/>
      <c r="Y36" s="3208"/>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08"/>
      <c r="Q37" s="1812" t="str">
        <f t="shared" si="11"/>
        <v>内部装修状况</v>
      </c>
      <c r="R37" s="774" t="s">
        <v>17</v>
      </c>
      <c r="S37" s="775">
        <f t="shared" si="12"/>
        <v>100</v>
      </c>
      <c r="T37" s="774" t="s">
        <v>17</v>
      </c>
      <c r="U37" s="775">
        <f t="shared" si="13"/>
        <v>100</v>
      </c>
      <c r="V37" s="774" t="s">
        <v>17</v>
      </c>
      <c r="W37" s="775">
        <f t="shared" si="14"/>
        <v>100</v>
      </c>
      <c r="X37" s="1815"/>
      <c r="Y37" s="320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08"/>
      <c r="Q39" s="1812">
        <f t="shared" si="11"/>
        <v>111</v>
      </c>
      <c r="R39" s="774" t="s">
        <v>17</v>
      </c>
      <c r="S39" s="775">
        <f t="shared" si="12"/>
        <v>100</v>
      </c>
      <c r="T39" s="774" t="s">
        <v>17</v>
      </c>
      <c r="U39" s="775">
        <f t="shared" si="13"/>
        <v>100</v>
      </c>
      <c r="V39" s="774" t="s">
        <v>17</v>
      </c>
      <c r="W39" s="775">
        <f t="shared" si="14"/>
        <v>100</v>
      </c>
      <c r="X39" s="1815"/>
      <c r="Y39" s="3208"/>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09"/>
      <c r="Q40" s="1812">
        <f t="shared" si="11"/>
        <v>111</v>
      </c>
      <c r="R40" s="774" t="s">
        <v>17</v>
      </c>
      <c r="S40" s="775">
        <f t="shared" si="12"/>
        <v>100</v>
      </c>
      <c r="T40" s="774" t="s">
        <v>17</v>
      </c>
      <c r="U40" s="775">
        <f t="shared" si="13"/>
        <v>100</v>
      </c>
      <c r="V40" s="774" t="s">
        <v>17</v>
      </c>
      <c r="W40" s="775">
        <f t="shared" si="14"/>
        <v>100</v>
      </c>
      <c r="X40" s="1815"/>
      <c r="Y40" s="3209"/>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3"/>
      <c r="L41" s="1145"/>
      <c r="M41" s="1146"/>
      <c r="N41" s="1133"/>
      <c r="O41" s="1146"/>
      <c r="P41" s="3201" t="str">
        <f>A41</f>
        <v>成交单价（元/平方米）</v>
      </c>
      <c r="Q41" s="3201"/>
      <c r="R41" s="3202">
        <f>E41</f>
        <v>0</v>
      </c>
      <c r="S41" s="3202"/>
      <c r="T41" s="3202">
        <f>G41</f>
        <v>0</v>
      </c>
      <c r="U41" s="3202"/>
      <c r="V41" s="3202">
        <f>I41</f>
        <v>0</v>
      </c>
      <c r="W41" s="3202"/>
      <c r="X41" s="759"/>
      <c r="Y41" s="781"/>
      <c r="Z41" s="759"/>
      <c r="AA41" s="759"/>
      <c r="AB41" s="759"/>
      <c r="AC41" s="759"/>
    </row>
    <row r="42" spans="1:29" ht="15.75" thickBot="1">
      <c r="A42" s="486" t="s">
        <v>2667</v>
      </c>
      <c r="B42" s="487"/>
      <c r="C42" s="1415" t="e">
        <f>R43</f>
        <v>#DIV/0!</v>
      </c>
      <c r="D42" s="1416"/>
      <c r="E42" s="1417" t="e">
        <f>R42</f>
        <v>#DIV/0!</v>
      </c>
      <c r="F42" s="1417"/>
      <c r="G42" s="1415" t="e">
        <f>T42</f>
        <v>#DIV/0!</v>
      </c>
      <c r="H42" s="1416"/>
      <c r="I42" s="1417" t="e">
        <f>V42</f>
        <v>#DIV/0!</v>
      </c>
      <c r="J42" s="1416"/>
      <c r="K42" s="784"/>
      <c r="L42" s="1145"/>
      <c r="M42" s="1146"/>
      <c r="N42" s="1133"/>
      <c r="O42" s="1146"/>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59"/>
      <c r="Y42" s="759"/>
      <c r="Z42" s="759"/>
      <c r="AA42" s="759"/>
      <c r="AB42" s="759"/>
      <c r="AC42" s="759"/>
    </row>
    <row r="43" spans="1:29" ht="15.75" thickBot="1">
      <c r="A43" s="492" t="s">
        <v>2668</v>
      </c>
      <c r="B43" s="493"/>
      <c r="C43" s="1419" t="e">
        <f>R43</f>
        <v>#DIV/0!</v>
      </c>
      <c r="D43" s="1419"/>
      <c r="E43" s="1419"/>
      <c r="F43" s="1419"/>
      <c r="G43" s="1419"/>
      <c r="H43" s="1419"/>
      <c r="I43" s="1419"/>
      <c r="J43" s="1419"/>
      <c r="K43" s="785"/>
      <c r="L43" s="1145"/>
      <c r="M43" s="1146"/>
      <c r="N43" s="1146"/>
      <c r="O43" s="1146"/>
      <c r="P43" s="3198" t="str">
        <f>A43</f>
        <v>估价对象XX用房的比较价值（楼面单价，元/平方米）</v>
      </c>
      <c r="Q43" s="3199"/>
      <c r="R43" s="3200" t="e">
        <f>IF(F1="售价",ROUND(AVERAGE(R42:V42),0),ROUND(AVERAGE(R42:V42),1))</f>
        <v>#DIV/0!</v>
      </c>
      <c r="S43" s="3200"/>
      <c r="T43" s="3200"/>
      <c r="U43" s="3200"/>
      <c r="V43" s="3200"/>
      <c r="W43" s="3200"/>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2672</v>
      </c>
      <c r="B51" s="759"/>
      <c r="C51" s="764"/>
      <c r="D51" s="764"/>
      <c r="E51" s="764"/>
      <c r="F51" s="765"/>
      <c r="G51" s="765"/>
      <c r="H51" s="764"/>
      <c r="I51" s="764"/>
      <c r="J51" s="764"/>
      <c r="K51" s="1162"/>
      <c r="L51" s="1163"/>
      <c r="M51" s="1161"/>
      <c r="N51" s="1161"/>
      <c r="O51" s="1161"/>
      <c r="P51" s="503"/>
      <c r="Q51" s="504"/>
    </row>
    <row r="52" spans="1:17" s="508" customFormat="1" ht="15">
      <c r="A52" s="505" t="s">
        <v>2546</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7"/>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5"/>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2643</v>
      </c>
      <c r="B4" s="402"/>
      <c r="C4" s="3216" t="s">
        <v>2644</v>
      </c>
      <c r="D4" s="3217"/>
      <c r="E4" s="3218" t="s">
        <v>2645</v>
      </c>
      <c r="F4" s="3219"/>
      <c r="G4" s="3216" t="s">
        <v>2646</v>
      </c>
      <c r="H4" s="3217"/>
      <c r="I4" s="3216" t="s">
        <v>2647</v>
      </c>
      <c r="J4" s="3217"/>
      <c r="K4" s="610" t="s">
        <v>2648</v>
      </c>
      <c r="L4" s="1132"/>
      <c r="M4" s="1133"/>
      <c r="N4" s="1133"/>
      <c r="O4" s="1133"/>
      <c r="P4" s="3220" t="s">
        <v>2649</v>
      </c>
      <c r="Q4" s="3221"/>
      <c r="R4" s="3226" t="s">
        <v>2645</v>
      </c>
      <c r="S4" s="3227"/>
      <c r="T4" s="3226" t="s">
        <v>2646</v>
      </c>
      <c r="U4" s="3227"/>
      <c r="V4" s="3232" t="s">
        <v>2647</v>
      </c>
      <c r="W4" s="3232"/>
      <c r="X4" s="1815"/>
      <c r="Y4" s="3226" t="s">
        <v>2649</v>
      </c>
      <c r="Z4" s="3227"/>
      <c r="AA4" s="3213" t="s">
        <v>2645</v>
      </c>
      <c r="AB4" s="3214" t="s">
        <v>2646</v>
      </c>
      <c r="AC4" s="3213" t="s">
        <v>2647</v>
      </c>
    </row>
    <row r="5" spans="1:29" ht="15">
      <c r="A5" s="404"/>
      <c r="B5" s="405"/>
      <c r="C5" s="3235" t="s">
        <v>2540</v>
      </c>
      <c r="D5" s="3236"/>
      <c r="E5" s="3242" t="s">
        <v>2541</v>
      </c>
      <c r="F5" s="3243"/>
      <c r="G5" s="3235" t="s">
        <v>2542</v>
      </c>
      <c r="H5" s="3236"/>
      <c r="I5" s="3235" t="s">
        <v>2543</v>
      </c>
      <c r="J5" s="3236"/>
      <c r="K5" s="610"/>
      <c r="L5" s="1132"/>
      <c r="M5" s="1133"/>
      <c r="N5" s="1133"/>
      <c r="O5" s="1133"/>
      <c r="P5" s="3222"/>
      <c r="Q5" s="3223"/>
      <c r="R5" s="3228"/>
      <c r="S5" s="3229"/>
      <c r="T5" s="3228"/>
      <c r="U5" s="3229"/>
      <c r="V5" s="3232"/>
      <c r="W5" s="3232"/>
      <c r="X5" s="1815"/>
      <c r="Y5" s="3228"/>
      <c r="Z5" s="3229"/>
      <c r="AA5" s="3214"/>
      <c r="AB5" s="3214"/>
      <c r="AC5" s="3214"/>
    </row>
    <row r="6" spans="1:29" ht="15.75" thickBot="1">
      <c r="A6" s="406"/>
      <c r="B6" s="407"/>
      <c r="C6" s="3233" t="s">
        <v>2544</v>
      </c>
      <c r="D6" s="3234"/>
      <c r="E6" s="3240" t="s">
        <v>2544</v>
      </c>
      <c r="F6" s="3241"/>
      <c r="G6" s="3233" t="s">
        <v>2544</v>
      </c>
      <c r="H6" s="3234"/>
      <c r="I6" s="3233" t="s">
        <v>2544</v>
      </c>
      <c r="J6" s="3234"/>
      <c r="K6" s="610" t="s">
        <v>2545</v>
      </c>
      <c r="L6" s="1132"/>
      <c r="M6" s="1133"/>
      <c r="N6" s="1133"/>
      <c r="O6" s="1133"/>
      <c r="P6" s="3224"/>
      <c r="Q6" s="3225"/>
      <c r="R6" s="3228"/>
      <c r="S6" s="3229"/>
      <c r="T6" s="3230"/>
      <c r="U6" s="3231"/>
      <c r="V6" s="3232"/>
      <c r="W6" s="3232"/>
      <c r="X6" s="1815"/>
      <c r="Y6" s="3230"/>
      <c r="Z6" s="3231"/>
      <c r="AA6" s="3215"/>
      <c r="AB6" s="3215"/>
      <c r="AC6" s="3215"/>
    </row>
    <row r="7" spans="1:29" s="117" customFormat="1" ht="15.75" thickBot="1">
      <c r="A7" s="408" t="s">
        <v>2546</v>
      </c>
      <c r="B7" s="409"/>
      <c r="C7" s="410">
        <f>'数据-取费表'!B2</f>
        <v>43130</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37" t="s">
        <v>2547</v>
      </c>
      <c r="Q7" s="3239"/>
      <c r="R7" s="770" t="s">
        <v>17</v>
      </c>
      <c r="S7" s="771">
        <f t="shared" ref="S7:S14" si="0">F7</f>
        <v>0</v>
      </c>
      <c r="T7" s="770" t="s">
        <v>17</v>
      </c>
      <c r="U7" s="771">
        <f t="shared" ref="U7:U14" si="1">H7</f>
        <v>0</v>
      </c>
      <c r="V7" s="770" t="s">
        <v>17</v>
      </c>
      <c r="W7" s="771">
        <f t="shared" ref="W7:W14" si="2">J7</f>
        <v>0</v>
      </c>
      <c r="X7" s="772"/>
      <c r="Y7" s="3237" t="s">
        <v>2547</v>
      </c>
      <c r="Z7" s="3238"/>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37" t="s">
        <v>2550</v>
      </c>
      <c r="Q8" s="3238"/>
      <c r="R8" s="770" t="s">
        <v>17</v>
      </c>
      <c r="S8" s="771">
        <f t="shared" si="0"/>
        <v>0</v>
      </c>
      <c r="T8" s="770" t="s">
        <v>17</v>
      </c>
      <c r="U8" s="771">
        <f t="shared" si="1"/>
        <v>0</v>
      </c>
      <c r="V8" s="770" t="s">
        <v>17</v>
      </c>
      <c r="W8" s="771">
        <f t="shared" si="2"/>
        <v>0</v>
      </c>
      <c r="X8" s="772"/>
      <c r="Y8" s="3237" t="s">
        <v>2550</v>
      </c>
      <c r="Z8" s="3238"/>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1" t="s">
        <v>2553</v>
      </c>
      <c r="Q9" s="1797" t="str">
        <f t="shared" ref="Q9:Q14" si="6">B9</f>
        <v>用途</v>
      </c>
      <c r="R9" s="770" t="s">
        <v>17</v>
      </c>
      <c r="S9" s="771">
        <f t="shared" si="0"/>
        <v>100</v>
      </c>
      <c r="T9" s="770" t="s">
        <v>17</v>
      </c>
      <c r="U9" s="771">
        <f t="shared" si="1"/>
        <v>100</v>
      </c>
      <c r="V9" s="770" t="s">
        <v>17</v>
      </c>
      <c r="W9" s="771">
        <f t="shared" si="2"/>
        <v>100</v>
      </c>
      <c r="X9" s="772"/>
      <c r="Y9" s="3029"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1"/>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1"/>
      <c r="Q11" s="1797">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1"/>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1"/>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01" t="s">
        <v>2557</v>
      </c>
      <c r="B14" s="629" t="s">
        <v>2707</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03" t="s">
        <v>2558</v>
      </c>
      <c r="Q14" s="1812" t="str">
        <f t="shared" si="6"/>
        <v>交通便捷度</v>
      </c>
      <c r="R14" s="774" t="s">
        <v>17</v>
      </c>
      <c r="S14" s="775">
        <f t="shared" si="0"/>
        <v>100</v>
      </c>
      <c r="T14" s="774" t="s">
        <v>17</v>
      </c>
      <c r="U14" s="775">
        <f t="shared" si="1"/>
        <v>100</v>
      </c>
      <c r="V14" s="774" t="s">
        <v>17</v>
      </c>
      <c r="W14" s="775">
        <f t="shared" si="2"/>
        <v>100</v>
      </c>
      <c r="X14" s="1815"/>
      <c r="Y14" s="3203" t="s">
        <v>2558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04"/>
      <c r="Q15" s="1812"/>
      <c r="R15" s="774"/>
      <c r="S15" s="775"/>
      <c r="T15" s="774"/>
      <c r="U15" s="775"/>
      <c r="V15" s="774"/>
      <c r="W15" s="775"/>
      <c r="X15" s="1815"/>
      <c r="Y15" s="3204"/>
      <c r="Z15" s="1816"/>
      <c r="AA15" s="1813">
        <v>1</v>
      </c>
      <c r="AB15" s="1813">
        <v>1</v>
      </c>
      <c r="AC15" s="1813">
        <v>1</v>
      </c>
    </row>
    <row r="16" spans="1:29" ht="42.75">
      <c r="A16" s="404"/>
      <c r="B16" s="631" t="s">
        <v>2686</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04"/>
      <c r="Q16" s="1812" t="str">
        <f>B16</f>
        <v>公共配套设施</v>
      </c>
      <c r="R16" s="774" t="s">
        <v>17</v>
      </c>
      <c r="S16" s="775">
        <f>F16</f>
        <v>100</v>
      </c>
      <c r="T16" s="774" t="s">
        <v>17</v>
      </c>
      <c r="U16" s="775">
        <f>H16</f>
        <v>100</v>
      </c>
      <c r="V16" s="774" t="s">
        <v>17</v>
      </c>
      <c r="W16" s="775">
        <f>J16</f>
        <v>100</v>
      </c>
      <c r="X16" s="1815"/>
      <c r="Y16" s="3204"/>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2"/>
      <c r="M17" s="1133"/>
      <c r="N17" s="1133"/>
      <c r="O17" s="1133"/>
      <c r="P17" s="3204"/>
      <c r="Q17" s="1812"/>
      <c r="R17" s="774"/>
      <c r="S17" s="775"/>
      <c r="T17" s="774"/>
      <c r="U17" s="775"/>
      <c r="V17" s="774"/>
      <c r="W17" s="775"/>
      <c r="X17" s="1815"/>
      <c r="Y17" s="3204"/>
      <c r="Z17" s="1816"/>
      <c r="AA17" s="1813">
        <v>1</v>
      </c>
      <c r="AB17" s="1813">
        <v>1</v>
      </c>
      <c r="AC17" s="1813">
        <v>1</v>
      </c>
    </row>
    <row r="18" spans="1:29" ht="28.5">
      <c r="A18" s="404"/>
      <c r="B18" s="633" t="s">
        <v>2687</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04"/>
      <c r="Q18" s="1812" t="str">
        <f>B18</f>
        <v>基础设施水平</v>
      </c>
      <c r="R18" s="774" t="s">
        <v>17</v>
      </c>
      <c r="S18" s="775">
        <f>F18</f>
        <v>100</v>
      </c>
      <c r="T18" s="774" t="s">
        <v>17</v>
      </c>
      <c r="U18" s="775">
        <f>H18</f>
        <v>100</v>
      </c>
      <c r="V18" s="774" t="s">
        <v>17</v>
      </c>
      <c r="W18" s="775">
        <f>J18</f>
        <v>100</v>
      </c>
      <c r="X18" s="1815"/>
      <c r="Y18" s="3204"/>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2"/>
      <c r="M19" s="1133"/>
      <c r="N19" s="1133"/>
      <c r="O19" s="1133"/>
      <c r="P19" s="3204"/>
      <c r="Q19" s="1812"/>
      <c r="R19" s="774"/>
      <c r="S19" s="775"/>
      <c r="T19" s="774"/>
      <c r="U19" s="775"/>
      <c r="V19" s="774"/>
      <c r="W19" s="775"/>
      <c r="X19" s="1815"/>
      <c r="Y19" s="3204"/>
      <c r="Z19" s="1816"/>
      <c r="AA19" s="1813">
        <v>1</v>
      </c>
      <c r="AB19" s="1813">
        <v>1</v>
      </c>
      <c r="AC19" s="1813">
        <v>1</v>
      </c>
    </row>
    <row r="20" spans="1:29" ht="57">
      <c r="A20" s="404"/>
      <c r="B20" s="631" t="s">
        <v>2708</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04"/>
      <c r="Q20" s="1812" t="str">
        <f>B20</f>
        <v>自然及人文环境</v>
      </c>
      <c r="R20" s="774" t="s">
        <v>17</v>
      </c>
      <c r="S20" s="775">
        <f>F20</f>
        <v>100</v>
      </c>
      <c r="T20" s="774" t="s">
        <v>17</v>
      </c>
      <c r="U20" s="775">
        <f>H20</f>
        <v>100</v>
      </c>
      <c r="V20" s="774" t="s">
        <v>17</v>
      </c>
      <c r="W20" s="775">
        <f>J20</f>
        <v>100</v>
      </c>
      <c r="X20" s="1815"/>
      <c r="Y20" s="320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04"/>
      <c r="Q21" s="1812"/>
      <c r="R21" s="774"/>
      <c r="S21" s="775"/>
      <c r="T21" s="774"/>
      <c r="U21" s="775"/>
      <c r="V21" s="774"/>
      <c r="W21" s="775"/>
      <c r="X21" s="1815"/>
      <c r="Y21" s="3204"/>
      <c r="Z21" s="1816"/>
      <c r="AA21" s="1813">
        <v>1</v>
      </c>
      <c r="AB21" s="1813">
        <v>1</v>
      </c>
      <c r="AC21" s="1813">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04"/>
      <c r="Q22" s="1812" t="str">
        <f>B22</f>
        <v>楼层</v>
      </c>
      <c r="R22" s="774" t="s">
        <v>17</v>
      </c>
      <c r="S22" s="775">
        <f>F22</f>
        <v>100</v>
      </c>
      <c r="T22" s="774" t="s">
        <v>17</v>
      </c>
      <c r="U22" s="775">
        <f>H22</f>
        <v>100</v>
      </c>
      <c r="V22" s="774" t="s">
        <v>17</v>
      </c>
      <c r="W22" s="775">
        <f>J22</f>
        <v>100</v>
      </c>
      <c r="X22" s="1815"/>
      <c r="Y22" s="320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04"/>
      <c r="Q23" s="1812">
        <f>B23</f>
        <v>111</v>
      </c>
      <c r="R23" s="774" t="s">
        <v>17</v>
      </c>
      <c r="S23" s="775">
        <f>F23</f>
        <v>100</v>
      </c>
      <c r="T23" s="774" t="s">
        <v>17</v>
      </c>
      <c r="U23" s="775">
        <f>H23</f>
        <v>100</v>
      </c>
      <c r="V23" s="774" t="s">
        <v>17</v>
      </c>
      <c r="W23" s="775">
        <f>J23</f>
        <v>100</v>
      </c>
      <c r="X23" s="1815"/>
      <c r="Y23" s="320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04"/>
      <c r="Q24" s="1812">
        <f t="shared" ref="Q24:Q36" si="11">B24</f>
        <v>111</v>
      </c>
      <c r="R24" s="774" t="s">
        <v>17</v>
      </c>
      <c r="S24" s="775">
        <f>F24</f>
        <v>100</v>
      </c>
      <c r="T24" s="774" t="s">
        <v>17</v>
      </c>
      <c r="U24" s="775">
        <f>H24</f>
        <v>100</v>
      </c>
      <c r="V24" s="774" t="s">
        <v>17</v>
      </c>
      <c r="W24" s="775">
        <f>J24</f>
        <v>100</v>
      </c>
      <c r="X24" s="1815"/>
      <c r="Y24" s="320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04"/>
      <c r="Q25" s="1797">
        <f t="shared" si="11"/>
        <v>111</v>
      </c>
      <c r="R25" s="770" t="s">
        <v>17</v>
      </c>
      <c r="S25" s="771">
        <f>F25</f>
        <v>100</v>
      </c>
      <c r="T25" s="770" t="s">
        <v>17</v>
      </c>
      <c r="U25" s="771">
        <f>H25</f>
        <v>100</v>
      </c>
      <c r="V25" s="770" t="s">
        <v>17</v>
      </c>
      <c r="W25" s="771">
        <f>J25</f>
        <v>100</v>
      </c>
      <c r="X25" s="772"/>
      <c r="Y25" s="3204"/>
      <c r="Z25" s="55">
        <f>Q25</f>
        <v>111</v>
      </c>
      <c r="AA25" s="1813">
        <f>D25/F25</f>
        <v>1</v>
      </c>
      <c r="AB25" s="1813">
        <f>D25/H25</f>
        <v>1</v>
      </c>
      <c r="AC25" s="1813">
        <f>D25/J25</f>
        <v>1</v>
      </c>
    </row>
    <row r="26" spans="1:29" ht="15">
      <c r="A26" s="652" t="s">
        <v>2561</v>
      </c>
      <c r="B26" s="70" t="s">
        <v>2710</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59" t="s">
        <v>2563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8" t="s">
        <v>2563</v>
      </c>
      <c r="Z26" s="1816" t="str">
        <f t="shared" ref="Z26:Z36" si="15">Q26</f>
        <v>配套类型</v>
      </c>
      <c r="AA26" s="1813">
        <f t="shared" si="3"/>
        <v>1</v>
      </c>
      <c r="AB26" s="1813">
        <f t="shared" si="4"/>
        <v>1</v>
      </c>
      <c r="AC26" s="1813">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3">
        <f t="shared" si="3"/>
        <v>1</v>
      </c>
      <c r="AB27" s="1813">
        <f t="shared" si="4"/>
        <v>1</v>
      </c>
      <c r="AC27" s="1813">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08"/>
      <c r="Q28" s="1812" t="str">
        <f t="shared" si="11"/>
        <v>公共部分装修</v>
      </c>
      <c r="R28" s="774" t="s">
        <v>17</v>
      </c>
      <c r="S28" s="775">
        <f t="shared" si="12"/>
        <v>100</v>
      </c>
      <c r="T28" s="774" t="s">
        <v>17</v>
      </c>
      <c r="U28" s="775">
        <f t="shared" si="13"/>
        <v>100</v>
      </c>
      <c r="V28" s="774" t="s">
        <v>17</v>
      </c>
      <c r="W28" s="775">
        <f t="shared" si="14"/>
        <v>100</v>
      </c>
      <c r="X28" s="1815"/>
      <c r="Y28" s="3208"/>
      <c r="Z28" s="1816" t="str">
        <f t="shared" si="15"/>
        <v>公共部分装修</v>
      </c>
      <c r="AA28" s="1813">
        <f t="shared" si="3"/>
        <v>1</v>
      </c>
      <c r="AB28" s="1813">
        <f t="shared" si="4"/>
        <v>1</v>
      </c>
      <c r="AC28" s="1813">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08"/>
      <c r="Q29" s="1812" t="str">
        <f t="shared" si="11"/>
        <v>成新率</v>
      </c>
      <c r="R29" s="774" t="s">
        <v>17</v>
      </c>
      <c r="S29" s="775" t="e">
        <f t="shared" si="12"/>
        <v>#N/A</v>
      </c>
      <c r="T29" s="774" t="s">
        <v>17</v>
      </c>
      <c r="U29" s="775" t="e">
        <f t="shared" si="13"/>
        <v>#N/A</v>
      </c>
      <c r="V29" s="774" t="s">
        <v>17</v>
      </c>
      <c r="W29" s="775" t="e">
        <f t="shared" si="14"/>
        <v>#N/A</v>
      </c>
      <c r="X29" s="1815"/>
      <c r="Y29" s="3208"/>
      <c r="Z29" s="1816" t="str">
        <f t="shared" si="15"/>
        <v>成新率</v>
      </c>
      <c r="AA29" s="1813" t="e">
        <f t="shared" si="3"/>
        <v>#N/A</v>
      </c>
      <c r="AB29" s="1813" t="e">
        <f t="shared" si="4"/>
        <v>#N/A</v>
      </c>
      <c r="AC29" s="1813"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08"/>
      <c r="Q30" s="1812" t="str">
        <f t="shared" si="11"/>
        <v>物业等级</v>
      </c>
      <c r="R30" s="774" t="s">
        <v>17</v>
      </c>
      <c r="S30" s="775">
        <f t="shared" si="12"/>
        <v>100</v>
      </c>
      <c r="T30" s="774" t="s">
        <v>17</v>
      </c>
      <c r="U30" s="775">
        <f t="shared" si="13"/>
        <v>100</v>
      </c>
      <c r="V30" s="774" t="s">
        <v>17</v>
      </c>
      <c r="W30" s="775">
        <f t="shared" si="14"/>
        <v>100</v>
      </c>
      <c r="X30" s="1815"/>
      <c r="Y30" s="3208"/>
      <c r="Z30" s="1816" t="str">
        <f t="shared" si="15"/>
        <v>物业等级</v>
      </c>
      <c r="AA30" s="1813">
        <f t="shared" si="3"/>
        <v>1</v>
      </c>
      <c r="AB30" s="1813">
        <f t="shared" si="4"/>
        <v>1</v>
      </c>
      <c r="AC30" s="1813">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08"/>
      <c r="Q31" s="1797"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08" t="s">
        <v>2563</v>
      </c>
      <c r="Q32" s="1812" t="str">
        <f t="shared" si="11"/>
        <v>车位类型</v>
      </c>
      <c r="R32" s="774" t="s">
        <v>17</v>
      </c>
      <c r="S32" s="775">
        <f t="shared" si="12"/>
        <v>100</v>
      </c>
      <c r="T32" s="774" t="s">
        <v>17</v>
      </c>
      <c r="U32" s="775">
        <f t="shared" si="13"/>
        <v>100</v>
      </c>
      <c r="V32" s="774" t="s">
        <v>17</v>
      </c>
      <c r="W32" s="775">
        <f t="shared" si="14"/>
        <v>100</v>
      </c>
      <c r="X32" s="1815"/>
      <c r="Y32" s="3208" t="s">
        <v>2563</v>
      </c>
      <c r="Z32" s="1816" t="str">
        <f t="shared" si="15"/>
        <v>车位类型</v>
      </c>
      <c r="AA32" s="1813">
        <f t="shared" si="3"/>
        <v>1</v>
      </c>
      <c r="AB32" s="1813">
        <f t="shared" si="4"/>
        <v>1</v>
      </c>
      <c r="AC32" s="1813">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08"/>
      <c r="Q33" s="1812" t="str">
        <f t="shared" si="11"/>
        <v>是否直接入户</v>
      </c>
      <c r="R33" s="774" t="s">
        <v>17</v>
      </c>
      <c r="S33" s="775">
        <f t="shared" si="12"/>
        <v>100</v>
      </c>
      <c r="T33" s="774" t="s">
        <v>17</v>
      </c>
      <c r="U33" s="775">
        <f t="shared" si="13"/>
        <v>100</v>
      </c>
      <c r="V33" s="774" t="s">
        <v>17</v>
      </c>
      <c r="W33" s="775">
        <f t="shared" si="14"/>
        <v>100</v>
      </c>
      <c r="X33" s="1815"/>
      <c r="Y33" s="320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08"/>
      <c r="Q34" s="1812">
        <f t="shared" si="11"/>
        <v>111</v>
      </c>
      <c r="R34" s="774" t="s">
        <v>17</v>
      </c>
      <c r="S34" s="775">
        <f t="shared" si="12"/>
        <v>100</v>
      </c>
      <c r="T34" s="774" t="s">
        <v>17</v>
      </c>
      <c r="U34" s="775">
        <f t="shared" si="13"/>
        <v>100</v>
      </c>
      <c r="V34" s="774" t="s">
        <v>17</v>
      </c>
      <c r="W34" s="775">
        <f t="shared" si="14"/>
        <v>100</v>
      </c>
      <c r="X34" s="1815"/>
      <c r="Y34" s="320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08"/>
      <c r="Q36" s="1812">
        <f t="shared" si="11"/>
        <v>111</v>
      </c>
      <c r="R36" s="774" t="s">
        <v>17</v>
      </c>
      <c r="S36" s="775">
        <f t="shared" si="12"/>
        <v>100</v>
      </c>
      <c r="T36" s="774" t="s">
        <v>17</v>
      </c>
      <c r="U36" s="775">
        <f t="shared" si="13"/>
        <v>100</v>
      </c>
      <c r="V36" s="774" t="s">
        <v>17</v>
      </c>
      <c r="W36" s="775">
        <f t="shared" si="14"/>
        <v>100</v>
      </c>
      <c r="X36" s="1815"/>
      <c r="Y36" s="3208"/>
      <c r="Z36" s="1816">
        <f t="shared" si="15"/>
        <v>111</v>
      </c>
      <c r="AA36" s="1813">
        <f t="shared" si="3"/>
        <v>1</v>
      </c>
      <c r="AB36" s="1813">
        <f t="shared" si="4"/>
        <v>1</v>
      </c>
      <c r="AC36" s="1813">
        <f t="shared" si="5"/>
        <v>1</v>
      </c>
    </row>
    <row r="37" spans="1:29" ht="15">
      <c r="A37" s="479" t="s">
        <v>2718</v>
      </c>
      <c r="B37" s="2696" t="s">
        <v>2719</v>
      </c>
      <c r="C37" s="1409" t="s">
        <v>1</v>
      </c>
      <c r="D37" s="1410"/>
      <c r="E37" s="1411"/>
      <c r="F37" s="1412"/>
      <c r="G37" s="1413"/>
      <c r="H37" s="1414"/>
      <c r="I37" s="1411"/>
      <c r="J37" s="1414"/>
      <c r="K37" s="619"/>
      <c r="L37" s="1145"/>
      <c r="M37" s="1146"/>
      <c r="N37" s="1133"/>
      <c r="O37" s="1146"/>
      <c r="P37" s="3201" t="str">
        <f>A37</f>
        <v>成交单价</v>
      </c>
      <c r="Q37" s="3201"/>
      <c r="R37" s="3202">
        <f>E37</f>
        <v>0</v>
      </c>
      <c r="S37" s="3202"/>
      <c r="T37" s="3202">
        <f>G37</f>
        <v>0</v>
      </c>
      <c r="U37" s="3202"/>
      <c r="V37" s="3202">
        <f>I37</f>
        <v>0</v>
      </c>
      <c r="W37" s="3202"/>
      <c r="X37" s="759"/>
      <c r="Y37" s="781"/>
      <c r="Z37" s="759"/>
      <c r="AA37" s="759"/>
      <c r="AB37" s="759"/>
      <c r="AC37" s="759"/>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59"/>
      <c r="Y38" s="759"/>
      <c r="Z38" s="759"/>
      <c r="AA38" s="759"/>
      <c r="AB38" s="759"/>
      <c r="AC38" s="759"/>
    </row>
    <row r="39" spans="1:29" ht="15.75" thickBot="1">
      <c r="A39" s="492" t="s">
        <v>2721</v>
      </c>
      <c r="B39" s="493"/>
      <c r="C39" s="1419" t="e">
        <f>R39</f>
        <v>#DIV/0!</v>
      </c>
      <c r="D39" s="1419"/>
      <c r="E39" s="1419"/>
      <c r="F39" s="1419"/>
      <c r="G39" s="1419"/>
      <c r="H39" s="1419"/>
      <c r="I39" s="1419"/>
      <c r="J39" s="1419"/>
      <c r="K39" s="621"/>
      <c r="L39" s="1145"/>
      <c r="M39" s="1146"/>
      <c r="N39" s="1146"/>
      <c r="O39" s="1146"/>
      <c r="P39" s="3198" t="str">
        <f>A39</f>
        <v>估价对象XX用房的比较价值（楼面单价，元/平方米）</v>
      </c>
      <c r="Q39" s="3199"/>
      <c r="R39" s="3200" t="e">
        <f>IF(F1="售价",ROUND(AVERAGE(R38:V38),0),ROUND(AVERAGE(R38:V38),1))</f>
        <v>#DIV/0!</v>
      </c>
      <c r="S39" s="3200"/>
      <c r="T39" s="3200"/>
      <c r="U39" s="3200"/>
      <c r="V39" s="3200"/>
      <c r="W39" s="3200"/>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60" t="s">
        <v>2673</v>
      </c>
      <c r="D67" s="660" t="s">
        <v>2674</v>
      </c>
      <c r="E67" s="660" t="s">
        <v>2675</v>
      </c>
      <c r="F67" s="660" t="s">
        <v>2676</v>
      </c>
      <c r="G67" s="660"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216" t="s">
        <v>2644</v>
      </c>
      <c r="D4" s="3217"/>
      <c r="E4" s="3218" t="s">
        <v>2645</v>
      </c>
      <c r="F4" s="3219"/>
      <c r="G4" s="3216" t="s">
        <v>2646</v>
      </c>
      <c r="H4" s="3217"/>
      <c r="I4" s="3216" t="s">
        <v>2647</v>
      </c>
      <c r="J4" s="3217"/>
      <c r="K4" s="610" t="s">
        <v>2648</v>
      </c>
      <c r="L4" s="1132"/>
      <c r="M4" s="1133"/>
      <c r="N4" s="1133"/>
      <c r="O4" s="1133"/>
      <c r="P4" s="3220" t="s">
        <v>2649</v>
      </c>
      <c r="Q4" s="3221"/>
      <c r="R4" s="3226" t="s">
        <v>2645</v>
      </c>
      <c r="S4" s="3227"/>
      <c r="T4" s="3226" t="s">
        <v>2646</v>
      </c>
      <c r="U4" s="3227"/>
      <c r="V4" s="3232" t="s">
        <v>2647</v>
      </c>
      <c r="W4" s="3232"/>
      <c r="X4" s="1815"/>
      <c r="Y4" s="3226" t="s">
        <v>2649</v>
      </c>
      <c r="Z4" s="3227"/>
      <c r="AA4" s="3213" t="s">
        <v>2645</v>
      </c>
      <c r="AB4" s="3214" t="s">
        <v>2646</v>
      </c>
      <c r="AC4" s="3213" t="s">
        <v>2647</v>
      </c>
    </row>
    <row r="5" spans="1:29" ht="15">
      <c r="A5" s="404"/>
      <c r="B5" s="405"/>
      <c r="C5" s="3235" t="s">
        <v>2540</v>
      </c>
      <c r="D5" s="3236"/>
      <c r="E5" s="3242" t="s">
        <v>2541</v>
      </c>
      <c r="F5" s="3243"/>
      <c r="G5" s="3235" t="s">
        <v>2542</v>
      </c>
      <c r="H5" s="3236"/>
      <c r="I5" s="3235" t="s">
        <v>2543</v>
      </c>
      <c r="J5" s="3236"/>
      <c r="K5" s="610"/>
      <c r="L5" s="1132"/>
      <c r="M5" s="1133"/>
      <c r="N5" s="1133"/>
      <c r="O5" s="1133"/>
      <c r="P5" s="3222"/>
      <c r="Q5" s="3223"/>
      <c r="R5" s="3228"/>
      <c r="S5" s="3229"/>
      <c r="T5" s="3228"/>
      <c r="U5" s="3229"/>
      <c r="V5" s="3232"/>
      <c r="W5" s="3232"/>
      <c r="X5" s="1815"/>
      <c r="Y5" s="3228"/>
      <c r="Z5" s="3229"/>
      <c r="AA5" s="3214"/>
      <c r="AB5" s="3214"/>
      <c r="AC5" s="3214"/>
    </row>
    <row r="6" spans="1:29" ht="15.75" thickBot="1">
      <c r="A6" s="406"/>
      <c r="B6" s="407"/>
      <c r="C6" s="3233" t="s">
        <v>2544</v>
      </c>
      <c r="D6" s="3234"/>
      <c r="E6" s="3240" t="s">
        <v>2544</v>
      </c>
      <c r="F6" s="3241"/>
      <c r="G6" s="3233" t="s">
        <v>2544</v>
      </c>
      <c r="H6" s="3234"/>
      <c r="I6" s="3233" t="s">
        <v>2544</v>
      </c>
      <c r="J6" s="3234"/>
      <c r="K6" s="610" t="s">
        <v>2545</v>
      </c>
      <c r="L6" s="1132"/>
      <c r="M6" s="1133"/>
      <c r="N6" s="1133"/>
      <c r="O6" s="1133"/>
      <c r="P6" s="3224"/>
      <c r="Q6" s="3225"/>
      <c r="R6" s="3228"/>
      <c r="S6" s="3229"/>
      <c r="T6" s="3230"/>
      <c r="U6" s="3231"/>
      <c r="V6" s="3232"/>
      <c r="W6" s="3232"/>
      <c r="X6" s="1815"/>
      <c r="Y6" s="3230"/>
      <c r="Z6" s="3231"/>
      <c r="AA6" s="3215"/>
      <c r="AB6" s="3215"/>
      <c r="AC6" s="3215"/>
    </row>
    <row r="7" spans="1:29" s="117" customFormat="1" ht="15.75" thickBot="1">
      <c r="A7" s="408" t="s">
        <v>2546</v>
      </c>
      <c r="B7" s="409"/>
      <c r="C7" s="410">
        <f>'数据-取费表'!B2</f>
        <v>43130</v>
      </c>
      <c r="D7" s="411">
        <v>100</v>
      </c>
      <c r="E7" s="412"/>
      <c r="F7" s="413">
        <f>SUMIF(46:46,YEAR(E7)&amp;"-"&amp;MONTH(E7),47:47)</f>
        <v>0</v>
      </c>
      <c r="G7" s="2697"/>
      <c r="H7" s="411">
        <f>SUMIF(46:46,YEAR(G7)&amp;"-"&amp;MONTH(G7),47:47)</f>
        <v>0</v>
      </c>
      <c r="I7" s="412"/>
      <c r="J7" s="411">
        <f>SUMIF(46:46,YEAR(I7)&amp;"-"&amp;MONTH(I7),47:47)</f>
        <v>0</v>
      </c>
      <c r="K7" s="611"/>
      <c r="L7" s="1134"/>
      <c r="M7" s="1135"/>
      <c r="N7" s="1135"/>
      <c r="O7" s="1135"/>
      <c r="P7" s="3237" t="s">
        <v>2547</v>
      </c>
      <c r="Q7" s="3239"/>
      <c r="R7" s="770" t="s">
        <v>17</v>
      </c>
      <c r="S7" s="771">
        <f t="shared" ref="S7:S14" si="0">F7</f>
        <v>0</v>
      </c>
      <c r="T7" s="770" t="s">
        <v>17</v>
      </c>
      <c r="U7" s="771">
        <f t="shared" ref="U7:U14" si="1">H7</f>
        <v>0</v>
      </c>
      <c r="V7" s="770" t="s">
        <v>17</v>
      </c>
      <c r="W7" s="771">
        <f t="shared" ref="W7:W14" si="2">J7</f>
        <v>0</v>
      </c>
      <c r="X7" s="772"/>
      <c r="Y7" s="3237" t="s">
        <v>2547</v>
      </c>
      <c r="Z7" s="3238"/>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37" t="s">
        <v>2550</v>
      </c>
      <c r="Q8" s="3238"/>
      <c r="R8" s="770" t="s">
        <v>17</v>
      </c>
      <c r="S8" s="771">
        <f t="shared" si="0"/>
        <v>0</v>
      </c>
      <c r="T8" s="770" t="s">
        <v>17</v>
      </c>
      <c r="U8" s="771">
        <f t="shared" si="1"/>
        <v>0</v>
      </c>
      <c r="V8" s="770" t="s">
        <v>17</v>
      </c>
      <c r="W8" s="771">
        <f t="shared" si="2"/>
        <v>0</v>
      </c>
      <c r="X8" s="772"/>
      <c r="Y8" s="3237" t="s">
        <v>2550</v>
      </c>
      <c r="Z8" s="3238"/>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1" t="s">
        <v>2553</v>
      </c>
      <c r="Q9" s="1797" t="str">
        <f t="shared" ref="Q9:Q14" si="6">B9</f>
        <v>用途</v>
      </c>
      <c r="R9" s="770" t="s">
        <v>17</v>
      </c>
      <c r="S9" s="771">
        <f t="shared" si="0"/>
        <v>100</v>
      </c>
      <c r="T9" s="770" t="s">
        <v>17</v>
      </c>
      <c r="U9" s="771">
        <f t="shared" si="1"/>
        <v>100</v>
      </c>
      <c r="V9" s="770" t="s">
        <v>17</v>
      </c>
      <c r="W9" s="771">
        <f t="shared" si="2"/>
        <v>100</v>
      </c>
      <c r="X9" s="772"/>
      <c r="Y9" s="3029"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1"/>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1"/>
      <c r="Q11" s="1797">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1"/>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201"/>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40" t="s">
        <v>2557</v>
      </c>
      <c r="B14" s="69" t="s">
        <v>2707</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03" t="s">
        <v>2558</v>
      </c>
      <c r="Q14" s="1812" t="str">
        <f t="shared" si="6"/>
        <v>交通便捷度</v>
      </c>
      <c r="R14" s="774" t="s">
        <v>17</v>
      </c>
      <c r="S14" s="775">
        <f t="shared" si="0"/>
        <v>100</v>
      </c>
      <c r="T14" s="774" t="s">
        <v>17</v>
      </c>
      <c r="U14" s="775">
        <f t="shared" si="1"/>
        <v>100</v>
      </c>
      <c r="V14" s="774" t="s">
        <v>17</v>
      </c>
      <c r="W14" s="775">
        <f t="shared" si="2"/>
        <v>100</v>
      </c>
      <c r="X14" s="1815"/>
      <c r="Y14" s="3203"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04"/>
      <c r="Q15" s="1812"/>
      <c r="R15" s="774"/>
      <c r="S15" s="775"/>
      <c r="T15" s="774"/>
      <c r="U15" s="775"/>
      <c r="V15" s="774"/>
      <c r="W15" s="775"/>
      <c r="X15" s="1815"/>
      <c r="Y15" s="3204"/>
      <c r="Z15" s="1816"/>
      <c r="AA15" s="1813">
        <v>1</v>
      </c>
      <c r="AB15" s="1813">
        <v>1</v>
      </c>
      <c r="AC15" s="1813">
        <v>1</v>
      </c>
    </row>
    <row r="16" spans="1:29" ht="42.75">
      <c r="A16" s="428"/>
      <c r="B16" s="451" t="s">
        <v>2686</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04"/>
      <c r="Q16" s="1812" t="str">
        <f>B16</f>
        <v>公共配套设施</v>
      </c>
      <c r="R16" s="774" t="s">
        <v>17</v>
      </c>
      <c r="S16" s="775">
        <f>F16</f>
        <v>100</v>
      </c>
      <c r="T16" s="774" t="s">
        <v>17</v>
      </c>
      <c r="U16" s="775">
        <f>H16</f>
        <v>100</v>
      </c>
      <c r="V16" s="774" t="s">
        <v>17</v>
      </c>
      <c r="W16" s="775">
        <f>J16</f>
        <v>100</v>
      </c>
      <c r="X16" s="1815"/>
      <c r="Y16" s="3204"/>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2"/>
      <c r="M17" s="1133"/>
      <c r="N17" s="1133"/>
      <c r="O17" s="1141"/>
      <c r="P17" s="3204"/>
      <c r="Q17" s="1812"/>
      <c r="R17" s="774"/>
      <c r="S17" s="775"/>
      <c r="T17" s="774"/>
      <c r="U17" s="775"/>
      <c r="V17" s="774"/>
      <c r="W17" s="775"/>
      <c r="X17" s="1815"/>
      <c r="Y17" s="3204"/>
      <c r="Z17" s="1816"/>
      <c r="AA17" s="1813">
        <v>1</v>
      </c>
      <c r="AB17" s="1813">
        <v>1</v>
      </c>
      <c r="AC17" s="1813">
        <v>1</v>
      </c>
    </row>
    <row r="18" spans="1:29" ht="28.5">
      <c r="A18" s="428"/>
      <c r="B18" s="1386" t="s">
        <v>2687</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04"/>
      <c r="Q18" s="1812" t="str">
        <f>B18</f>
        <v>基础设施水平</v>
      </c>
      <c r="R18" s="774" t="s">
        <v>17</v>
      </c>
      <c r="S18" s="775">
        <f>F18</f>
        <v>100</v>
      </c>
      <c r="T18" s="774" t="s">
        <v>17</v>
      </c>
      <c r="U18" s="775">
        <f>H18</f>
        <v>100</v>
      </c>
      <c r="V18" s="774" t="s">
        <v>17</v>
      </c>
      <c r="W18" s="775">
        <f>J18</f>
        <v>100</v>
      </c>
      <c r="X18" s="1815"/>
      <c r="Y18" s="3204"/>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2"/>
      <c r="M19" s="1133"/>
      <c r="N19" s="1133"/>
      <c r="O19" s="1141"/>
      <c r="P19" s="3204"/>
      <c r="Q19" s="1812"/>
      <c r="R19" s="774"/>
      <c r="S19" s="775"/>
      <c r="T19" s="774"/>
      <c r="U19" s="775"/>
      <c r="V19" s="774"/>
      <c r="W19" s="775"/>
      <c r="X19" s="1815"/>
      <c r="Y19" s="3204"/>
      <c r="Z19" s="1816"/>
      <c r="AA19" s="1813">
        <v>1</v>
      </c>
      <c r="AB19" s="1813">
        <v>1</v>
      </c>
      <c r="AC19" s="1813">
        <v>1</v>
      </c>
    </row>
    <row r="20" spans="1:29" ht="57">
      <c r="A20" s="428"/>
      <c r="B20" s="451" t="s">
        <v>2708</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04"/>
      <c r="Q20" s="1812" t="str">
        <f>B20</f>
        <v>自然及人文环境</v>
      </c>
      <c r="R20" s="774" t="s">
        <v>17</v>
      </c>
      <c r="S20" s="775">
        <f>F20</f>
        <v>100</v>
      </c>
      <c r="T20" s="774" t="s">
        <v>17</v>
      </c>
      <c r="U20" s="775">
        <f>H20</f>
        <v>100</v>
      </c>
      <c r="V20" s="774" t="s">
        <v>17</v>
      </c>
      <c r="W20" s="775">
        <f>J20</f>
        <v>100</v>
      </c>
      <c r="X20" s="1815"/>
      <c r="Y20" s="320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04"/>
      <c r="Q21" s="1812"/>
      <c r="R21" s="774"/>
      <c r="S21" s="775"/>
      <c r="T21" s="774"/>
      <c r="U21" s="775"/>
      <c r="V21" s="774"/>
      <c r="W21" s="775"/>
      <c r="X21" s="1815"/>
      <c r="Y21" s="3204"/>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04"/>
      <c r="Q22" s="1812" t="str">
        <f>B22</f>
        <v>楼层</v>
      </c>
      <c r="R22" s="774" t="s">
        <v>17</v>
      </c>
      <c r="S22" s="775">
        <f>F22</f>
        <v>100</v>
      </c>
      <c r="T22" s="774" t="s">
        <v>17</v>
      </c>
      <c r="U22" s="775">
        <f>H22</f>
        <v>100</v>
      </c>
      <c r="V22" s="774" t="s">
        <v>17</v>
      </c>
      <c r="W22" s="775">
        <f>J22</f>
        <v>100</v>
      </c>
      <c r="X22" s="1815"/>
      <c r="Y22" s="3204"/>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04"/>
      <c r="Q23" s="1812">
        <f>B23</f>
        <v>111</v>
      </c>
      <c r="R23" s="774" t="s">
        <v>17</v>
      </c>
      <c r="S23" s="775">
        <f>F23</f>
        <v>100</v>
      </c>
      <c r="T23" s="774" t="s">
        <v>17</v>
      </c>
      <c r="U23" s="775">
        <f>H23</f>
        <v>100</v>
      </c>
      <c r="V23" s="774" t="s">
        <v>17</v>
      </c>
      <c r="W23" s="775">
        <f>J23</f>
        <v>100</v>
      </c>
      <c r="X23" s="1815"/>
      <c r="Y23" s="3204"/>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04"/>
      <c r="Q24" s="1812">
        <f t="shared" ref="Q24:Q34" si="11">B24</f>
        <v>111</v>
      </c>
      <c r="R24" s="774" t="s">
        <v>17</v>
      </c>
      <c r="S24" s="775">
        <f>F24</f>
        <v>100</v>
      </c>
      <c r="T24" s="774" t="s">
        <v>17</v>
      </c>
      <c r="U24" s="775">
        <f>H24</f>
        <v>100</v>
      </c>
      <c r="V24" s="774" t="s">
        <v>17</v>
      </c>
      <c r="W24" s="775">
        <f>J24</f>
        <v>100</v>
      </c>
      <c r="X24" s="1815"/>
      <c r="Y24" s="3204"/>
      <c r="Z24" s="1816">
        <f>Q24</f>
        <v>111</v>
      </c>
      <c r="AA24" s="1813">
        <f t="shared" si="3"/>
        <v>1</v>
      </c>
      <c r="AB24" s="1813">
        <f t="shared" si="4"/>
        <v>1</v>
      </c>
      <c r="AC24" s="1813">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4"/>
      <c r="M25" s="1135"/>
      <c r="N25" s="1135"/>
      <c r="O25" s="1136"/>
      <c r="P25" s="3204"/>
      <c r="Q25" s="1797">
        <f t="shared" si="11"/>
        <v>111</v>
      </c>
      <c r="R25" s="770" t="s">
        <v>17</v>
      </c>
      <c r="S25" s="771">
        <f>F25</f>
        <v>100</v>
      </c>
      <c r="T25" s="770" t="s">
        <v>17</v>
      </c>
      <c r="U25" s="771">
        <f>H25</f>
        <v>100</v>
      </c>
      <c r="V25" s="770" t="s">
        <v>17</v>
      </c>
      <c r="W25" s="771">
        <f>J25</f>
        <v>100</v>
      </c>
      <c r="X25" s="772"/>
      <c r="Y25" s="3204"/>
      <c r="Z25" s="55">
        <f>Q25</f>
        <v>111</v>
      </c>
      <c r="AA25" s="1813">
        <f>D25/F25</f>
        <v>1</v>
      </c>
      <c r="AB25" s="1813">
        <f>D25/H25</f>
        <v>1</v>
      </c>
      <c r="AC25" s="1813">
        <f>D25/J25</f>
        <v>1</v>
      </c>
    </row>
    <row r="26" spans="1:29" ht="15">
      <c r="A26" s="466" t="s">
        <v>2561</v>
      </c>
      <c r="B26" s="71" t="s">
        <v>2712</v>
      </c>
      <c r="C26" s="2680"/>
      <c r="D26" s="467">
        <v>100</v>
      </c>
      <c r="E26" s="2680"/>
      <c r="F26" s="667">
        <f>SUMIF(77:77,E26,78:78)-SUMIF(77:77,C26,78:78)+100</f>
        <v>100</v>
      </c>
      <c r="G26" s="2680"/>
      <c r="H26" s="467">
        <f>SUMIF(77:77,G26,78:78)-SUMIF(77:77,C26,78:78)+100</f>
        <v>100</v>
      </c>
      <c r="I26" s="2680"/>
      <c r="J26" s="467">
        <f>SUMIF(77:77,I26,78:78)-SUMIF(77:77,C26,78:78)+100</f>
        <v>100</v>
      </c>
      <c r="K26" s="612"/>
      <c r="L26" s="1142"/>
      <c r="M26" s="1133"/>
      <c r="N26" s="1133"/>
      <c r="O26" s="1141"/>
      <c r="P26" s="3259" t="s">
        <v>2563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8"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08"/>
      <c r="Q28" s="1812" t="str">
        <f t="shared" si="11"/>
        <v>物业等级</v>
      </c>
      <c r="R28" s="774" t="s">
        <v>17</v>
      </c>
      <c r="S28" s="775">
        <f t="shared" si="12"/>
        <v>100</v>
      </c>
      <c r="T28" s="774" t="s">
        <v>17</v>
      </c>
      <c r="U28" s="775">
        <f t="shared" si="13"/>
        <v>100</v>
      </c>
      <c r="V28" s="774" t="s">
        <v>17</v>
      </c>
      <c r="W28" s="775">
        <f t="shared" si="14"/>
        <v>100</v>
      </c>
      <c r="X28" s="1815"/>
      <c r="Y28" s="3208"/>
      <c r="Z28" s="1816" t="str">
        <f t="shared" si="15"/>
        <v>物业等级</v>
      </c>
      <c r="AA28" s="1813">
        <f t="shared" si="3"/>
        <v>1</v>
      </c>
      <c r="AB28" s="1813">
        <f t="shared" si="4"/>
        <v>1</v>
      </c>
      <c r="AC28" s="1813">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08"/>
      <c r="Q29" s="1812" t="str">
        <f t="shared" si="11"/>
        <v>有无电梯</v>
      </c>
      <c r="R29" s="774" t="s">
        <v>17</v>
      </c>
      <c r="S29" s="775">
        <f t="shared" si="12"/>
        <v>100</v>
      </c>
      <c r="T29" s="774" t="s">
        <v>17</v>
      </c>
      <c r="U29" s="775">
        <f t="shared" si="13"/>
        <v>100</v>
      </c>
      <c r="V29" s="774" t="s">
        <v>17</v>
      </c>
      <c r="W29" s="775">
        <f t="shared" si="14"/>
        <v>100</v>
      </c>
      <c r="X29" s="1815"/>
      <c r="Y29" s="3208"/>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08"/>
      <c r="Q30" s="1812" t="str">
        <f t="shared" si="11"/>
        <v>建筑面积</v>
      </c>
      <c r="R30" s="774" t="s">
        <v>17</v>
      </c>
      <c r="S30" s="775" t="e">
        <f t="shared" si="12"/>
        <v>#N/A</v>
      </c>
      <c r="T30" s="774" t="s">
        <v>17</v>
      </c>
      <c r="U30" s="775" t="e">
        <f t="shared" si="13"/>
        <v>#N/A</v>
      </c>
      <c r="V30" s="774" t="s">
        <v>17</v>
      </c>
      <c r="W30" s="775" t="e">
        <f t="shared" si="14"/>
        <v>#N/A</v>
      </c>
      <c r="X30" s="1815"/>
      <c r="Y30" s="3208"/>
      <c r="Z30" s="1816" t="str">
        <f t="shared" si="15"/>
        <v>建筑面积</v>
      </c>
      <c r="AA30" s="1813" t="e">
        <f t="shared" si="3"/>
        <v>#N/A</v>
      </c>
      <c r="AB30" s="1813" t="e">
        <f t="shared" si="4"/>
        <v>#N/A</v>
      </c>
      <c r="AC30" s="1813"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08"/>
      <c r="Q31" s="1797"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08" t="s">
        <v>2563</v>
      </c>
      <c r="Q32" s="1812">
        <f t="shared" si="11"/>
        <v>111</v>
      </c>
      <c r="R32" s="774" t="s">
        <v>17</v>
      </c>
      <c r="S32" s="775">
        <f t="shared" si="12"/>
        <v>100</v>
      </c>
      <c r="T32" s="774" t="s">
        <v>17</v>
      </c>
      <c r="U32" s="775">
        <f t="shared" si="13"/>
        <v>100</v>
      </c>
      <c r="V32" s="774" t="s">
        <v>17</v>
      </c>
      <c r="W32" s="775">
        <f t="shared" si="14"/>
        <v>100</v>
      </c>
      <c r="X32" s="1815"/>
      <c r="Y32" s="3208" t="s">
        <v>2563</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08"/>
      <c r="Q33" s="1812">
        <f t="shared" si="11"/>
        <v>111</v>
      </c>
      <c r="R33" s="774" t="s">
        <v>17</v>
      </c>
      <c r="S33" s="775">
        <f t="shared" si="12"/>
        <v>100</v>
      </c>
      <c r="T33" s="774" t="s">
        <v>17</v>
      </c>
      <c r="U33" s="775">
        <f t="shared" si="13"/>
        <v>100</v>
      </c>
      <c r="V33" s="774" t="s">
        <v>17</v>
      </c>
      <c r="W33" s="775">
        <f t="shared" si="14"/>
        <v>100</v>
      </c>
      <c r="X33" s="1815"/>
      <c r="Y33" s="3208"/>
      <c r="Z33" s="1816">
        <f t="shared" si="15"/>
        <v>111</v>
      </c>
      <c r="AA33" s="1813">
        <f t="shared" si="3"/>
        <v>1</v>
      </c>
      <c r="AB33" s="1813">
        <f t="shared" si="4"/>
        <v>1</v>
      </c>
      <c r="AC33" s="1813">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208"/>
      <c r="Q34" s="1812">
        <f t="shared" si="11"/>
        <v>111</v>
      </c>
      <c r="R34" s="774" t="s">
        <v>17</v>
      </c>
      <c r="S34" s="775">
        <f t="shared" si="12"/>
        <v>100</v>
      </c>
      <c r="T34" s="774" t="s">
        <v>17</v>
      </c>
      <c r="U34" s="775">
        <f t="shared" si="13"/>
        <v>100</v>
      </c>
      <c r="V34" s="774" t="s">
        <v>17</v>
      </c>
      <c r="W34" s="775">
        <f t="shared" si="14"/>
        <v>100</v>
      </c>
      <c r="X34" s="1815"/>
      <c r="Y34" s="3208"/>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3"/>
      <c r="L35" s="1145"/>
      <c r="M35" s="1146"/>
      <c r="N35" s="1133"/>
      <c r="O35" s="1146"/>
      <c r="P35" s="3201" t="str">
        <f>A35</f>
        <v>成交单价（元/平方米）</v>
      </c>
      <c r="Q35" s="3201"/>
      <c r="R35" s="3202">
        <f>E35</f>
        <v>0</v>
      </c>
      <c r="S35" s="3202"/>
      <c r="T35" s="3202">
        <f>G35</f>
        <v>0</v>
      </c>
      <c r="U35" s="3202"/>
      <c r="V35" s="3202">
        <f>I35</f>
        <v>0</v>
      </c>
      <c r="W35" s="3202"/>
      <c r="X35" s="759"/>
      <c r="Y35" s="781"/>
      <c r="Z35" s="759"/>
      <c r="AA35" s="759"/>
      <c r="AB35" s="759"/>
      <c r="AC35" s="759"/>
    </row>
    <row r="36" spans="1:29" ht="15.75" thickBot="1">
      <c r="A36" s="486" t="s">
        <v>2667</v>
      </c>
      <c r="B36" s="487"/>
      <c r="C36" s="1415" t="e">
        <f>R37</f>
        <v>#DIV/0!</v>
      </c>
      <c r="D36" s="1416"/>
      <c r="E36" s="1417" t="e">
        <f>R36</f>
        <v>#DIV/0!</v>
      </c>
      <c r="F36" s="1417"/>
      <c r="G36" s="1415" t="e">
        <f>T36</f>
        <v>#DIV/0!</v>
      </c>
      <c r="H36" s="1416"/>
      <c r="I36" s="1417" t="e">
        <f>V36</f>
        <v>#DIV/0!</v>
      </c>
      <c r="J36" s="1416"/>
      <c r="K36" s="784"/>
      <c r="L36" s="1145"/>
      <c r="M36" s="1146"/>
      <c r="N36" s="1133"/>
      <c r="O36" s="1146"/>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59"/>
      <c r="Y36" s="759"/>
      <c r="Z36" s="759"/>
      <c r="AA36" s="759"/>
      <c r="AB36" s="759"/>
      <c r="AC36" s="759"/>
    </row>
    <row r="37" spans="1:29" ht="15.75" thickBot="1">
      <c r="A37" s="492" t="s">
        <v>2668</v>
      </c>
      <c r="B37" s="493"/>
      <c r="C37" s="1419" t="e">
        <f>R37</f>
        <v>#DIV/0!</v>
      </c>
      <c r="D37" s="1419"/>
      <c r="E37" s="1419"/>
      <c r="F37" s="1419"/>
      <c r="G37" s="1419"/>
      <c r="H37" s="1419"/>
      <c r="I37" s="1419"/>
      <c r="J37" s="1419"/>
      <c r="K37" s="785"/>
      <c r="L37" s="1145"/>
      <c r="M37" s="1146"/>
      <c r="N37" s="1146"/>
      <c r="O37" s="1146"/>
      <c r="P37" s="3198" t="str">
        <f>A37</f>
        <v>估价对象XX用房的比较价值（楼面单价，元/平方米）</v>
      </c>
      <c r="Q37" s="3199"/>
      <c r="R37" s="3200" t="e">
        <f>IF(F1="售价",ROUND(AVERAGE(R36:V36),0),ROUND(AVERAGE(R36:V36),1))</f>
        <v>#DIV/0!</v>
      </c>
      <c r="S37" s="3200"/>
      <c r="T37" s="3200"/>
      <c r="U37" s="3200"/>
      <c r="V37" s="3200"/>
      <c r="W37" s="3200"/>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2643</v>
      </c>
      <c r="B4" s="402"/>
      <c r="C4" s="3216" t="s">
        <v>2644</v>
      </c>
      <c r="D4" s="3217"/>
      <c r="E4" s="3218" t="s">
        <v>2645</v>
      </c>
      <c r="F4" s="3219"/>
      <c r="G4" s="3216" t="s">
        <v>2646</v>
      </c>
      <c r="H4" s="3217"/>
      <c r="I4" s="3216" t="s">
        <v>2647</v>
      </c>
      <c r="J4" s="3217"/>
      <c r="K4" s="610" t="s">
        <v>2648</v>
      </c>
      <c r="L4" s="1132"/>
      <c r="M4" s="1133"/>
      <c r="N4" s="1133"/>
      <c r="O4" s="1133"/>
      <c r="P4" s="3220" t="s">
        <v>2649</v>
      </c>
      <c r="Q4" s="3221"/>
      <c r="R4" s="3226" t="s">
        <v>2645</v>
      </c>
      <c r="S4" s="3227"/>
      <c r="T4" s="3226" t="s">
        <v>2646</v>
      </c>
      <c r="U4" s="3227"/>
      <c r="V4" s="3232" t="s">
        <v>2647</v>
      </c>
      <c r="W4" s="3232"/>
      <c r="X4" s="1815"/>
      <c r="Y4" s="3226" t="s">
        <v>2649</v>
      </c>
      <c r="Z4" s="3227"/>
      <c r="AA4" s="3213" t="s">
        <v>2645</v>
      </c>
      <c r="AB4" s="3214" t="s">
        <v>2646</v>
      </c>
      <c r="AC4" s="3213" t="s">
        <v>2647</v>
      </c>
    </row>
    <row r="5" spans="1:30" ht="15">
      <c r="A5" s="404"/>
      <c r="B5" s="405"/>
      <c r="C5" s="3235" t="s">
        <v>2540</v>
      </c>
      <c r="D5" s="3236"/>
      <c r="E5" s="3242" t="s">
        <v>2541</v>
      </c>
      <c r="F5" s="3243"/>
      <c r="G5" s="3235" t="s">
        <v>2542</v>
      </c>
      <c r="H5" s="3236"/>
      <c r="I5" s="3235" t="s">
        <v>2543</v>
      </c>
      <c r="J5" s="3236"/>
      <c r="K5" s="610"/>
      <c r="L5" s="1132"/>
      <c r="M5" s="1133"/>
      <c r="N5" s="1133"/>
      <c r="O5" s="1133"/>
      <c r="P5" s="3222"/>
      <c r="Q5" s="3223"/>
      <c r="R5" s="3228"/>
      <c r="S5" s="3229"/>
      <c r="T5" s="3228"/>
      <c r="U5" s="3229"/>
      <c r="V5" s="3232"/>
      <c r="W5" s="3232"/>
      <c r="X5" s="1815"/>
      <c r="Y5" s="3228"/>
      <c r="Z5" s="3229"/>
      <c r="AA5" s="3214"/>
      <c r="AB5" s="3214"/>
      <c r="AC5" s="3214"/>
    </row>
    <row r="6" spans="1:30" ht="15.75" thickBot="1">
      <c r="A6" s="406"/>
      <c r="B6" s="407"/>
      <c r="C6" s="3233" t="s">
        <v>2544</v>
      </c>
      <c r="D6" s="3234"/>
      <c r="E6" s="3240" t="s">
        <v>2544</v>
      </c>
      <c r="F6" s="3241"/>
      <c r="G6" s="3233" t="s">
        <v>2544</v>
      </c>
      <c r="H6" s="3234"/>
      <c r="I6" s="3233" t="s">
        <v>2544</v>
      </c>
      <c r="J6" s="3234"/>
      <c r="K6" s="610" t="s">
        <v>2545</v>
      </c>
      <c r="L6" s="1132"/>
      <c r="M6" s="1133"/>
      <c r="N6" s="1133"/>
      <c r="O6" s="1133"/>
      <c r="P6" s="3224"/>
      <c r="Q6" s="3225"/>
      <c r="R6" s="3228"/>
      <c r="S6" s="3229"/>
      <c r="T6" s="3230"/>
      <c r="U6" s="3231"/>
      <c r="V6" s="3232"/>
      <c r="W6" s="3232"/>
      <c r="X6" s="1815"/>
      <c r="Y6" s="3230"/>
      <c r="Z6" s="3231"/>
      <c r="AA6" s="3215"/>
      <c r="AB6" s="3215"/>
      <c r="AC6" s="3215"/>
    </row>
    <row r="7" spans="1:30" s="117" customFormat="1" ht="15.75" thickBot="1">
      <c r="A7" s="408" t="s">
        <v>2546</v>
      </c>
      <c r="B7" s="409"/>
      <c r="C7" s="410">
        <f>'数据-取费表'!B2</f>
        <v>43130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4"/>
      <c r="M7" s="1135"/>
      <c r="N7" s="1135"/>
      <c r="O7" s="1135"/>
      <c r="P7" s="3237" t="s">
        <v>2547</v>
      </c>
      <c r="Q7" s="3239"/>
      <c r="R7" s="770" t="s">
        <v>17</v>
      </c>
      <c r="S7" s="771">
        <f t="shared" ref="S7:S15" si="0">F7</f>
        <v>0</v>
      </c>
      <c r="T7" s="770" t="s">
        <v>17</v>
      </c>
      <c r="U7" s="771">
        <f t="shared" ref="U7:U15" si="1">H7</f>
        <v>0</v>
      </c>
      <c r="V7" s="770" t="s">
        <v>17</v>
      </c>
      <c r="W7" s="771">
        <f t="shared" ref="W7:W15" si="2">J7</f>
        <v>0</v>
      </c>
      <c r="X7" s="772"/>
      <c r="Y7" s="3237" t="s">
        <v>2547</v>
      </c>
      <c r="Z7" s="3238"/>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37" t="s">
        <v>2550</v>
      </c>
      <c r="Q8" s="3238"/>
      <c r="R8" s="770" t="s">
        <v>17</v>
      </c>
      <c r="S8" s="771">
        <f t="shared" si="0"/>
        <v>0</v>
      </c>
      <c r="T8" s="770" t="s">
        <v>17</v>
      </c>
      <c r="U8" s="771">
        <f t="shared" si="1"/>
        <v>0</v>
      </c>
      <c r="V8" s="770" t="s">
        <v>17</v>
      </c>
      <c r="W8" s="771">
        <f t="shared" si="2"/>
        <v>0</v>
      </c>
      <c r="X8" s="772"/>
      <c r="Y8" s="3237" t="s">
        <v>2550</v>
      </c>
      <c r="Z8" s="3238"/>
      <c r="AA8" s="773" t="e">
        <f t="shared" ref="AA8:AA45" si="3">D8/F8</f>
        <v>#DIV/0!</v>
      </c>
      <c r="AB8" s="773" t="e">
        <f t="shared" ref="AB8:AB45" si="4">D8/H8</f>
        <v>#DIV/0!</v>
      </c>
      <c r="AC8" s="773" t="e">
        <f t="shared" ref="AC8:AC45" si="5">D8/J8</f>
        <v>#DIV/0!</v>
      </c>
    </row>
    <row r="9" spans="1:30" s="117" customFormat="1">
      <c r="A9" s="415" t="s">
        <v>2551</v>
      </c>
      <c r="B9" s="71" t="s">
        <v>2552</v>
      </c>
      <c r="C9" s="2700"/>
      <c r="D9" s="135">
        <v>100</v>
      </c>
      <c r="E9" s="2700"/>
      <c r="F9" s="135">
        <f>SUMIF(75:75,E9,76:76)-SUMIF(75:75,C9,76:76)+100</f>
        <v>100</v>
      </c>
      <c r="G9" s="2700"/>
      <c r="H9" s="135">
        <f>SUMIF(75:75,G9,76:76)-SUMIF(75:75,C9,76:76)+100</f>
        <v>100</v>
      </c>
      <c r="I9" s="2700"/>
      <c r="J9" s="135">
        <f>SUMIF(75:75,I9,76:76)-SUMIF(75:75,C9,76:76)+100</f>
        <v>100</v>
      </c>
      <c r="K9" s="611"/>
      <c r="L9" s="1134"/>
      <c r="M9" s="1135"/>
      <c r="N9" s="1135"/>
      <c r="O9" s="1136"/>
      <c r="P9" s="3201" t="s">
        <v>2553</v>
      </c>
      <c r="Q9" s="1797" t="str">
        <f t="shared" ref="Q9:Q15" si="6">B9</f>
        <v>用途</v>
      </c>
      <c r="R9" s="770" t="s">
        <v>17</v>
      </c>
      <c r="S9" s="771">
        <f t="shared" si="0"/>
        <v>100</v>
      </c>
      <c r="T9" s="770" t="s">
        <v>17</v>
      </c>
      <c r="U9" s="771">
        <f t="shared" si="1"/>
        <v>100</v>
      </c>
      <c r="V9" s="770" t="s">
        <v>17</v>
      </c>
      <c r="W9" s="771">
        <f t="shared" si="2"/>
        <v>100</v>
      </c>
      <c r="X9" s="772"/>
      <c r="Y9" s="3029"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138</v>
      </c>
      <c r="G10" s="463"/>
      <c r="H10" s="136">
        <f>ROUND(100/'数据-取费表'!G16,0)</f>
        <v>138</v>
      </c>
      <c r="I10" s="463"/>
      <c r="J10" s="136">
        <f>ROUND(100/'数据-取费表'!G16,0)</f>
        <v>138</v>
      </c>
      <c r="K10" s="672"/>
      <c r="L10" s="1137"/>
      <c r="M10" s="1138"/>
      <c r="N10" s="1138"/>
      <c r="O10" s="1139"/>
      <c r="P10" s="3201"/>
      <c r="Q10" s="1797" t="str">
        <f t="shared" si="6"/>
        <v>土地使用年限（年）</v>
      </c>
      <c r="R10" s="770" t="s">
        <v>17</v>
      </c>
      <c r="S10" s="771">
        <f t="shared" si="0"/>
        <v>138</v>
      </c>
      <c r="T10" s="770" t="s">
        <v>17</v>
      </c>
      <c r="U10" s="771">
        <f t="shared" si="1"/>
        <v>138</v>
      </c>
      <c r="V10" s="770" t="s">
        <v>17</v>
      </c>
      <c r="W10" s="771">
        <f t="shared" si="2"/>
        <v>138</v>
      </c>
      <c r="X10" s="772"/>
      <c r="Y10" s="3029"/>
      <c r="Z10" s="55" t="str">
        <f t="shared" si="7"/>
        <v>土地使用年限（年）</v>
      </c>
      <c r="AA10" s="773">
        <f t="shared" si="3"/>
        <v>0.72463768115942029</v>
      </c>
      <c r="AB10" s="773">
        <f t="shared" si="4"/>
        <v>0.72463768115942029</v>
      </c>
      <c r="AC10" s="773">
        <f t="shared" si="5"/>
        <v>0.72463768115942029</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01"/>
      <c r="Q11" s="179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601" t="s">
        <v>2745</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01"/>
      <c r="Q12" s="1797"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01"/>
      <c r="Q13" s="1797">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01"/>
      <c r="Q14" s="1797">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99.75">
      <c r="A15" s="440" t="s">
        <v>2557</v>
      </c>
      <c r="B15" s="69" t="s">
        <v>2082</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03" t="s">
        <v>2558</v>
      </c>
      <c r="Q15" s="1812" t="str">
        <f t="shared" si="6"/>
        <v>居住社区成熟度</v>
      </c>
      <c r="R15" s="774" t="s">
        <v>17</v>
      </c>
      <c r="S15" s="775">
        <f t="shared" si="0"/>
        <v>100</v>
      </c>
      <c r="T15" s="774" t="s">
        <v>17</v>
      </c>
      <c r="U15" s="775">
        <f t="shared" si="1"/>
        <v>100</v>
      </c>
      <c r="V15" s="774" t="s">
        <v>17</v>
      </c>
      <c r="W15" s="775">
        <f t="shared" si="2"/>
        <v>100</v>
      </c>
      <c r="X15" s="1815"/>
      <c r="Y15" s="3203" t="s">
        <v>2558</v>
      </c>
      <c r="Z15" s="1816" t="str">
        <f t="shared" si="7"/>
        <v>居住社区成熟度</v>
      </c>
      <c r="AA15" s="1813">
        <f t="shared" si="3"/>
        <v>1</v>
      </c>
      <c r="AB15" s="1813">
        <f t="shared" si="4"/>
        <v>1</v>
      </c>
      <c r="AC15" s="1813">
        <f t="shared" si="5"/>
        <v>1</v>
      </c>
    </row>
    <row r="16" spans="1:30" ht="15">
      <c r="A16" s="428"/>
      <c r="B16" s="446"/>
      <c r="C16" s="447"/>
      <c r="D16" s="448"/>
      <c r="E16" s="2606"/>
      <c r="F16" s="448"/>
      <c r="G16" s="2606"/>
      <c r="H16" s="450"/>
      <c r="I16" s="2605"/>
      <c r="J16" s="448"/>
      <c r="K16" s="672"/>
      <c r="L16" s="1142"/>
      <c r="M16" s="1133"/>
      <c r="N16" s="1133"/>
      <c r="O16" s="1141"/>
      <c r="P16" s="3204"/>
      <c r="Q16" s="1812"/>
      <c r="R16" s="774"/>
      <c r="S16" s="775"/>
      <c r="T16" s="774"/>
      <c r="U16" s="775"/>
      <c r="V16" s="774"/>
      <c r="W16" s="775"/>
      <c r="X16" s="1815"/>
      <c r="Y16" s="3204"/>
      <c r="Z16" s="1816"/>
      <c r="AA16" s="1813">
        <v>1</v>
      </c>
      <c r="AB16" s="1813">
        <v>1</v>
      </c>
      <c r="AC16" s="1813">
        <v>1</v>
      </c>
    </row>
    <row r="17" spans="1:29" ht="71.25">
      <c r="A17" s="428"/>
      <c r="B17" s="451" t="s">
        <v>2651</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04"/>
      <c r="Q17" s="1812" t="str">
        <f>B17</f>
        <v>商业繁华度</v>
      </c>
      <c r="R17" s="774" t="s">
        <v>17</v>
      </c>
      <c r="S17" s="775">
        <f>F17</f>
        <v>100</v>
      </c>
      <c r="T17" s="774" t="s">
        <v>17</v>
      </c>
      <c r="U17" s="775">
        <f>H17</f>
        <v>100</v>
      </c>
      <c r="V17" s="774" t="s">
        <v>17</v>
      </c>
      <c r="W17" s="775">
        <f>J17</f>
        <v>100</v>
      </c>
      <c r="X17" s="1815"/>
      <c r="Y17" s="3204"/>
      <c r="Z17" s="1816" t="str">
        <f>Q17</f>
        <v>商业繁华度</v>
      </c>
      <c r="AA17" s="1813">
        <f t="shared" si="3"/>
        <v>1</v>
      </c>
      <c r="AB17" s="1813">
        <f t="shared" si="4"/>
        <v>1</v>
      </c>
      <c r="AC17" s="1813">
        <f t="shared" si="5"/>
        <v>1</v>
      </c>
    </row>
    <row r="18" spans="1:29" ht="15">
      <c r="A18" s="428"/>
      <c r="B18" s="456"/>
      <c r="C18" s="2609"/>
      <c r="D18" s="450"/>
      <c r="E18" s="2611"/>
      <c r="F18" s="450"/>
      <c r="G18" s="2611"/>
      <c r="H18" s="448"/>
      <c r="I18" s="2610"/>
      <c r="J18" s="448"/>
      <c r="K18" s="672"/>
      <c r="L18" s="1142"/>
      <c r="M18" s="1133"/>
      <c r="N18" s="1133"/>
      <c r="O18" s="1141"/>
      <c r="P18" s="3204"/>
      <c r="Q18" s="1812"/>
      <c r="R18" s="774"/>
      <c r="S18" s="775"/>
      <c r="T18" s="774"/>
      <c r="U18" s="775"/>
      <c r="V18" s="774"/>
      <c r="W18" s="775"/>
      <c r="X18" s="1815"/>
      <c r="Y18" s="3204"/>
      <c r="Z18" s="1816"/>
      <c r="AA18" s="1813">
        <v>1</v>
      </c>
      <c r="AB18" s="1813">
        <v>1</v>
      </c>
      <c r="AC18" s="1813">
        <v>1</v>
      </c>
    </row>
    <row r="19" spans="1:29" ht="71.25">
      <c r="A19" s="428"/>
      <c r="B19" s="451" t="s">
        <v>2685</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04"/>
      <c r="Q19" s="1812" t="str">
        <f>B19</f>
        <v>办公集聚程度</v>
      </c>
      <c r="R19" s="774" t="s">
        <v>17</v>
      </c>
      <c r="S19" s="775">
        <f>F19</f>
        <v>100</v>
      </c>
      <c r="T19" s="774" t="s">
        <v>17</v>
      </c>
      <c r="U19" s="775">
        <f>H19</f>
        <v>100</v>
      </c>
      <c r="V19" s="774" t="s">
        <v>17</v>
      </c>
      <c r="W19" s="775">
        <f>J19</f>
        <v>100</v>
      </c>
      <c r="X19" s="1815"/>
      <c r="Y19" s="3204"/>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2"/>
      <c r="M20" s="1133"/>
      <c r="N20" s="1133"/>
      <c r="O20" s="1141"/>
      <c r="P20" s="3204"/>
      <c r="Q20" s="1812"/>
      <c r="R20" s="774"/>
      <c r="S20" s="775"/>
      <c r="T20" s="774"/>
      <c r="U20" s="775"/>
      <c r="V20" s="774"/>
      <c r="W20" s="775"/>
      <c r="X20" s="1815"/>
      <c r="Y20" s="3204"/>
      <c r="Z20" s="1816"/>
      <c r="AA20" s="1813">
        <v>1</v>
      </c>
      <c r="AB20" s="1813">
        <v>1</v>
      </c>
      <c r="AC20" s="1813">
        <v>1</v>
      </c>
    </row>
    <row r="21" spans="1:29" ht="85.5">
      <c r="A21" s="428"/>
      <c r="B21" s="451" t="s">
        <v>2707</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04"/>
      <c r="Q21" s="1812" t="str">
        <f>B21</f>
        <v>交通便捷度</v>
      </c>
      <c r="R21" s="774" t="s">
        <v>17</v>
      </c>
      <c r="S21" s="775">
        <f>F21</f>
        <v>100</v>
      </c>
      <c r="T21" s="774" t="s">
        <v>17</v>
      </c>
      <c r="U21" s="775">
        <f>H21</f>
        <v>100</v>
      </c>
      <c r="V21" s="774" t="s">
        <v>17</v>
      </c>
      <c r="W21" s="775">
        <f>J21</f>
        <v>100</v>
      </c>
      <c r="X21" s="1815"/>
      <c r="Y21" s="3204"/>
      <c r="Z21" s="1816" t="str">
        <f>Q21</f>
        <v>交通便捷度</v>
      </c>
      <c r="AA21" s="1813">
        <f t="shared" si="3"/>
        <v>1</v>
      </c>
      <c r="AB21" s="1813">
        <f t="shared" si="4"/>
        <v>1</v>
      </c>
      <c r="AC21" s="1813">
        <f t="shared" si="5"/>
        <v>1</v>
      </c>
    </row>
    <row r="22" spans="1:29" ht="15">
      <c r="A22" s="428"/>
      <c r="B22" s="1386"/>
      <c r="C22" s="447"/>
      <c r="D22" s="450"/>
      <c r="E22" s="2606"/>
      <c r="F22" s="448"/>
      <c r="G22" s="2606"/>
      <c r="H22" s="448"/>
      <c r="I22" s="2605"/>
      <c r="J22" s="448"/>
      <c r="K22" s="672"/>
      <c r="L22" s="1142"/>
      <c r="M22" s="1133"/>
      <c r="N22" s="1133"/>
      <c r="O22" s="1141"/>
      <c r="P22" s="3204"/>
      <c r="Q22" s="1812"/>
      <c r="R22" s="774"/>
      <c r="S22" s="775"/>
      <c r="T22" s="774"/>
      <c r="U22" s="775"/>
      <c r="V22" s="774"/>
      <c r="W22" s="775"/>
      <c r="X22" s="1815"/>
      <c r="Y22" s="3204"/>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04"/>
      <c r="Q23" s="1812" t="str">
        <f t="shared" ref="Q23:Q37" si="8">B23</f>
        <v>区域土地利用方向</v>
      </c>
      <c r="R23" s="774" t="s">
        <v>17</v>
      </c>
      <c r="S23" s="775">
        <f>F23</f>
        <v>100</v>
      </c>
      <c r="T23" s="774" t="s">
        <v>17</v>
      </c>
      <c r="U23" s="775">
        <f>H23</f>
        <v>100</v>
      </c>
      <c r="V23" s="774" t="s">
        <v>17</v>
      </c>
      <c r="W23" s="775">
        <f>J23</f>
        <v>100</v>
      </c>
      <c r="X23" s="1815"/>
      <c r="Y23" s="3204"/>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2"/>
      <c r="L24" s="1142"/>
      <c r="M24" s="1133"/>
      <c r="N24" s="1133"/>
      <c r="O24" s="1141"/>
      <c r="P24" s="3204"/>
      <c r="Q24" s="1812"/>
      <c r="R24" s="774"/>
      <c r="S24" s="775"/>
      <c r="T24" s="774"/>
      <c r="U24" s="775"/>
      <c r="V24" s="774"/>
      <c r="W24" s="775"/>
      <c r="X24" s="1815"/>
      <c r="Y24" s="3204"/>
      <c r="Z24" s="1816"/>
      <c r="AA24" s="1813"/>
      <c r="AB24" s="1813"/>
      <c r="AC24" s="1813"/>
    </row>
    <row r="25" spans="1:29" ht="57">
      <c r="A25" s="404"/>
      <c r="B25" s="1386" t="s">
        <v>2747</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04"/>
      <c r="Q25" s="1812" t="str">
        <f t="shared" si="8"/>
        <v>自然及人文环境状况</v>
      </c>
      <c r="R25" s="774" t="s">
        <v>17</v>
      </c>
      <c r="S25" s="775">
        <f>F25</f>
        <v>100</v>
      </c>
      <c r="T25" s="774" t="s">
        <v>17</v>
      </c>
      <c r="U25" s="775">
        <f>H25</f>
        <v>100</v>
      </c>
      <c r="V25" s="774" t="s">
        <v>17</v>
      </c>
      <c r="W25" s="775">
        <f>J25</f>
        <v>100</v>
      </c>
      <c r="X25" s="1815"/>
      <c r="Y25" s="3204"/>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2"/>
      <c r="M26" s="1133"/>
      <c r="N26" s="1133"/>
      <c r="O26" s="1141"/>
      <c r="P26" s="3204"/>
      <c r="Q26" s="1812"/>
      <c r="R26" s="774"/>
      <c r="S26" s="775"/>
      <c r="T26" s="774"/>
      <c r="U26" s="775"/>
      <c r="V26" s="774"/>
      <c r="W26" s="775"/>
      <c r="X26" s="1815"/>
      <c r="Y26" s="3204"/>
      <c r="Z26" s="1816"/>
      <c r="AA26" s="1813">
        <v>1</v>
      </c>
      <c r="AB26" s="1813">
        <v>1</v>
      </c>
      <c r="AC26" s="1813">
        <v>1</v>
      </c>
    </row>
    <row r="27" spans="1:29" s="117" customFormat="1" ht="42.75">
      <c r="A27" s="649"/>
      <c r="B27" s="1386" t="s">
        <v>2652</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04"/>
      <c r="Q27" s="1797" t="str">
        <f t="shared" si="8"/>
        <v>公共配套设施</v>
      </c>
      <c r="R27" s="770" t="s">
        <v>17</v>
      </c>
      <c r="S27" s="771">
        <f>F27</f>
        <v>100</v>
      </c>
      <c r="T27" s="770" t="s">
        <v>17</v>
      </c>
      <c r="U27" s="771">
        <f>H27</f>
        <v>100</v>
      </c>
      <c r="V27" s="770" t="s">
        <v>17</v>
      </c>
      <c r="W27" s="771">
        <f>J27</f>
        <v>100</v>
      </c>
      <c r="X27" s="772"/>
      <c r="Y27" s="3204"/>
      <c r="Z27" s="55" t="str">
        <f>Q27</f>
        <v>公共配套设施</v>
      </c>
      <c r="AA27" s="1813">
        <f>D27/F27</f>
        <v>1</v>
      </c>
      <c r="AB27" s="1813">
        <f>D27/H27</f>
        <v>1</v>
      </c>
      <c r="AC27" s="1813">
        <f>D27/J27</f>
        <v>1</v>
      </c>
    </row>
    <row r="28" spans="1:29" s="117" customFormat="1" ht="15">
      <c r="A28" s="649"/>
      <c r="B28" s="456"/>
      <c r="C28" s="2701"/>
      <c r="D28" s="448"/>
      <c r="E28" s="2612"/>
      <c r="F28" s="448"/>
      <c r="G28" s="2612"/>
      <c r="H28" s="448"/>
      <c r="I28" s="447"/>
      <c r="J28" s="448"/>
      <c r="K28" s="672"/>
      <c r="L28" s="1134"/>
      <c r="M28" s="1135"/>
      <c r="N28" s="1135"/>
      <c r="O28" s="1136"/>
      <c r="P28" s="3204"/>
      <c r="Q28" s="1797"/>
      <c r="R28" s="770"/>
      <c r="S28" s="771"/>
      <c r="T28" s="770"/>
      <c r="U28" s="771"/>
      <c r="V28" s="770"/>
      <c r="W28" s="771"/>
      <c r="X28" s="772"/>
      <c r="Y28" s="3204"/>
      <c r="Z28" s="55"/>
      <c r="AA28" s="1813">
        <v>1</v>
      </c>
      <c r="AB28" s="1813">
        <v>1</v>
      </c>
      <c r="AC28" s="1813">
        <v>1</v>
      </c>
    </row>
    <row r="29" spans="1:29" s="117" customFormat="1" ht="28.5">
      <c r="A29" s="649"/>
      <c r="B29" s="1386" t="s">
        <v>2653</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04"/>
      <c r="Q29" s="1797"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3">
        <f>D29/F29</f>
        <v>1</v>
      </c>
      <c r="AB29" s="1813">
        <f>D29/H29</f>
        <v>1</v>
      </c>
      <c r="AC29" s="1813">
        <f>D29/J29</f>
        <v>1</v>
      </c>
    </row>
    <row r="30" spans="1:29" s="117" customFormat="1" ht="15">
      <c r="A30" s="649"/>
      <c r="B30" s="456"/>
      <c r="C30" s="2701"/>
      <c r="D30" s="448"/>
      <c r="E30" s="2702"/>
      <c r="F30" s="448"/>
      <c r="G30" s="2702"/>
      <c r="H30" s="448"/>
      <c r="I30" s="2702"/>
      <c r="J30" s="448"/>
      <c r="K30" s="672"/>
      <c r="L30" s="1134"/>
      <c r="M30" s="1135"/>
      <c r="N30" s="1135"/>
      <c r="O30" s="1136"/>
      <c r="P30" s="3204"/>
      <c r="Q30" s="1797"/>
      <c r="R30" s="770"/>
      <c r="S30" s="771"/>
      <c r="T30" s="770"/>
      <c r="U30" s="771"/>
      <c r="V30" s="770"/>
      <c r="W30" s="771"/>
      <c r="X30" s="772"/>
      <c r="Y30" s="3204"/>
      <c r="Z30" s="55"/>
      <c r="AA30" s="1813">
        <v>1</v>
      </c>
      <c r="AB30" s="1813">
        <v>1</v>
      </c>
      <c r="AC30" s="1813">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0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4"/>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04"/>
      <c r="Q32" s="1812" t="str">
        <f t="shared" si="8"/>
        <v>毗邻道路的类型与等级</v>
      </c>
      <c r="R32" s="774" t="s">
        <v>17</v>
      </c>
      <c r="S32" s="775">
        <f t="shared" si="10"/>
        <v>100</v>
      </c>
      <c r="T32" s="774" t="s">
        <v>17</v>
      </c>
      <c r="U32" s="775">
        <f t="shared" si="11"/>
        <v>100</v>
      </c>
      <c r="V32" s="774" t="s">
        <v>17</v>
      </c>
      <c r="W32" s="775">
        <f t="shared" si="12"/>
        <v>100</v>
      </c>
      <c r="X32" s="1815"/>
      <c r="Y32" s="3204"/>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2"/>
      <c r="M33" s="1133"/>
      <c r="N33" s="1133"/>
      <c r="O33" s="1141"/>
      <c r="P33" s="3204"/>
      <c r="Q33" s="1812"/>
      <c r="R33" s="774"/>
      <c r="S33" s="775"/>
      <c r="T33" s="774"/>
      <c r="U33" s="775"/>
      <c r="V33" s="774"/>
      <c r="W33" s="775"/>
      <c r="X33" s="1815"/>
      <c r="Y33" s="3204"/>
      <c r="Z33" s="1816"/>
      <c r="AA33" s="1813">
        <v>1</v>
      </c>
      <c r="AB33" s="1813">
        <v>1</v>
      </c>
      <c r="AC33" s="1813">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04"/>
      <c r="Q34" s="1812" t="str">
        <f t="shared" si="8"/>
        <v>土地级别</v>
      </c>
      <c r="R34" s="774" t="s">
        <v>17</v>
      </c>
      <c r="S34" s="775">
        <f t="shared" si="10"/>
        <v>100</v>
      </c>
      <c r="T34" s="774" t="s">
        <v>17</v>
      </c>
      <c r="U34" s="775">
        <f t="shared" si="11"/>
        <v>100</v>
      </c>
      <c r="V34" s="774" t="s">
        <v>17</v>
      </c>
      <c r="W34" s="775">
        <f t="shared" si="12"/>
        <v>100</v>
      </c>
      <c r="X34" s="1815"/>
      <c r="Y34" s="320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04"/>
      <c r="Q35" s="1812">
        <f t="shared" si="8"/>
        <v>111</v>
      </c>
      <c r="R35" s="774" t="s">
        <v>17</v>
      </c>
      <c r="S35" s="775">
        <f t="shared" si="10"/>
        <v>100</v>
      </c>
      <c r="T35" s="774" t="s">
        <v>17</v>
      </c>
      <c r="U35" s="775">
        <f t="shared" si="11"/>
        <v>100</v>
      </c>
      <c r="V35" s="774" t="s">
        <v>17</v>
      </c>
      <c r="W35" s="775">
        <f t="shared" si="12"/>
        <v>100</v>
      </c>
      <c r="X35" s="1815"/>
      <c r="Y35" s="320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59" t="s">
        <v>2563</v>
      </c>
      <c r="Q36" s="1812">
        <f t="shared" si="8"/>
        <v>111</v>
      </c>
      <c r="R36" s="774" t="s">
        <v>17</v>
      </c>
      <c r="S36" s="775">
        <f t="shared" si="10"/>
        <v>100</v>
      </c>
      <c r="T36" s="774" t="s">
        <v>17</v>
      </c>
      <c r="U36" s="775">
        <f t="shared" si="11"/>
        <v>100</v>
      </c>
      <c r="V36" s="774" t="s">
        <v>17</v>
      </c>
      <c r="W36" s="775">
        <f t="shared" si="12"/>
        <v>100</v>
      </c>
      <c r="X36" s="1815"/>
      <c r="Y36" s="3208" t="s">
        <v>2563</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08"/>
      <c r="Q37" s="1812">
        <f t="shared" si="8"/>
        <v>111</v>
      </c>
      <c r="R37" s="777" t="s">
        <v>17</v>
      </c>
      <c r="S37" s="778">
        <f t="shared" si="10"/>
        <v>100</v>
      </c>
      <c r="T37" s="777" t="s">
        <v>17</v>
      </c>
      <c r="U37" s="778">
        <f t="shared" si="11"/>
        <v>100</v>
      </c>
      <c r="V37" s="777" t="s">
        <v>17</v>
      </c>
      <c r="W37" s="778">
        <f t="shared" si="12"/>
        <v>100</v>
      </c>
      <c r="X37" s="779"/>
      <c r="Y37" s="3208"/>
      <c r="Z37" s="780">
        <f t="shared" si="13"/>
        <v>111</v>
      </c>
      <c r="AA37" s="1813">
        <f t="shared" si="3"/>
        <v>1</v>
      </c>
      <c r="AB37" s="1813">
        <f t="shared" si="4"/>
        <v>1</v>
      </c>
      <c r="AC37" s="1813">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08"/>
      <c r="Q38" s="1812" t="str">
        <f>B38</f>
        <v>宗地面积</v>
      </c>
      <c r="R38" s="774" t="s">
        <v>17</v>
      </c>
      <c r="S38" s="775" t="e">
        <f t="shared" si="10"/>
        <v>#N/A</v>
      </c>
      <c r="T38" s="774" t="s">
        <v>17</v>
      </c>
      <c r="U38" s="775" t="e">
        <f t="shared" si="11"/>
        <v>#N/A</v>
      </c>
      <c r="V38" s="774" t="s">
        <v>17</v>
      </c>
      <c r="W38" s="775" t="e">
        <f t="shared" si="12"/>
        <v>#N/A</v>
      </c>
      <c r="X38" s="1815"/>
      <c r="Y38" s="3208"/>
      <c r="Z38" s="1816" t="str">
        <f t="shared" si="13"/>
        <v>宗地面积</v>
      </c>
      <c r="AA38" s="1813" t="e">
        <f t="shared" si="3"/>
        <v>#N/A</v>
      </c>
      <c r="AB38" s="1813" t="e">
        <f t="shared" si="4"/>
        <v>#N/A</v>
      </c>
      <c r="AC38" s="1813" t="e">
        <f t="shared" si="5"/>
        <v>#N/A</v>
      </c>
    </row>
    <row r="39" spans="1:29" ht="15">
      <c r="A39" s="472"/>
      <c r="B39" s="422" t="s">
        <v>2750</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2"/>
      <c r="M39" s="1133"/>
      <c r="N39" s="1133"/>
      <c r="O39" s="1141"/>
      <c r="P39" s="3208"/>
      <c r="Q39" s="1812" t="str">
        <f t="shared" ref="Q39:Q45" si="14">B39</f>
        <v>宗地形状</v>
      </c>
      <c r="R39" s="774" t="s">
        <v>17</v>
      </c>
      <c r="S39" s="775">
        <f t="shared" si="10"/>
        <v>100</v>
      </c>
      <c r="T39" s="774" t="s">
        <v>17</v>
      </c>
      <c r="U39" s="775">
        <f t="shared" si="11"/>
        <v>100</v>
      </c>
      <c r="V39" s="774" t="s">
        <v>17</v>
      </c>
      <c r="W39" s="775">
        <f t="shared" si="12"/>
        <v>100</v>
      </c>
      <c r="X39" s="1815"/>
      <c r="Y39" s="3208"/>
      <c r="Z39" s="1816" t="str">
        <f t="shared" si="13"/>
        <v>宗地形状</v>
      </c>
      <c r="AA39" s="1813">
        <f t="shared" si="3"/>
        <v>1</v>
      </c>
      <c r="AB39" s="1813">
        <f t="shared" si="4"/>
        <v>1</v>
      </c>
      <c r="AC39" s="1813">
        <f t="shared" si="5"/>
        <v>1</v>
      </c>
    </row>
    <row r="40" spans="1:29" ht="15">
      <c r="A40" s="472"/>
      <c r="B40" s="422" t="s">
        <v>2751</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2"/>
      <c r="M40" s="1133"/>
      <c r="N40" s="1133"/>
      <c r="O40" s="1141"/>
      <c r="P40" s="3208"/>
      <c r="Q40" s="1812" t="str">
        <f t="shared" si="14"/>
        <v>临街宽度及深度</v>
      </c>
      <c r="R40" s="774" t="s">
        <v>17</v>
      </c>
      <c r="S40" s="775">
        <f t="shared" si="10"/>
        <v>100</v>
      </c>
      <c r="T40" s="774" t="s">
        <v>17</v>
      </c>
      <c r="U40" s="775">
        <f t="shared" si="11"/>
        <v>100</v>
      </c>
      <c r="V40" s="774" t="s">
        <v>17</v>
      </c>
      <c r="W40" s="775">
        <f t="shared" si="12"/>
        <v>100</v>
      </c>
      <c r="X40" s="1815"/>
      <c r="Y40" s="3208"/>
      <c r="Z40" s="1816" t="str">
        <f t="shared" si="13"/>
        <v>临街宽度及深度</v>
      </c>
      <c r="AA40" s="1813">
        <f t="shared" si="3"/>
        <v>1</v>
      </c>
      <c r="AB40" s="1813">
        <f t="shared" si="4"/>
        <v>1</v>
      </c>
      <c r="AC40" s="1813">
        <f t="shared" si="5"/>
        <v>1</v>
      </c>
    </row>
    <row r="41" spans="1:29" s="117" customFormat="1" ht="15">
      <c r="A41" s="473"/>
      <c r="B41" s="422" t="s">
        <v>2752</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4"/>
      <c r="M41" s="1135"/>
      <c r="N41" s="1135"/>
      <c r="O41" s="1136"/>
      <c r="P41" s="3208"/>
      <c r="Q41" s="1812"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2753</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2"/>
      <c r="M42" s="1133"/>
      <c r="N42" s="1133"/>
      <c r="O42" s="1141"/>
      <c r="P42" s="3208" t="s">
        <v>2563</v>
      </c>
      <c r="Q42" s="1812" t="str">
        <f t="shared" si="14"/>
        <v>工程地质条件</v>
      </c>
      <c r="R42" s="774" t="s">
        <v>17</v>
      </c>
      <c r="S42" s="775">
        <f t="shared" si="10"/>
        <v>100</v>
      </c>
      <c r="T42" s="774" t="s">
        <v>17</v>
      </c>
      <c r="U42" s="775">
        <f t="shared" si="11"/>
        <v>100</v>
      </c>
      <c r="V42" s="774" t="s">
        <v>17</v>
      </c>
      <c r="W42" s="775">
        <f t="shared" si="12"/>
        <v>100</v>
      </c>
      <c r="X42" s="1815"/>
      <c r="Y42" s="3208" t="s">
        <v>2563</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08"/>
      <c r="Q43" s="1812">
        <f t="shared" si="14"/>
        <v>111</v>
      </c>
      <c r="R43" s="774" t="s">
        <v>17</v>
      </c>
      <c r="S43" s="775">
        <f t="shared" si="10"/>
        <v>100</v>
      </c>
      <c r="T43" s="774" t="s">
        <v>17</v>
      </c>
      <c r="U43" s="775">
        <f t="shared" si="11"/>
        <v>100</v>
      </c>
      <c r="V43" s="774" t="s">
        <v>17</v>
      </c>
      <c r="W43" s="775">
        <f t="shared" si="12"/>
        <v>100</v>
      </c>
      <c r="X43" s="1815"/>
      <c r="Y43" s="320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08"/>
      <c r="Q44" s="1812">
        <f t="shared" si="14"/>
        <v>111</v>
      </c>
      <c r="R44" s="774" t="s">
        <v>17</v>
      </c>
      <c r="S44" s="775">
        <f t="shared" si="10"/>
        <v>100</v>
      </c>
      <c r="T44" s="774" t="s">
        <v>17</v>
      </c>
      <c r="U44" s="775">
        <f t="shared" si="11"/>
        <v>100</v>
      </c>
      <c r="V44" s="774" t="s">
        <v>17</v>
      </c>
      <c r="W44" s="775">
        <f t="shared" si="12"/>
        <v>100</v>
      </c>
      <c r="X44" s="1815"/>
      <c r="Y44" s="3208"/>
      <c r="Z44" s="1816">
        <f t="shared" si="13"/>
        <v>111</v>
      </c>
      <c r="AA44" s="1813">
        <f t="shared" si="3"/>
        <v>1</v>
      </c>
      <c r="AB44" s="1813">
        <f t="shared" si="4"/>
        <v>1</v>
      </c>
      <c r="AC44" s="1813">
        <f t="shared" si="5"/>
        <v>1</v>
      </c>
    </row>
    <row r="45" spans="1:29" s="471" customFormat="1" ht="15.75"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08"/>
      <c r="Q45" s="1812">
        <f t="shared" si="14"/>
        <v>111</v>
      </c>
      <c r="R45" s="777" t="s">
        <v>17</v>
      </c>
      <c r="S45" s="778">
        <f t="shared" si="10"/>
        <v>100</v>
      </c>
      <c r="T45" s="777" t="s">
        <v>17</v>
      </c>
      <c r="U45" s="778">
        <f t="shared" si="11"/>
        <v>100</v>
      </c>
      <c r="V45" s="777" t="s">
        <v>17</v>
      </c>
      <c r="W45" s="778">
        <f t="shared" si="12"/>
        <v>100</v>
      </c>
      <c r="X45" s="779"/>
      <c r="Y45" s="3208"/>
      <c r="Z45" s="780">
        <f t="shared" si="13"/>
        <v>111</v>
      </c>
      <c r="AA45" s="1813">
        <f t="shared" si="3"/>
        <v>1</v>
      </c>
      <c r="AB45" s="1813">
        <f t="shared" si="4"/>
        <v>1</v>
      </c>
      <c r="AC45" s="1813">
        <f t="shared" si="5"/>
        <v>1</v>
      </c>
    </row>
    <row r="46" spans="1:29" ht="15">
      <c r="A46" s="479" t="s">
        <v>2718</v>
      </c>
      <c r="B46" s="2705" t="s">
        <v>2754</v>
      </c>
      <c r="C46" s="682" t="s">
        <v>1</v>
      </c>
      <c r="D46" s="481"/>
      <c r="E46" s="482"/>
      <c r="F46" s="483"/>
      <c r="G46" s="484"/>
      <c r="H46" s="485"/>
      <c r="I46" s="482"/>
      <c r="J46" s="485"/>
      <c r="K46" s="783"/>
      <c r="L46" s="1145"/>
      <c r="M46" s="1146"/>
      <c r="N46" s="1133"/>
      <c r="O46" s="1146"/>
      <c r="P46" s="3201" t="str">
        <f>A46</f>
        <v>成交单价</v>
      </c>
      <c r="Q46" s="3201"/>
      <c r="R46" s="3232">
        <f>E46</f>
        <v>0</v>
      </c>
      <c r="S46" s="3232"/>
      <c r="T46" s="3232">
        <f>G46</f>
        <v>0</v>
      </c>
      <c r="U46" s="3232"/>
      <c r="V46" s="3232">
        <f>I46</f>
        <v>0</v>
      </c>
      <c r="W46" s="3232"/>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5"/>
      <c r="M47" s="1146"/>
      <c r="N47" s="1146"/>
      <c r="O47" s="1146"/>
      <c r="P47" s="3201" t="str">
        <f>A47</f>
        <v>比较价值（元/平方米）</v>
      </c>
      <c r="Q47" s="3201"/>
      <c r="R47" s="3260" t="e">
        <f>ROUND(PRODUCT(R46,AA7:AA45),0)</f>
        <v>#DIV/0!</v>
      </c>
      <c r="S47" s="3260"/>
      <c r="T47" s="3260" t="e">
        <f>ROUND(PRODUCT(T46,AB7:AB45),0)</f>
        <v>#DIV/0!</v>
      </c>
      <c r="U47" s="3260"/>
      <c r="V47" s="3260" t="e">
        <f>ROUND(PRODUCT(V46,AC7:AC45),0)</f>
        <v>#DIV/0!</v>
      </c>
      <c r="W47" s="3260"/>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5"/>
      <c r="M48" s="1146"/>
      <c r="N48" s="1146"/>
      <c r="O48" s="1146"/>
      <c r="P48" s="3198" t="str">
        <f>A48</f>
        <v>估价对象XX用房的比较价值（楼面单价，元/平方米）</v>
      </c>
      <c r="Q48" s="3199"/>
      <c r="R48" s="3261" t="e">
        <f>ROUND(AVERAGE(R47:V47),0)</f>
        <v>#DIV/0!</v>
      </c>
      <c r="S48" s="3261"/>
      <c r="T48" s="3261"/>
      <c r="U48" s="3261"/>
      <c r="V48" s="3261"/>
      <c r="W48" s="3261"/>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2756</v>
      </c>
      <c r="B55" s="685" t="s">
        <v>2757</v>
      </c>
      <c r="C55" s="2706" t="s">
        <v>2758</v>
      </c>
      <c r="D55" s="2707" t="s">
        <v>2759</v>
      </c>
      <c r="E55" s="686" t="s">
        <v>2760</v>
      </c>
      <c r="F55" s="1109" t="s">
        <v>2761</v>
      </c>
      <c r="G55" s="3216" t="s">
        <v>2762</v>
      </c>
      <c r="H55" s="3262"/>
      <c r="I55" s="144" t="s">
        <v>2763</v>
      </c>
      <c r="J55" s="2708">
        <f>项目基本情况!F35</f>
        <v>0</v>
      </c>
      <c r="K55" s="2709" t="s">
        <v>2764</v>
      </c>
      <c r="L55" s="1108"/>
      <c r="M55" s="1146"/>
      <c r="N55" s="1146"/>
      <c r="O55" s="1146"/>
    </row>
    <row r="56" spans="1:15" s="692" customFormat="1">
      <c r="A56" s="688" t="s">
        <v>2765</v>
      </c>
      <c r="B56" s="689" t="e">
        <f>C48</f>
        <v>#DIV/0!</v>
      </c>
      <c r="C56" s="690">
        <v>1</v>
      </c>
      <c r="D56" s="1165">
        <v>1</v>
      </c>
      <c r="E56" s="690">
        <f>'数据-汇总表'!E8+'数据-汇总表'!E9</f>
        <v>21737.040000000001</v>
      </c>
      <c r="F56" s="1105" t="e">
        <f t="shared" ref="F56:F65" si="15">ROUND(B56*E56/10000,0)</f>
        <v>#DIV/0!</v>
      </c>
      <c r="G56" s="3212"/>
      <c r="H56" s="3201"/>
      <c r="I56" s="1110">
        <v>1</v>
      </c>
      <c r="J56" s="1113">
        <v>1</v>
      </c>
      <c r="K56" s="1147"/>
      <c r="L56" s="944"/>
      <c r="M56" s="944"/>
      <c r="N56" s="944"/>
      <c r="O56" s="944"/>
    </row>
    <row r="57" spans="1:15" s="692" customFormat="1">
      <c r="A57" s="693" t="s">
        <v>2766</v>
      </c>
      <c r="B57" s="262" t="e">
        <f>ROUND($C$48*C57*D57,0)</f>
        <v>#DIV/0!</v>
      </c>
      <c r="C57" s="200">
        <f t="shared" ref="C57:C65" si="16">IF($C$55="北京市系数",I57,J57)</f>
        <v>0</v>
      </c>
      <c r="D57" s="1166">
        <v>0.25</v>
      </c>
      <c r="E57" s="694"/>
      <c r="F57" s="1105" t="e">
        <f t="shared" si="15"/>
        <v>#DIV/0!</v>
      </c>
      <c r="G57" s="3263" t="s">
        <v>2767</v>
      </c>
      <c r="H57" s="1106">
        <f>项目基本情况!B37</f>
        <v>0</v>
      </c>
      <c r="I57" s="1110">
        <f>SUMIF(修正!A45:A56,H57,修正!B45:B56)</f>
        <v>0</v>
      </c>
      <c r="J57" s="1114"/>
      <c r="K57" s="1146"/>
      <c r="L57" s="944"/>
      <c r="M57" s="944"/>
      <c r="N57" s="944"/>
      <c r="O57" s="944"/>
    </row>
    <row r="58" spans="1:15" s="692" customFormat="1">
      <c r="A58" s="693" t="s">
        <v>2768</v>
      </c>
      <c r="B58" s="262" t="e">
        <f t="shared" ref="B58:B65" si="17">ROUND($C$48*C58*D58,0)</f>
        <v>#DIV/0!</v>
      </c>
      <c r="C58" s="200">
        <f t="shared" si="16"/>
        <v>0</v>
      </c>
      <c r="D58" s="1166">
        <v>0.25</v>
      </c>
      <c r="E58" s="694"/>
      <c r="F58" s="1105" t="e">
        <f t="shared" si="15"/>
        <v>#DIV/0!</v>
      </c>
      <c r="G58" s="3263"/>
      <c r="H58" s="1106">
        <f>项目基本情况!B37</f>
        <v>0</v>
      </c>
      <c r="I58" s="1110">
        <f>SUMIF(修正!A45:A56,H58,修正!C45:C56)</f>
        <v>0</v>
      </c>
      <c r="J58" s="1114"/>
      <c r="K58" s="1147"/>
      <c r="L58" s="944"/>
      <c r="M58" s="944"/>
      <c r="N58" s="944"/>
      <c r="O58" s="944"/>
    </row>
    <row r="59" spans="1:15" s="692" customFormat="1">
      <c r="A59" s="693" t="s">
        <v>2769</v>
      </c>
      <c r="B59" s="262" t="e">
        <f t="shared" si="17"/>
        <v>#DIV/0!</v>
      </c>
      <c r="C59" s="200">
        <f t="shared" si="16"/>
        <v>0</v>
      </c>
      <c r="D59" s="1166">
        <v>0.25</v>
      </c>
      <c r="E59" s="694"/>
      <c r="F59" s="1105" t="e">
        <f t="shared" si="15"/>
        <v>#DIV/0!</v>
      </c>
      <c r="G59" s="3263"/>
      <c r="H59" s="1106">
        <f>项目基本情况!B37</f>
        <v>0</v>
      </c>
      <c r="I59" s="1110">
        <f>SUMIF(修正!A45:A56,H59,修正!D45:D56)</f>
        <v>0</v>
      </c>
      <c r="J59" s="1114"/>
      <c r="K59" s="1146"/>
      <c r="L59" s="944"/>
      <c r="M59" s="944"/>
      <c r="N59" s="944"/>
      <c r="O59" s="944"/>
    </row>
    <row r="60" spans="1:15" s="692" customFormat="1">
      <c r="A60" s="693" t="s">
        <v>2770</v>
      </c>
      <c r="B60" s="262" t="e">
        <f t="shared" si="17"/>
        <v>#DIV/0!</v>
      </c>
      <c r="C60" s="200">
        <f t="shared" si="16"/>
        <v>0</v>
      </c>
      <c r="D60" s="1166">
        <v>0.25</v>
      </c>
      <c r="E60" s="694"/>
      <c r="F60" s="1105" t="e">
        <f t="shared" si="15"/>
        <v>#DIV/0!</v>
      </c>
      <c r="G60" s="3263"/>
      <c r="H60" s="1106">
        <f>项目基本情况!B37</f>
        <v>0</v>
      </c>
      <c r="I60" s="1110">
        <f>SUMIF(修正!A45:A56,H60,修正!E45:E56)</f>
        <v>0</v>
      </c>
      <c r="J60" s="1114"/>
      <c r="K60" s="1147"/>
      <c r="L60" s="944"/>
      <c r="M60" s="944"/>
      <c r="N60" s="944"/>
      <c r="O60" s="944"/>
    </row>
    <row r="61" spans="1:15" s="692" customFormat="1">
      <c r="A61" s="693" t="s">
        <v>2771</v>
      </c>
      <c r="B61" s="262" t="e">
        <f t="shared" si="17"/>
        <v>#DIV/0!</v>
      </c>
      <c r="C61" s="200">
        <f t="shared" si="16"/>
        <v>0</v>
      </c>
      <c r="D61" s="1166">
        <v>0.25</v>
      </c>
      <c r="E61" s="261">
        <f>'数据-汇总表'!E11</f>
        <v>0</v>
      </c>
      <c r="F61" s="1105" t="e">
        <f t="shared" si="15"/>
        <v>#DIV/0!</v>
      </c>
      <c r="G61" s="2710" t="s">
        <v>2772</v>
      </c>
      <c r="H61" s="1106">
        <f>项目基本情况!C37</f>
        <v>0</v>
      </c>
      <c r="I61" s="1110">
        <f>SUMIF(修正!A45:A56,H61,修正!F45:F56)</f>
        <v>0</v>
      </c>
      <c r="J61" s="1114"/>
      <c r="K61" s="1146"/>
      <c r="L61" s="944"/>
      <c r="M61" s="944"/>
      <c r="N61" s="944"/>
      <c r="O61" s="944"/>
    </row>
    <row r="62" spans="1:15" s="692" customFormat="1">
      <c r="A62" s="693" t="s">
        <v>2773</v>
      </c>
      <c r="B62" s="262" t="e">
        <f t="shared" si="17"/>
        <v>#DIV/0!</v>
      </c>
      <c r="C62" s="200">
        <f t="shared" si="16"/>
        <v>0</v>
      </c>
      <c r="D62" s="1166">
        <v>0.25</v>
      </c>
      <c r="E62" s="261">
        <f>'数据-汇总表'!E12</f>
        <v>6335.88</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2775</v>
      </c>
      <c r="B63" s="262" t="e">
        <f t="shared" si="17"/>
        <v>#DIV/0!</v>
      </c>
      <c r="C63" s="200">
        <f t="shared" si="16"/>
        <v>0</v>
      </c>
      <c r="D63" s="1166">
        <v>0.25</v>
      </c>
      <c r="E63" s="261">
        <f>'数据-汇总表'!E13</f>
        <v>2653.6499999999987</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2777</v>
      </c>
      <c r="B64" s="262" t="e">
        <f t="shared" si="17"/>
        <v>#DIV/0!</v>
      </c>
      <c r="C64" s="200">
        <f t="shared" si="16"/>
        <v>0</v>
      </c>
      <c r="D64" s="1166">
        <v>0.25</v>
      </c>
      <c r="E64" s="261">
        <f>'数据-汇总表'!E14</f>
        <v>0</v>
      </c>
      <c r="F64" s="1105" t="e">
        <f t="shared" si="15"/>
        <v>#DIV/0!</v>
      </c>
      <c r="G64" s="2710" t="s">
        <v>2767</v>
      </c>
      <c r="H64" s="1106">
        <f>项目基本情况!B37</f>
        <v>0</v>
      </c>
      <c r="I64" s="1110">
        <f>SUMIF(修正!A45:A56,H64,修正!H45:H56)</f>
        <v>0</v>
      </c>
      <c r="J64" s="1114"/>
      <c r="K64" s="1147"/>
      <c r="L64" s="944"/>
      <c r="M64" s="944"/>
      <c r="N64" s="944"/>
      <c r="O64" s="944"/>
    </row>
    <row r="65" spans="1:17" s="692" customFormat="1" ht="15" thickBot="1">
      <c r="A65" s="693" t="s">
        <v>2778</v>
      </c>
      <c r="B65" s="262" t="e">
        <f t="shared" si="17"/>
        <v>#DIV/0!</v>
      </c>
      <c r="C65" s="200">
        <f t="shared" si="16"/>
        <v>0</v>
      </c>
      <c r="D65" s="1166">
        <v>0.25</v>
      </c>
      <c r="E65" s="261">
        <f>'数据-汇总表'!E15</f>
        <v>0</v>
      </c>
      <c r="F65" s="1105" t="e">
        <f t="shared" si="15"/>
        <v>#DIV/0!</v>
      </c>
      <c r="G65" s="2711" t="s">
        <v>2772</v>
      </c>
      <c r="H65" s="1116">
        <f>项目基本情况!C37</f>
        <v>0</v>
      </c>
      <c r="I65" s="1112">
        <f>SUMIF(修正!A45:A56,H65,修正!H45:H56)</f>
        <v>0</v>
      </c>
      <c r="J65" s="1115"/>
      <c r="K65" s="1146"/>
      <c r="L65" s="944"/>
      <c r="M65" s="944"/>
      <c r="N65" s="944"/>
      <c r="O65" s="944"/>
    </row>
    <row r="66" spans="1:17" s="692" customFormat="1" ht="13.5" thickBot="1">
      <c r="A66" s="695" t="s">
        <v>2779</v>
      </c>
      <c r="B66" s="696" t="s">
        <v>28</v>
      </c>
      <c r="C66" s="696" t="s">
        <v>29</v>
      </c>
      <c r="D66" s="696" t="s">
        <v>1029</v>
      </c>
      <c r="E66" s="696">
        <f>IF(B46="楼面地价",SUM(E56:E65),'数据-汇总表'!D3)</f>
        <v>30726.57</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2672</v>
      </c>
      <c r="B69" s="759"/>
      <c r="C69" s="764"/>
      <c r="D69" s="764"/>
      <c r="E69" s="764"/>
      <c r="F69" s="765"/>
      <c r="G69" s="765"/>
      <c r="H69" s="764"/>
      <c r="I69" s="764"/>
      <c r="J69" s="1161"/>
      <c r="K69" s="1162"/>
      <c r="L69" s="1163"/>
      <c r="M69" s="1161"/>
      <c r="N69" s="1161"/>
      <c r="O69" s="1161"/>
      <c r="P69" s="503"/>
      <c r="Q69" s="504"/>
    </row>
    <row r="70" spans="1:17" s="508" customFormat="1" ht="15">
      <c r="A70" s="2712" t="s">
        <v>2780</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3" t="s">
        <v>2781</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216" t="s">
        <v>2644</v>
      </c>
      <c r="D4" s="3217"/>
      <c r="E4" s="3218" t="s">
        <v>2645</v>
      </c>
      <c r="F4" s="3219"/>
      <c r="G4" s="3216" t="s">
        <v>2646</v>
      </c>
      <c r="H4" s="3217"/>
      <c r="I4" s="3216" t="s">
        <v>2647</v>
      </c>
      <c r="J4" s="3217"/>
      <c r="K4" s="610" t="s">
        <v>2648</v>
      </c>
      <c r="L4" s="1132"/>
      <c r="M4" s="1133"/>
      <c r="N4" s="1133"/>
      <c r="O4" s="1133"/>
      <c r="P4" s="3220" t="s">
        <v>2649</v>
      </c>
      <c r="Q4" s="3221"/>
      <c r="R4" s="3226" t="s">
        <v>2645</v>
      </c>
      <c r="S4" s="3227"/>
      <c r="T4" s="3226" t="s">
        <v>2646</v>
      </c>
      <c r="U4" s="3227"/>
      <c r="V4" s="3232" t="s">
        <v>2647</v>
      </c>
      <c r="W4" s="3232"/>
      <c r="X4" s="1815"/>
      <c r="Y4" s="3226" t="s">
        <v>2649</v>
      </c>
      <c r="Z4" s="3227"/>
      <c r="AA4" s="3213" t="s">
        <v>2645</v>
      </c>
      <c r="AB4" s="3214" t="s">
        <v>2646</v>
      </c>
      <c r="AC4" s="3213" t="s">
        <v>2647</v>
      </c>
    </row>
    <row r="5" spans="1:29" ht="15">
      <c r="A5" s="404"/>
      <c r="B5" s="405"/>
      <c r="C5" s="3235" t="s">
        <v>2540</v>
      </c>
      <c r="D5" s="3236"/>
      <c r="E5" s="3242" t="s">
        <v>2541</v>
      </c>
      <c r="F5" s="3243"/>
      <c r="G5" s="3235" t="s">
        <v>2542</v>
      </c>
      <c r="H5" s="3236"/>
      <c r="I5" s="3235" t="s">
        <v>2543</v>
      </c>
      <c r="J5" s="3236"/>
      <c r="K5" s="610"/>
      <c r="L5" s="1132"/>
      <c r="M5" s="1133"/>
      <c r="N5" s="1133"/>
      <c r="O5" s="1133"/>
      <c r="P5" s="3222"/>
      <c r="Q5" s="3223"/>
      <c r="R5" s="3228"/>
      <c r="S5" s="3229"/>
      <c r="T5" s="3228"/>
      <c r="U5" s="3229"/>
      <c r="V5" s="3232"/>
      <c r="W5" s="3232"/>
      <c r="X5" s="1815"/>
      <c r="Y5" s="3228"/>
      <c r="Z5" s="3229"/>
      <c r="AA5" s="3214"/>
      <c r="AB5" s="3214"/>
      <c r="AC5" s="3214"/>
    </row>
    <row r="6" spans="1:29" ht="15.75" thickBot="1">
      <c r="A6" s="406"/>
      <c r="B6" s="407"/>
      <c r="C6" s="3264" t="s">
        <v>2795</v>
      </c>
      <c r="D6" s="3265"/>
      <c r="E6" s="3266" t="s">
        <v>2795</v>
      </c>
      <c r="F6" s="3267"/>
      <c r="G6" s="3264" t="s">
        <v>2795</v>
      </c>
      <c r="H6" s="3265"/>
      <c r="I6" s="3264" t="s">
        <v>2795</v>
      </c>
      <c r="J6" s="3265"/>
      <c r="K6" s="610" t="s">
        <v>2545</v>
      </c>
      <c r="L6" s="1132"/>
      <c r="M6" s="1133"/>
      <c r="N6" s="1133"/>
      <c r="O6" s="1133"/>
      <c r="P6" s="3224"/>
      <c r="Q6" s="3225"/>
      <c r="R6" s="3228"/>
      <c r="S6" s="3229"/>
      <c r="T6" s="3230"/>
      <c r="U6" s="3231"/>
      <c r="V6" s="3232"/>
      <c r="W6" s="3232"/>
      <c r="X6" s="1815"/>
      <c r="Y6" s="3230"/>
      <c r="Z6" s="3231"/>
      <c r="AA6" s="3215"/>
      <c r="AB6" s="3215"/>
      <c r="AC6" s="3215"/>
    </row>
    <row r="7" spans="1:29" s="117" customFormat="1" ht="15.75" thickBot="1">
      <c r="A7" s="408" t="s">
        <v>2546</v>
      </c>
      <c r="B7" s="409"/>
      <c r="C7" s="410">
        <f>'数据-取费表'!B2</f>
        <v>43130</v>
      </c>
      <c r="D7" s="411">
        <v>100</v>
      </c>
      <c r="E7" s="412"/>
      <c r="F7" s="413">
        <f>SUMIF(65:65,YEAR(E7)&amp;"-"&amp;INT((MONTH(E7)+2)/3),66:66)</f>
        <v>0</v>
      </c>
      <c r="G7" s="2697"/>
      <c r="H7" s="411">
        <f>SUMIF(65:65,YEAR(G7)&amp;"-"&amp;INT((MONTH(G7)+2)/3),66:66)</f>
        <v>0</v>
      </c>
      <c r="I7" s="2697"/>
      <c r="J7" s="411">
        <f>SUMIF(65:65,YEAR(I7)&amp;"-"&amp;INT((MONTH(I7)+2)/3),66:66)</f>
        <v>0</v>
      </c>
      <c r="K7" s="611"/>
      <c r="L7" s="1134"/>
      <c r="M7" s="1135"/>
      <c r="N7" s="1135"/>
      <c r="O7" s="1135"/>
      <c r="P7" s="3237" t="s">
        <v>2547</v>
      </c>
      <c r="Q7" s="3239"/>
      <c r="R7" s="770" t="s">
        <v>17</v>
      </c>
      <c r="S7" s="771">
        <f t="shared" ref="S7:S15" si="0">F7</f>
        <v>0</v>
      </c>
      <c r="T7" s="770" t="s">
        <v>17</v>
      </c>
      <c r="U7" s="771">
        <f t="shared" ref="U7:U15" si="1">H7</f>
        <v>0</v>
      </c>
      <c r="V7" s="770" t="s">
        <v>17</v>
      </c>
      <c r="W7" s="771">
        <f t="shared" ref="W7:W15" si="2">J7</f>
        <v>0</v>
      </c>
      <c r="X7" s="772"/>
      <c r="Y7" s="3237" t="s">
        <v>2547</v>
      </c>
      <c r="Z7" s="3238"/>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37" t="s">
        <v>2550</v>
      </c>
      <c r="Q8" s="3238"/>
      <c r="R8" s="770" t="s">
        <v>17</v>
      </c>
      <c r="S8" s="771">
        <f t="shared" si="0"/>
        <v>0</v>
      </c>
      <c r="T8" s="770" t="s">
        <v>17</v>
      </c>
      <c r="U8" s="771">
        <f t="shared" si="1"/>
        <v>0</v>
      </c>
      <c r="V8" s="770" t="s">
        <v>17</v>
      </c>
      <c r="W8" s="771">
        <f t="shared" si="2"/>
        <v>0</v>
      </c>
      <c r="X8" s="772"/>
      <c r="Y8" s="3237" t="s">
        <v>2550</v>
      </c>
      <c r="Z8" s="3238"/>
      <c r="AA8" s="773" t="e">
        <f t="shared" ref="AA8:AA40" si="3">D8/F8</f>
        <v>#DIV/0!</v>
      </c>
      <c r="AB8" s="773" t="e">
        <f t="shared" ref="AB8:AB40" si="4">D8/H8</f>
        <v>#DIV/0!</v>
      </c>
      <c r="AC8" s="773" t="e">
        <f t="shared" ref="AC8:AC40" si="5">D8/J8</f>
        <v>#DIV/0!</v>
      </c>
    </row>
    <row r="9" spans="1:29" s="117" customFormat="1">
      <c r="A9" s="415" t="s">
        <v>2551</v>
      </c>
      <c r="B9" s="71" t="s">
        <v>2552</v>
      </c>
      <c r="C9" s="2700"/>
      <c r="D9" s="135">
        <v>100</v>
      </c>
      <c r="E9" s="2700"/>
      <c r="F9" s="135">
        <f>SUMIF(70:70,E9,71:71)-SUMIF(70:70,C9,71:71)+100</f>
        <v>100</v>
      </c>
      <c r="G9" s="2700"/>
      <c r="H9" s="135">
        <f>SUMIF(70:70,G9,71:71)-SUMIF(70:70,C9,71:71)+100</f>
        <v>100</v>
      </c>
      <c r="I9" s="2700"/>
      <c r="J9" s="135">
        <f>SUMIF(70:70,I9,71:71)-SUMIF(70:70,C9,71:71)+100</f>
        <v>100</v>
      </c>
      <c r="K9" s="611"/>
      <c r="L9" s="1134"/>
      <c r="M9" s="1135"/>
      <c r="N9" s="1135"/>
      <c r="O9" s="1136"/>
      <c r="P9" s="3201" t="s">
        <v>2553</v>
      </c>
      <c r="Q9" s="1797" t="str">
        <f t="shared" ref="Q9:Q15" si="6">B9</f>
        <v>用途</v>
      </c>
      <c r="R9" s="770" t="s">
        <v>17</v>
      </c>
      <c r="S9" s="771">
        <f t="shared" si="0"/>
        <v>100</v>
      </c>
      <c r="T9" s="770" t="s">
        <v>17</v>
      </c>
      <c r="U9" s="771">
        <f t="shared" si="1"/>
        <v>100</v>
      </c>
      <c r="V9" s="770" t="s">
        <v>17</v>
      </c>
      <c r="W9" s="771">
        <f t="shared" si="2"/>
        <v>100</v>
      </c>
      <c r="X9" s="772"/>
      <c r="Y9" s="3029"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138</v>
      </c>
      <c r="G10" s="432"/>
      <c r="H10" s="136">
        <f>ROUND(100/'数据-取费表'!G16,0)</f>
        <v>138</v>
      </c>
      <c r="I10" s="432"/>
      <c r="J10" s="136">
        <f>ROUND(100/'数据-取费表'!G16,0)</f>
        <v>138</v>
      </c>
      <c r="K10" s="672"/>
      <c r="L10" s="1137"/>
      <c r="M10" s="1138"/>
      <c r="N10" s="1138"/>
      <c r="O10" s="1139"/>
      <c r="P10" s="3201"/>
      <c r="Q10" s="1797" t="str">
        <f t="shared" si="6"/>
        <v>土地使用年限（年）</v>
      </c>
      <c r="R10" s="770" t="s">
        <v>17</v>
      </c>
      <c r="S10" s="771">
        <f t="shared" si="0"/>
        <v>138</v>
      </c>
      <c r="T10" s="770" t="s">
        <v>17</v>
      </c>
      <c r="U10" s="771">
        <f t="shared" si="1"/>
        <v>138</v>
      </c>
      <c r="V10" s="770" t="s">
        <v>17</v>
      </c>
      <c r="W10" s="771">
        <f t="shared" si="2"/>
        <v>138</v>
      </c>
      <c r="X10" s="772"/>
      <c r="Y10" s="3029"/>
      <c r="Z10" s="55" t="str">
        <f t="shared" si="7"/>
        <v>土地使用年限（年）</v>
      </c>
      <c r="AA10" s="773">
        <f t="shared" si="3"/>
        <v>0.72463768115942029</v>
      </c>
      <c r="AB10" s="773">
        <f t="shared" si="4"/>
        <v>0.72463768115942029</v>
      </c>
      <c r="AC10" s="773">
        <f t="shared" si="5"/>
        <v>0.72463768115942029</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01"/>
      <c r="Q11" s="179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01"/>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01"/>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01"/>
      <c r="Q14" s="1797">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2557</v>
      </c>
      <c r="B15" s="629" t="s">
        <v>2796</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03" t="s">
        <v>2558</v>
      </c>
      <c r="Q15" s="1812" t="str">
        <f t="shared" si="6"/>
        <v>产业集聚程度</v>
      </c>
      <c r="R15" s="774" t="s">
        <v>17</v>
      </c>
      <c r="S15" s="775">
        <f t="shared" si="0"/>
        <v>100</v>
      </c>
      <c r="T15" s="774" t="s">
        <v>17</v>
      </c>
      <c r="U15" s="775">
        <f t="shared" si="1"/>
        <v>100</v>
      </c>
      <c r="V15" s="774" t="s">
        <v>17</v>
      </c>
      <c r="W15" s="775">
        <f t="shared" si="2"/>
        <v>100</v>
      </c>
      <c r="X15" s="1815"/>
      <c r="Y15" s="3203" t="s">
        <v>2558</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2"/>
      <c r="M16" s="1133"/>
      <c r="N16" s="1133"/>
      <c r="O16" s="1141"/>
      <c r="P16" s="3204"/>
      <c r="Q16" s="1812"/>
      <c r="R16" s="774"/>
      <c r="S16" s="775"/>
      <c r="T16" s="774"/>
      <c r="U16" s="775"/>
      <c r="V16" s="774"/>
      <c r="W16" s="775"/>
      <c r="X16" s="1815"/>
      <c r="Y16" s="3204"/>
      <c r="Z16" s="1816"/>
      <c r="AA16" s="1813">
        <v>1</v>
      </c>
      <c r="AB16" s="1813">
        <v>1</v>
      </c>
      <c r="AC16" s="1813">
        <v>1</v>
      </c>
    </row>
    <row r="17" spans="1:29" ht="85.5">
      <c r="A17" s="428"/>
      <c r="B17" s="631" t="s">
        <v>2707</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04"/>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2"/>
      <c r="M18" s="1133"/>
      <c r="N18" s="1133"/>
      <c r="O18" s="1141"/>
      <c r="P18" s="3204"/>
      <c r="Q18" s="1812"/>
      <c r="R18" s="774"/>
      <c r="S18" s="775"/>
      <c r="T18" s="774"/>
      <c r="U18" s="775"/>
      <c r="V18" s="774"/>
      <c r="W18" s="775"/>
      <c r="X18" s="1815"/>
      <c r="Y18" s="3204"/>
      <c r="Z18" s="1816"/>
      <c r="AA18" s="1813">
        <v>1</v>
      </c>
      <c r="AB18" s="1813">
        <v>1</v>
      </c>
      <c r="AC18" s="1813">
        <v>1</v>
      </c>
    </row>
    <row r="19" spans="1:29" ht="15">
      <c r="A19" s="428"/>
      <c r="B19" s="631" t="s">
        <v>2746</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04"/>
      <c r="Q19" s="1812" t="str">
        <f t="shared" ref="Q19:Q33" si="8">B19</f>
        <v>区域土地利用方向</v>
      </c>
      <c r="R19" s="774" t="s">
        <v>17</v>
      </c>
      <c r="S19" s="775">
        <f>F19</f>
        <v>100</v>
      </c>
      <c r="T19" s="774" t="s">
        <v>17</v>
      </c>
      <c r="U19" s="775">
        <f>H19</f>
        <v>100</v>
      </c>
      <c r="V19" s="774" t="s">
        <v>17</v>
      </c>
      <c r="W19" s="775">
        <f>J19</f>
        <v>100</v>
      </c>
      <c r="X19" s="1815"/>
      <c r="Y19" s="3204"/>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2"/>
      <c r="M20" s="1133"/>
      <c r="N20" s="1133"/>
      <c r="O20" s="1141"/>
      <c r="P20" s="3204"/>
      <c r="Q20" s="1812"/>
      <c r="R20" s="774"/>
      <c r="S20" s="775"/>
      <c r="T20" s="774"/>
      <c r="U20" s="775"/>
      <c r="V20" s="774"/>
      <c r="W20" s="775"/>
      <c r="X20" s="1815"/>
      <c r="Y20" s="3204"/>
      <c r="Z20" s="1816"/>
      <c r="AA20" s="1813"/>
      <c r="AB20" s="1813"/>
      <c r="AC20" s="1813"/>
    </row>
    <row r="21" spans="1:29" ht="71.25">
      <c r="A21" s="404"/>
      <c r="B21" s="631" t="s">
        <v>2797</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04"/>
      <c r="Q21" s="1812" t="str">
        <f t="shared" si="8"/>
        <v>环境状况</v>
      </c>
      <c r="R21" s="774" t="s">
        <v>17</v>
      </c>
      <c r="S21" s="775">
        <f>F21</f>
        <v>100</v>
      </c>
      <c r="T21" s="774" t="s">
        <v>17</v>
      </c>
      <c r="U21" s="775">
        <f>H21</f>
        <v>100</v>
      </c>
      <c r="V21" s="774" t="s">
        <v>17</v>
      </c>
      <c r="W21" s="775">
        <f>J21</f>
        <v>100</v>
      </c>
      <c r="X21" s="1815"/>
      <c r="Y21" s="3204"/>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2"/>
      <c r="M22" s="1133"/>
      <c r="N22" s="1133"/>
      <c r="O22" s="1141"/>
      <c r="P22" s="3204"/>
      <c r="Q22" s="1812"/>
      <c r="R22" s="774"/>
      <c r="S22" s="775"/>
      <c r="T22" s="774"/>
      <c r="U22" s="775"/>
      <c r="V22" s="774"/>
      <c r="W22" s="775"/>
      <c r="X22" s="1815"/>
      <c r="Y22" s="3204"/>
      <c r="Z22" s="1816"/>
      <c r="AA22" s="1813">
        <v>1</v>
      </c>
      <c r="AB22" s="1813">
        <v>1</v>
      </c>
      <c r="AC22" s="1813">
        <v>1</v>
      </c>
    </row>
    <row r="23" spans="1:29" s="117" customFormat="1" ht="42.75">
      <c r="A23" s="649"/>
      <c r="B23" s="633" t="s">
        <v>2652</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04"/>
      <c r="Q23" s="1797" t="str">
        <f t="shared" si="8"/>
        <v>公共配套设施</v>
      </c>
      <c r="R23" s="770" t="s">
        <v>17</v>
      </c>
      <c r="S23" s="771">
        <f>F23</f>
        <v>100</v>
      </c>
      <c r="T23" s="770" t="s">
        <v>17</v>
      </c>
      <c r="U23" s="771">
        <f>H23</f>
        <v>100</v>
      </c>
      <c r="V23" s="770" t="s">
        <v>17</v>
      </c>
      <c r="W23" s="771">
        <f>J23</f>
        <v>100</v>
      </c>
      <c r="X23" s="772"/>
      <c r="Y23" s="3204"/>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4"/>
      <c r="M24" s="1135"/>
      <c r="N24" s="1135"/>
      <c r="O24" s="1136"/>
      <c r="P24" s="3204"/>
      <c r="Q24" s="1797"/>
      <c r="R24" s="770"/>
      <c r="S24" s="771"/>
      <c r="T24" s="770"/>
      <c r="U24" s="771"/>
      <c r="V24" s="770"/>
      <c r="W24" s="771"/>
      <c r="X24" s="772"/>
      <c r="Y24" s="3204"/>
      <c r="Z24" s="55"/>
      <c r="AA24" s="773">
        <v>1</v>
      </c>
      <c r="AB24" s="773">
        <v>1</v>
      </c>
      <c r="AC24" s="773">
        <v>1</v>
      </c>
    </row>
    <row r="25" spans="1:29" s="117" customFormat="1" ht="28.5">
      <c r="A25" s="649"/>
      <c r="B25" s="633" t="s">
        <v>2653</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04"/>
      <c r="Q25" s="1797"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4"/>
      <c r="M26" s="1135"/>
      <c r="N26" s="1135"/>
      <c r="O26" s="1136"/>
      <c r="P26" s="3204"/>
      <c r="Q26" s="1797"/>
      <c r="R26" s="770"/>
      <c r="S26" s="771"/>
      <c r="T26" s="770"/>
      <c r="U26" s="771"/>
      <c r="V26" s="770"/>
      <c r="W26" s="771"/>
      <c r="X26" s="772"/>
      <c r="Y26" s="320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0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4"/>
      <c r="Z27" s="1816" t="str">
        <f t="shared" ref="Z27:Z40" si="13">Q27</f>
        <v>临街状况</v>
      </c>
      <c r="AA27" s="1813">
        <f t="shared" si="3"/>
        <v>1</v>
      </c>
      <c r="AB27" s="1813">
        <f t="shared" si="4"/>
        <v>1</v>
      </c>
      <c r="AC27" s="1813">
        <f t="shared" si="5"/>
        <v>1</v>
      </c>
    </row>
    <row r="28" spans="1:29" ht="27">
      <c r="A28" s="428"/>
      <c r="B28" s="633" t="s">
        <v>2689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04"/>
      <c r="Q28" s="1812" t="str">
        <f t="shared" si="8"/>
        <v>毗邻道路的类型与等级</v>
      </c>
      <c r="R28" s="774" t="s">
        <v>17</v>
      </c>
      <c r="S28" s="775">
        <f t="shared" si="10"/>
        <v>100</v>
      </c>
      <c r="T28" s="774" t="s">
        <v>17</v>
      </c>
      <c r="U28" s="775">
        <f t="shared" si="11"/>
        <v>100</v>
      </c>
      <c r="V28" s="774" t="s">
        <v>17</v>
      </c>
      <c r="W28" s="775">
        <f t="shared" si="12"/>
        <v>100</v>
      </c>
      <c r="X28" s="1815"/>
      <c r="Y28" s="3204"/>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2"/>
      <c r="M29" s="1133"/>
      <c r="N29" s="1133"/>
      <c r="O29" s="1141"/>
      <c r="P29" s="3204"/>
      <c r="Q29" s="1812"/>
      <c r="R29" s="774"/>
      <c r="S29" s="775"/>
      <c r="T29" s="774"/>
      <c r="U29" s="775"/>
      <c r="V29" s="774"/>
      <c r="W29" s="775"/>
      <c r="X29" s="1815"/>
      <c r="Y29" s="3204"/>
      <c r="Z29" s="1816"/>
      <c r="AA29" s="1813">
        <v>1</v>
      </c>
      <c r="AB29" s="1813">
        <v>1</v>
      </c>
      <c r="AC29" s="1813">
        <v>1</v>
      </c>
    </row>
    <row r="30" spans="1:29" ht="15">
      <c r="A30" s="428"/>
      <c r="B30" s="654" t="s">
        <v>2748</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04"/>
      <c r="Q30" s="1812" t="str">
        <f t="shared" si="8"/>
        <v>土地级别</v>
      </c>
      <c r="R30" s="774" t="s">
        <v>17</v>
      </c>
      <c r="S30" s="775">
        <f t="shared" si="10"/>
        <v>100</v>
      </c>
      <c r="T30" s="774" t="s">
        <v>17</v>
      </c>
      <c r="U30" s="775">
        <f t="shared" si="11"/>
        <v>100</v>
      </c>
      <c r="V30" s="774" t="s">
        <v>17</v>
      </c>
      <c r="W30" s="775">
        <f t="shared" si="12"/>
        <v>100</v>
      </c>
      <c r="X30" s="1815"/>
      <c r="Y30" s="3204"/>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04"/>
      <c r="Q31" s="1812">
        <f t="shared" si="8"/>
        <v>111</v>
      </c>
      <c r="R31" s="774" t="s">
        <v>17</v>
      </c>
      <c r="S31" s="775">
        <f t="shared" si="10"/>
        <v>100</v>
      </c>
      <c r="T31" s="774" t="s">
        <v>17</v>
      </c>
      <c r="U31" s="775">
        <f t="shared" si="11"/>
        <v>100</v>
      </c>
      <c r="V31" s="774" t="s">
        <v>17</v>
      </c>
      <c r="W31" s="775">
        <f t="shared" si="12"/>
        <v>100</v>
      </c>
      <c r="X31" s="1815"/>
      <c r="Y31" s="3204"/>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59" t="s">
        <v>2563</v>
      </c>
      <c r="Q32" s="1812">
        <f t="shared" si="8"/>
        <v>111</v>
      </c>
      <c r="R32" s="774" t="s">
        <v>17</v>
      </c>
      <c r="S32" s="775">
        <f t="shared" si="10"/>
        <v>100</v>
      </c>
      <c r="T32" s="774" t="s">
        <v>17</v>
      </c>
      <c r="U32" s="775">
        <f t="shared" si="11"/>
        <v>100</v>
      </c>
      <c r="V32" s="774" t="s">
        <v>17</v>
      </c>
      <c r="W32" s="775">
        <f t="shared" si="12"/>
        <v>100</v>
      </c>
      <c r="X32" s="1815"/>
      <c r="Y32" s="3208" t="s">
        <v>2563</v>
      </c>
      <c r="Z32" s="1816">
        <f t="shared" si="13"/>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08"/>
      <c r="Q33" s="1812">
        <f t="shared" si="8"/>
        <v>111</v>
      </c>
      <c r="R33" s="777" t="s">
        <v>17</v>
      </c>
      <c r="S33" s="778">
        <f t="shared" si="10"/>
        <v>100</v>
      </c>
      <c r="T33" s="777" t="s">
        <v>17</v>
      </c>
      <c r="U33" s="778">
        <f t="shared" si="11"/>
        <v>100</v>
      </c>
      <c r="V33" s="777" t="s">
        <v>17</v>
      </c>
      <c r="W33" s="778">
        <f t="shared" si="12"/>
        <v>100</v>
      </c>
      <c r="X33" s="779"/>
      <c r="Y33" s="3208"/>
      <c r="Z33" s="780">
        <f t="shared" si="13"/>
        <v>111</v>
      </c>
      <c r="AA33" s="1813">
        <f t="shared" si="3"/>
        <v>1</v>
      </c>
      <c r="AB33" s="1813">
        <f t="shared" si="4"/>
        <v>1</v>
      </c>
      <c r="AC33" s="1813">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08"/>
      <c r="Q34" s="1812" t="str">
        <f>B34</f>
        <v>宗地面积</v>
      </c>
      <c r="R34" s="774" t="s">
        <v>17</v>
      </c>
      <c r="S34" s="775" t="e">
        <f t="shared" si="10"/>
        <v>#N/A</v>
      </c>
      <c r="T34" s="774" t="s">
        <v>17</v>
      </c>
      <c r="U34" s="775" t="e">
        <f t="shared" si="11"/>
        <v>#N/A</v>
      </c>
      <c r="V34" s="774" t="s">
        <v>17</v>
      </c>
      <c r="W34" s="775" t="e">
        <f t="shared" si="12"/>
        <v>#N/A</v>
      </c>
      <c r="X34" s="1815"/>
      <c r="Y34" s="3208"/>
      <c r="Z34" s="1816" t="str">
        <f t="shared" si="13"/>
        <v>宗地面积</v>
      </c>
      <c r="AA34" s="1813" t="e">
        <f t="shared" si="3"/>
        <v>#N/A</v>
      </c>
      <c r="AB34" s="1813" t="e">
        <f t="shared" si="4"/>
        <v>#N/A</v>
      </c>
      <c r="AC34" s="1813" t="e">
        <f t="shared" si="5"/>
        <v>#N/A</v>
      </c>
    </row>
    <row r="35" spans="1:29" ht="15">
      <c r="A35" s="472"/>
      <c r="B35" s="422" t="s">
        <v>2750</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2"/>
      <c r="M35" s="1133"/>
      <c r="N35" s="1133"/>
      <c r="O35" s="1141"/>
      <c r="P35" s="3208"/>
      <c r="Q35" s="1812" t="str">
        <f t="shared" ref="Q35:Q40" si="14">B35</f>
        <v>宗地形状</v>
      </c>
      <c r="R35" s="774" t="s">
        <v>17</v>
      </c>
      <c r="S35" s="775">
        <f t="shared" si="10"/>
        <v>100</v>
      </c>
      <c r="T35" s="774" t="s">
        <v>17</v>
      </c>
      <c r="U35" s="775">
        <f t="shared" si="11"/>
        <v>100</v>
      </c>
      <c r="V35" s="774" t="s">
        <v>17</v>
      </c>
      <c r="W35" s="775">
        <f t="shared" si="12"/>
        <v>100</v>
      </c>
      <c r="X35" s="1815"/>
      <c r="Y35" s="3208"/>
      <c r="Z35" s="1816" t="str">
        <f t="shared" si="13"/>
        <v>宗地形状</v>
      </c>
      <c r="AA35" s="1813">
        <f t="shared" si="3"/>
        <v>1</v>
      </c>
      <c r="AB35" s="1813">
        <f t="shared" si="4"/>
        <v>1</v>
      </c>
      <c r="AC35" s="1813">
        <f t="shared" si="5"/>
        <v>1</v>
      </c>
    </row>
    <row r="36" spans="1:29" s="117" customFormat="1" ht="15">
      <c r="A36" s="473"/>
      <c r="B36" s="422" t="s">
        <v>2752</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4"/>
      <c r="M36" s="1135"/>
      <c r="N36" s="1135"/>
      <c r="O36" s="1136"/>
      <c r="P36" s="3208"/>
      <c r="Q36" s="1812"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2753</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2"/>
      <c r="M37" s="1133"/>
      <c r="N37" s="1133"/>
      <c r="O37" s="1141"/>
      <c r="P37" s="3208" t="s">
        <v>2563</v>
      </c>
      <c r="Q37" s="1812" t="str">
        <f t="shared" si="14"/>
        <v>工程地质条件</v>
      </c>
      <c r="R37" s="774" t="s">
        <v>17</v>
      </c>
      <c r="S37" s="775">
        <f t="shared" si="10"/>
        <v>100</v>
      </c>
      <c r="T37" s="774" t="s">
        <v>17</v>
      </c>
      <c r="U37" s="775">
        <f t="shared" si="11"/>
        <v>100</v>
      </c>
      <c r="V37" s="774" t="s">
        <v>17</v>
      </c>
      <c r="W37" s="775">
        <f t="shared" si="12"/>
        <v>100</v>
      </c>
      <c r="X37" s="1815"/>
      <c r="Y37" s="3208" t="s">
        <v>2563</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08"/>
      <c r="Q38" s="1812">
        <f t="shared" si="14"/>
        <v>111</v>
      </c>
      <c r="R38" s="774" t="s">
        <v>17</v>
      </c>
      <c r="S38" s="775">
        <f t="shared" si="10"/>
        <v>100</v>
      </c>
      <c r="T38" s="774" t="s">
        <v>17</v>
      </c>
      <c r="U38" s="775">
        <f t="shared" si="11"/>
        <v>100</v>
      </c>
      <c r="V38" s="774" t="s">
        <v>17</v>
      </c>
      <c r="W38" s="775">
        <f t="shared" si="12"/>
        <v>100</v>
      </c>
      <c r="X38" s="1815"/>
      <c r="Y38" s="320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08"/>
      <c r="Q39" s="1812">
        <f t="shared" si="14"/>
        <v>111</v>
      </c>
      <c r="R39" s="774" t="s">
        <v>17</v>
      </c>
      <c r="S39" s="775">
        <f t="shared" si="10"/>
        <v>100</v>
      </c>
      <c r="T39" s="774" t="s">
        <v>17</v>
      </c>
      <c r="U39" s="775">
        <f t="shared" si="11"/>
        <v>100</v>
      </c>
      <c r="V39" s="774" t="s">
        <v>17</v>
      </c>
      <c r="W39" s="775">
        <f t="shared" si="12"/>
        <v>100</v>
      </c>
      <c r="X39" s="1815"/>
      <c r="Y39" s="3208"/>
      <c r="Z39" s="1816">
        <f t="shared" si="13"/>
        <v>111</v>
      </c>
      <c r="AA39" s="1813">
        <f t="shared" si="3"/>
        <v>1</v>
      </c>
      <c r="AB39" s="1813">
        <f t="shared" si="4"/>
        <v>1</v>
      </c>
      <c r="AC39" s="1813">
        <f t="shared" si="5"/>
        <v>1</v>
      </c>
    </row>
    <row r="40" spans="1:29" s="471" customFormat="1" ht="15.75"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08"/>
      <c r="Q40" s="1812">
        <f t="shared" si="14"/>
        <v>111</v>
      </c>
      <c r="R40" s="777" t="s">
        <v>17</v>
      </c>
      <c r="S40" s="778">
        <f t="shared" si="10"/>
        <v>100</v>
      </c>
      <c r="T40" s="777" t="s">
        <v>17</v>
      </c>
      <c r="U40" s="778">
        <f t="shared" si="11"/>
        <v>100</v>
      </c>
      <c r="V40" s="777" t="s">
        <v>17</v>
      </c>
      <c r="W40" s="778">
        <f t="shared" si="12"/>
        <v>100</v>
      </c>
      <c r="X40" s="779"/>
      <c r="Y40" s="3208"/>
      <c r="Z40" s="780">
        <f t="shared" si="13"/>
        <v>111</v>
      </c>
      <c r="AA40" s="1813">
        <f t="shared" si="3"/>
        <v>1</v>
      </c>
      <c r="AB40" s="1813">
        <f t="shared" si="4"/>
        <v>1</v>
      </c>
      <c r="AC40" s="1813">
        <f t="shared" si="5"/>
        <v>1</v>
      </c>
    </row>
    <row r="41" spans="1:29" ht="15">
      <c r="A41" s="479" t="s">
        <v>2718</v>
      </c>
      <c r="B41" s="2705" t="s">
        <v>2798</v>
      </c>
      <c r="C41" s="682" t="s">
        <v>1</v>
      </c>
      <c r="D41" s="481"/>
      <c r="E41" s="482"/>
      <c r="F41" s="483"/>
      <c r="G41" s="484"/>
      <c r="H41" s="485"/>
      <c r="I41" s="482"/>
      <c r="J41" s="485"/>
      <c r="K41" s="783"/>
      <c r="L41" s="1145"/>
      <c r="M41" s="1133"/>
      <c r="N41" s="1133"/>
      <c r="O41" s="1146"/>
      <c r="P41" s="3201" t="str">
        <f>A41</f>
        <v>成交单价</v>
      </c>
      <c r="Q41" s="3201"/>
      <c r="R41" s="3232">
        <f>E41</f>
        <v>0</v>
      </c>
      <c r="S41" s="3232"/>
      <c r="T41" s="3232">
        <f>G41</f>
        <v>0</v>
      </c>
      <c r="U41" s="3232"/>
      <c r="V41" s="3232">
        <f>I41</f>
        <v>0</v>
      </c>
      <c r="W41" s="3232"/>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5"/>
      <c r="M42" s="1133"/>
      <c r="N42" s="1133"/>
      <c r="O42" s="1146"/>
      <c r="P42" s="3201" t="str">
        <f>A42</f>
        <v>比较价值（元/平方米）</v>
      </c>
      <c r="Q42" s="3201"/>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5"/>
      <c r="M43" s="1133"/>
      <c r="N43" s="1133"/>
      <c r="O43" s="1146"/>
      <c r="P43" s="3198" t="str">
        <f>A43</f>
        <v>估价对象XX用房的比较价值（楼面单价，元/平方米）</v>
      </c>
      <c r="Q43" s="3199"/>
      <c r="R43" s="3261" t="e">
        <f>ROUND(AVERAGE(R42:V42),0)</f>
        <v>#DIV/0!</v>
      </c>
      <c r="S43" s="3261"/>
      <c r="T43" s="3261"/>
      <c r="U43" s="3261"/>
      <c r="V43" s="3261"/>
      <c r="W43" s="3261"/>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2756</v>
      </c>
      <c r="B50" s="685" t="s">
        <v>2757</v>
      </c>
      <c r="C50" s="2706" t="s">
        <v>2758</v>
      </c>
      <c r="D50" s="2707" t="s">
        <v>2759</v>
      </c>
      <c r="E50" s="686" t="s">
        <v>2760</v>
      </c>
      <c r="F50" s="687" t="s">
        <v>2761</v>
      </c>
      <c r="G50" s="3216" t="s">
        <v>2762</v>
      </c>
      <c r="H50" s="3262"/>
      <c r="I50" s="1816" t="s">
        <v>2799</v>
      </c>
      <c r="J50" s="1816">
        <f>项目基本情况!F35</f>
        <v>0</v>
      </c>
      <c r="K50" s="2709" t="s">
        <v>2764</v>
      </c>
      <c r="L50" s="1108"/>
      <c r="M50" s="1146"/>
      <c r="N50" s="1146"/>
      <c r="O50" s="1146"/>
    </row>
    <row r="51" spans="1:17" s="692" customFormat="1">
      <c r="A51" s="688" t="s">
        <v>2765</v>
      </c>
      <c r="B51" s="689" t="e">
        <f>C43</f>
        <v>#DIV/0!</v>
      </c>
      <c r="C51" s="690">
        <v>1</v>
      </c>
      <c r="D51" s="1165">
        <v>1</v>
      </c>
      <c r="E51" s="690">
        <f>'数据-汇总表'!E8+'数据-汇总表'!E9</f>
        <v>21737.040000000001</v>
      </c>
      <c r="F51" s="691" t="e">
        <f t="shared" ref="F51:F60" si="15">ROUND(B51*E51/10000,0)</f>
        <v>#DIV/0!</v>
      </c>
      <c r="G51" s="3212"/>
      <c r="H51" s="3201"/>
      <c r="I51" s="945">
        <v>1</v>
      </c>
      <c r="J51" s="945">
        <v>1</v>
      </c>
      <c r="K51" s="1147"/>
      <c r="L51" s="944"/>
      <c r="M51" s="944"/>
      <c r="N51" s="944"/>
      <c r="O51" s="944"/>
    </row>
    <row r="52" spans="1:17" s="692" customFormat="1">
      <c r="A52" s="693" t="s">
        <v>2766</v>
      </c>
      <c r="B52" s="262" t="e">
        <f>ROUND($C$43*C52*D52,0)</f>
        <v>#DIV/0!</v>
      </c>
      <c r="C52" s="200">
        <f t="shared" ref="C52:C60" si="16">IF($C$50="北京市系数",I52,J52)</f>
        <v>0</v>
      </c>
      <c r="D52" s="1166">
        <v>0.25</v>
      </c>
      <c r="E52" s="694"/>
      <c r="F52" s="691" t="e">
        <f t="shared" si="15"/>
        <v>#DIV/0!</v>
      </c>
      <c r="G52" s="3263" t="s">
        <v>2767</v>
      </c>
      <c r="H52" s="1106">
        <f>项目基本情况!B37</f>
        <v>0</v>
      </c>
      <c r="I52" s="945">
        <f>SUMIF(修正!A45:A56,H52,修正!B45:B56)</f>
        <v>0</v>
      </c>
      <c r="J52" s="946"/>
      <c r="K52" s="1146"/>
      <c r="L52" s="944"/>
      <c r="M52" s="944"/>
      <c r="N52" s="944"/>
      <c r="O52" s="944"/>
    </row>
    <row r="53" spans="1:17" s="692" customFormat="1">
      <c r="A53" s="693" t="s">
        <v>2768</v>
      </c>
      <c r="B53" s="262" t="e">
        <f t="shared" ref="B53:B60" si="17">ROUND($C$43*C53*D53,0)</f>
        <v>#DIV/0!</v>
      </c>
      <c r="C53" s="200">
        <f t="shared" si="16"/>
        <v>0</v>
      </c>
      <c r="D53" s="1166">
        <v>0.25</v>
      </c>
      <c r="E53" s="694"/>
      <c r="F53" s="691" t="e">
        <f t="shared" si="15"/>
        <v>#DIV/0!</v>
      </c>
      <c r="G53" s="3263"/>
      <c r="H53" s="1106">
        <f>项目基本情况!B37</f>
        <v>0</v>
      </c>
      <c r="I53" s="945">
        <f>SUMIF(修正!A45:A56,H53,修正!C45:C56)</f>
        <v>0</v>
      </c>
      <c r="J53" s="946"/>
      <c r="K53" s="1147"/>
      <c r="L53" s="944"/>
      <c r="M53" s="944"/>
      <c r="N53" s="944"/>
      <c r="O53" s="944"/>
    </row>
    <row r="54" spans="1:17" s="692" customFormat="1">
      <c r="A54" s="693" t="s">
        <v>2769</v>
      </c>
      <c r="B54" s="262" t="e">
        <f t="shared" si="17"/>
        <v>#DIV/0!</v>
      </c>
      <c r="C54" s="200">
        <f t="shared" si="16"/>
        <v>0</v>
      </c>
      <c r="D54" s="1166">
        <v>0.25</v>
      </c>
      <c r="E54" s="694"/>
      <c r="F54" s="691" t="e">
        <f t="shared" si="15"/>
        <v>#DIV/0!</v>
      </c>
      <c r="G54" s="3263"/>
      <c r="H54" s="1106">
        <f>项目基本情况!B37</f>
        <v>0</v>
      </c>
      <c r="I54" s="945">
        <f>SUMIF(修正!A45:A56,H54,修正!D45:D56)</f>
        <v>0</v>
      </c>
      <c r="J54" s="946"/>
      <c r="K54" s="1146"/>
      <c r="L54" s="944"/>
      <c r="M54" s="944"/>
      <c r="N54" s="944"/>
      <c r="O54" s="944"/>
    </row>
    <row r="55" spans="1:17" s="692" customFormat="1">
      <c r="A55" s="693" t="s">
        <v>2770</v>
      </c>
      <c r="B55" s="262" t="e">
        <f t="shared" si="17"/>
        <v>#DIV/0!</v>
      </c>
      <c r="C55" s="200">
        <f t="shared" si="16"/>
        <v>0</v>
      </c>
      <c r="D55" s="1166">
        <v>0.25</v>
      </c>
      <c r="E55" s="694"/>
      <c r="F55" s="691" t="e">
        <f t="shared" si="15"/>
        <v>#DIV/0!</v>
      </c>
      <c r="G55" s="3263"/>
      <c r="H55" s="1106">
        <f>项目基本情况!B37</f>
        <v>0</v>
      </c>
      <c r="I55" s="945">
        <f>SUMIF(修正!A45:A56,H55,修正!E45:E56)</f>
        <v>0</v>
      </c>
      <c r="J55" s="946"/>
      <c r="K55" s="1147"/>
      <c r="L55" s="944"/>
      <c r="M55" s="944"/>
      <c r="N55" s="944"/>
      <c r="O55" s="944"/>
    </row>
    <row r="56" spans="1:17" s="692" customFormat="1">
      <c r="A56" s="693" t="s">
        <v>2771</v>
      </c>
      <c r="B56" s="262" t="e">
        <f t="shared" si="17"/>
        <v>#DIV/0!</v>
      </c>
      <c r="C56" s="200">
        <f t="shared" si="16"/>
        <v>0</v>
      </c>
      <c r="D56" s="1166">
        <v>0.25</v>
      </c>
      <c r="E56" s="261">
        <f>'数据-汇总表'!E11</f>
        <v>0</v>
      </c>
      <c r="F56" s="691" t="e">
        <f t="shared" si="15"/>
        <v>#DIV/0!</v>
      </c>
      <c r="G56" s="2710" t="s">
        <v>2772</v>
      </c>
      <c r="H56" s="1106">
        <f>项目基本情况!C37</f>
        <v>0</v>
      </c>
      <c r="I56" s="945">
        <f>SUMIF(修正!A45:A56,H56,修正!F45:F56)</f>
        <v>0</v>
      </c>
      <c r="J56" s="946"/>
      <c r="K56" s="1146"/>
      <c r="L56" s="944"/>
      <c r="M56" s="944"/>
      <c r="N56" s="944"/>
      <c r="O56" s="944"/>
    </row>
    <row r="57" spans="1:17" s="692" customFormat="1">
      <c r="A57" s="693" t="s">
        <v>2773</v>
      </c>
      <c r="B57" s="262" t="e">
        <f t="shared" si="17"/>
        <v>#DIV/0!</v>
      </c>
      <c r="C57" s="200">
        <f t="shared" si="16"/>
        <v>0</v>
      </c>
      <c r="D57" s="1166">
        <v>0.25</v>
      </c>
      <c r="E57" s="261">
        <f>'数据-汇总表'!E12</f>
        <v>6335.88</v>
      </c>
      <c r="F57" s="691" t="e">
        <f t="shared" si="15"/>
        <v>#DIV/0!</v>
      </c>
      <c r="G57" s="1111" t="s">
        <v>2774</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2775</v>
      </c>
      <c r="B58" s="262" t="e">
        <f t="shared" si="17"/>
        <v>#DIV/0!</v>
      </c>
      <c r="C58" s="200">
        <f t="shared" si="16"/>
        <v>0</v>
      </c>
      <c r="D58" s="1166">
        <v>0.25</v>
      </c>
      <c r="E58" s="261">
        <f>'数据-汇总表'!E13</f>
        <v>2653.6499999999987</v>
      </c>
      <c r="F58" s="691" t="e">
        <f t="shared" si="15"/>
        <v>#DIV/0!</v>
      </c>
      <c r="G58" s="1111" t="s">
        <v>2776</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2777</v>
      </c>
      <c r="B59" s="262" t="e">
        <f t="shared" si="17"/>
        <v>#DIV/0!</v>
      </c>
      <c r="C59" s="200">
        <f t="shared" si="16"/>
        <v>0</v>
      </c>
      <c r="D59" s="1166">
        <v>0.25</v>
      </c>
      <c r="E59" s="261">
        <f>'数据-汇总表'!E14</f>
        <v>0</v>
      </c>
      <c r="F59" s="691" t="e">
        <f t="shared" si="15"/>
        <v>#DIV/0!</v>
      </c>
      <c r="G59" s="2710" t="s">
        <v>2767</v>
      </c>
      <c r="H59" s="1106">
        <f>项目基本情况!B37</f>
        <v>0</v>
      </c>
      <c r="I59" s="945">
        <f>SUMIF(修正!A45:A56,H59,修正!H45:H56)</f>
        <v>0</v>
      </c>
      <c r="J59" s="946"/>
      <c r="K59" s="1147"/>
      <c r="L59" s="944"/>
      <c r="M59" s="944"/>
      <c r="N59" s="944"/>
      <c r="O59" s="944"/>
    </row>
    <row r="60" spans="1:17" s="692" customFormat="1" ht="15" thickBot="1">
      <c r="A60" s="693" t="s">
        <v>2778</v>
      </c>
      <c r="B60" s="262" t="e">
        <f t="shared" si="17"/>
        <v>#DIV/0!</v>
      </c>
      <c r="C60" s="200">
        <f t="shared" si="16"/>
        <v>0</v>
      </c>
      <c r="D60" s="1166">
        <v>0.25</v>
      </c>
      <c r="E60" s="261">
        <f>'数据-汇总表'!E15</f>
        <v>0</v>
      </c>
      <c r="F60" s="691" t="e">
        <f t="shared" si="15"/>
        <v>#DIV/0!</v>
      </c>
      <c r="G60" s="2711" t="s">
        <v>2772</v>
      </c>
      <c r="H60" s="1116">
        <f>项目基本情况!C37</f>
        <v>0</v>
      </c>
      <c r="I60" s="945">
        <f>SUMIF(修正!A45:A56,H60,修正!H45:H56)</f>
        <v>0</v>
      </c>
      <c r="J60" s="946"/>
      <c r="K60" s="1146"/>
      <c r="L60" s="944"/>
      <c r="M60" s="944"/>
      <c r="N60" s="944"/>
      <c r="O60" s="944"/>
    </row>
    <row r="61" spans="1:17" s="692" customFormat="1" ht="15" thickBot="1">
      <c r="A61" s="695" t="s">
        <v>2779</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2672</v>
      </c>
      <c r="B64" s="759"/>
      <c r="C64" s="764"/>
      <c r="D64" s="764"/>
      <c r="E64" s="764"/>
      <c r="F64" s="765"/>
      <c r="G64" s="765"/>
      <c r="H64" s="764"/>
      <c r="I64" s="764"/>
      <c r="J64" s="764"/>
      <c r="K64" s="766"/>
      <c r="L64" s="767"/>
      <c r="M64" s="764"/>
      <c r="N64" s="764"/>
      <c r="O64" s="1161"/>
      <c r="P64" s="503"/>
      <c r="Q64" s="504"/>
    </row>
    <row r="65" spans="1:17" s="508" customFormat="1" ht="15">
      <c r="A65" s="2712" t="s">
        <v>2780</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7" t="s">
        <v>2800</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2802</v>
      </c>
      <c r="B1" s="241"/>
      <c r="C1" s="245" t="s">
        <v>2803</v>
      </c>
      <c r="D1" s="388">
        <f>SUM(D29:D30,D33:D39)</f>
        <v>0</v>
      </c>
      <c r="E1" s="2718"/>
      <c r="F1" s="2718"/>
      <c r="G1" s="2718"/>
      <c r="H1" s="2718"/>
      <c r="I1" s="2718"/>
      <c r="J1" s="2718"/>
      <c r="K1" s="1372"/>
      <c r="L1" s="2719" t="s">
        <v>2804</v>
      </c>
      <c r="M1" s="1082">
        <f>SUMPRODUCT((区片价!B5:B9=I2)*(区片价!C3:F3=E2)*(区片价!C5:F9))</f>
        <v>0</v>
      </c>
      <c r="N1" s="1085">
        <f>SUMPRODUCT((因素修正幅度!B5:B9=I2)*(因素修正幅度!C3:F3=E2)*(因素修正幅度!C5:F9))</f>
        <v>0</v>
      </c>
      <c r="O1" s="2720"/>
      <c r="P1" s="2720"/>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2" t="s">
        <v>2811</v>
      </c>
      <c r="D2" s="2723" t="s">
        <v>2812</v>
      </c>
      <c r="E2" s="2724"/>
      <c r="F2" s="2723" t="s">
        <v>2813</v>
      </c>
      <c r="G2" s="2725">
        <f>IF(E2="商业",项目基本情况!B37,IF(E2="办公",项目基本情况!C37,IF(E2="住宅",项目基本情况!D37,项目基本情况!E37)))</f>
        <v>0</v>
      </c>
      <c r="H2" s="2723" t="s">
        <v>2814</v>
      </c>
      <c r="I2" s="2725">
        <f>IF(E2="商业",项目基本情况!B38,IF(E2="办公",项目基本情况!C38,IF(E2="住宅",项目基本情况!D38,项目基本情况!E38)))</f>
        <v>0</v>
      </c>
      <c r="J2" s="2726"/>
      <c r="K2" s="1372"/>
      <c r="L2" s="2727" t="s">
        <v>2815</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2" t="s">
        <v>2817</v>
      </c>
      <c r="D3" s="2723" t="s">
        <v>2818</v>
      </c>
      <c r="E3" s="2728"/>
      <c r="F3" s="2729" t="s">
        <v>2819</v>
      </c>
      <c r="G3" s="916" t="e">
        <f>IF(F3="宗地容积率",'数据-汇总表'!I4,IF(F3="估价对象容积率",'数据-汇总表'!I6,'数据-汇总表'!I7))</f>
        <v>#DIV/0!</v>
      </c>
      <c r="H3" s="198" t="s">
        <v>2820</v>
      </c>
      <c r="I3" s="947"/>
      <c r="J3" s="2726" t="s">
        <v>2821</v>
      </c>
      <c r="K3" s="1372"/>
      <c r="L3" s="2727" t="s">
        <v>2822</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1"/>
      <c r="B4" s="3272"/>
      <c r="C4" s="3272"/>
      <c r="D4" s="3273"/>
      <c r="E4" s="3273"/>
      <c r="F4" s="3273"/>
      <c r="G4" s="3273"/>
      <c r="H4" s="3273"/>
      <c r="I4" s="3273"/>
      <c r="J4" s="3274"/>
      <c r="K4" s="1372"/>
      <c r="L4" s="2727" t="s">
        <v>2823</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2824</v>
      </c>
      <c r="C5" s="917" t="e">
        <f>ROUND(IF(E2="商业",IF(F16="增加",C6*C7+C16,C6*C7-C16),IF(E2="住宅",IF(F16="增加",C6*C12+C16,C6*C12-C16),IF(F16="增加",C6+C16,C6-C16))),0)</f>
        <v>#DIV/0!</v>
      </c>
      <c r="D5" s="1789">
        <f>ROUND(IF(E2="商业",IF(F16="增加",C6+C16,C6-C16)),0)</f>
        <v>0</v>
      </c>
      <c r="E5" s="2732"/>
      <c r="F5" s="2732"/>
      <c r="G5" s="2733"/>
      <c r="H5" s="2733"/>
      <c r="I5" s="2733"/>
      <c r="J5" s="2734"/>
      <c r="K5" s="2735"/>
      <c r="L5" s="2727" t="s">
        <v>2825</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75" thickBot="1">
      <c r="A6" s="2740" t="s">
        <v>2826</v>
      </c>
      <c r="B6" s="2741" t="s">
        <v>2827</v>
      </c>
      <c r="C6" s="918">
        <f>SUMIF(L1:L12,G2,M1:M12)</f>
        <v>0</v>
      </c>
      <c r="D6" s="2742" t="s">
        <v>2828</v>
      </c>
      <c r="E6" s="2743"/>
      <c r="F6" s="2743"/>
      <c r="G6" s="2744"/>
      <c r="H6" s="2744"/>
      <c r="I6" s="2744"/>
      <c r="J6" s="2745"/>
      <c r="K6" s="1844"/>
      <c r="L6" s="2727" t="s">
        <v>2829</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275" t="str">
        <f>IF(E2="商业",IF(C8="不临58条商业街","",2),"")</f>
        <v/>
      </c>
      <c r="B7" s="2746" t="s">
        <v>2830</v>
      </c>
      <c r="C7" s="919" t="e">
        <f>IF(C8="不临58条商业街",1,ROUND(1+(1.6*E8+1.2*E9+0.8*E10+0.4*E11)*C9,4))</f>
        <v>#DIV/0!</v>
      </c>
      <c r="D7" s="2747" t="s">
        <v>2831</v>
      </c>
      <c r="E7" s="948"/>
      <c r="F7" s="2748"/>
      <c r="G7" s="2749"/>
      <c r="H7" s="2749"/>
      <c r="I7" s="2749"/>
      <c r="J7" s="2750"/>
      <c r="K7" s="1844"/>
      <c r="L7" s="2727" t="s">
        <v>2832</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2833</v>
      </c>
      <c r="X7" s="1606">
        <f>G2</f>
        <v>0</v>
      </c>
      <c r="Y7" s="1606" t="s">
        <v>2834</v>
      </c>
      <c r="Z7" s="1607" t="e">
        <f>G3</f>
        <v>#DIV/0!</v>
      </c>
      <c r="AA7" s="1608"/>
      <c r="AB7" s="1608"/>
      <c r="AC7" s="1609"/>
      <c r="AD7" s="1610"/>
      <c r="AE7" s="1610"/>
      <c r="AF7" s="1610"/>
      <c r="AG7" s="1610"/>
      <c r="AH7" s="1610"/>
      <c r="AI7" s="1610"/>
      <c r="AJ7" s="1611"/>
    </row>
    <row r="8" spans="1:36" ht="15">
      <c r="A8" s="3276"/>
      <c r="B8" s="198" t="s">
        <v>2835</v>
      </c>
      <c r="C8" s="2751"/>
      <c r="D8" s="920" t="s">
        <v>139</v>
      </c>
      <c r="E8" s="921" t="e">
        <f>ROUND(C11/E7,4)</f>
        <v>#DIV/0!</v>
      </c>
      <c r="F8" s="2752" t="s">
        <v>2836</v>
      </c>
      <c r="G8" s="2753"/>
      <c r="H8" s="2753"/>
      <c r="I8" s="2753"/>
      <c r="J8" s="2754"/>
      <c r="K8" s="1372"/>
      <c r="L8" s="2727"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68" t="s">
        <v>2838</v>
      </c>
      <c r="X8" s="3269"/>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76"/>
      <c r="B9" s="198" t="s">
        <v>2851</v>
      </c>
      <c r="C9" s="922">
        <f>SUMIF(修正!C59:C119,C8,修正!E59:E119)</f>
        <v>0</v>
      </c>
      <c r="D9" s="200" t="s">
        <v>140</v>
      </c>
      <c r="E9" s="200" t="e">
        <f>ROUND(C11/E7,4)</f>
        <v>#DIV/0!</v>
      </c>
      <c r="F9" s="2752" t="s">
        <v>2852</v>
      </c>
      <c r="G9" s="2753"/>
      <c r="H9" s="2753"/>
      <c r="I9" s="2753"/>
      <c r="J9" s="2754"/>
      <c r="K9" s="1372"/>
      <c r="L9" s="2727"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0"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6"/>
      <c r="B10" s="198" t="s">
        <v>2856</v>
      </c>
      <c r="C10" s="200">
        <f>SUMIF(修正!C59:C119,C8,修正!F59:F119)</f>
        <v>0</v>
      </c>
      <c r="D10" s="200" t="s">
        <v>141</v>
      </c>
      <c r="E10" s="200" t="e">
        <f>ROUND(C11/E7,4)</f>
        <v>#DIV/0!</v>
      </c>
      <c r="F10" s="2752" t="s">
        <v>2857</v>
      </c>
      <c r="G10" s="2753"/>
      <c r="H10" s="2753"/>
      <c r="I10" s="2753"/>
      <c r="J10" s="2754"/>
      <c r="K10" s="1372"/>
      <c r="L10" s="2727"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6"/>
      <c r="B11" s="2755" t="s">
        <v>2859</v>
      </c>
      <c r="C11" s="923">
        <f>C10/4</f>
        <v>0</v>
      </c>
      <c r="D11" s="923" t="s">
        <v>142</v>
      </c>
      <c r="E11" s="923" t="e">
        <f>ROUND(C11/E7,4)</f>
        <v>#DIV/0!</v>
      </c>
      <c r="F11" s="2756" t="s">
        <v>2860</v>
      </c>
      <c r="G11" s="2757"/>
      <c r="H11" s="2757"/>
      <c r="I11" s="2757"/>
      <c r="J11" s="2758"/>
      <c r="K11" s="1372"/>
      <c r="L11" s="2727"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0" t="s">
        <v>2862</v>
      </c>
      <c r="X11" s="1616" t="s">
        <v>2863</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75" t="s">
        <v>2864</v>
      </c>
      <c r="B12" s="2759" t="s">
        <v>2865</v>
      </c>
      <c r="C12" s="919">
        <f>ROUND(C15*D15*E15*F15*G15*H15*I15*J15,4)</f>
        <v>1</v>
      </c>
      <c r="D12" s="2760" t="s">
        <v>2866</v>
      </c>
      <c r="E12" s="2761"/>
      <c r="F12" s="2761"/>
      <c r="G12" s="2762"/>
      <c r="H12" s="2762"/>
      <c r="I12" s="2762"/>
      <c r="J12" s="2763"/>
      <c r="K12" s="1372"/>
      <c r="L12" s="2764"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0"/>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7"/>
      <c r="B13" s="2765" t="s">
        <v>2869</v>
      </c>
      <c r="C13" s="2766" t="s">
        <v>2870</v>
      </c>
      <c r="D13" s="1810" t="s">
        <v>2871</v>
      </c>
      <c r="E13" s="1810" t="s">
        <v>2872</v>
      </c>
      <c r="F13" s="30" t="s">
        <v>2873</v>
      </c>
      <c r="G13" s="2767" t="s">
        <v>2874</v>
      </c>
      <c r="H13" s="2767" t="s">
        <v>2874</v>
      </c>
      <c r="I13" s="2767" t="s">
        <v>2874</v>
      </c>
      <c r="J13" s="2768" t="s">
        <v>2874</v>
      </c>
      <c r="K13" s="1372"/>
      <c r="L13" s="1372"/>
      <c r="M13" s="1372"/>
      <c r="N13" s="1372"/>
      <c r="O13" s="1372"/>
      <c r="P13" s="1372"/>
      <c r="Q13" s="1372"/>
      <c r="R13" s="1604">
        <v>12</v>
      </c>
      <c r="S13" s="1605"/>
      <c r="T13" s="1604" t="e">
        <f t="shared" si="0"/>
        <v>#DIV/0!</v>
      </c>
      <c r="U13" s="1605"/>
      <c r="V13" s="1604" t="e">
        <f t="shared" si="1"/>
        <v>#DIV/0!</v>
      </c>
      <c r="W13" s="3270"/>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77"/>
      <c r="B14" s="2769"/>
      <c r="C14" s="2770"/>
      <c r="D14" s="2771"/>
      <c r="E14" s="2771"/>
      <c r="F14" s="2772"/>
      <c r="G14" s="2773" t="s">
        <v>2875</v>
      </c>
      <c r="H14" s="2774"/>
      <c r="I14" s="2775"/>
      <c r="J14" s="2776"/>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8"/>
      <c r="B15" s="2777" t="s">
        <v>2876</v>
      </c>
      <c r="C15" s="229">
        <f>IF(C14="有",1.1,1)</f>
        <v>1</v>
      </c>
      <c r="D15" s="229">
        <f>IF(D14="有",1.1,1)</f>
        <v>1</v>
      </c>
      <c r="E15" s="229">
        <f>IF(E14="有",1.1,1)</f>
        <v>1</v>
      </c>
      <c r="F15" s="229">
        <f>IF(F14="500米范围内",1.2,IF(F14="500-1000米",1.1,1))</f>
        <v>1</v>
      </c>
      <c r="G15" s="949">
        <v>1</v>
      </c>
      <c r="H15" s="949">
        <v>1</v>
      </c>
      <c r="I15" s="949">
        <v>1</v>
      </c>
      <c r="J15" s="950">
        <v>1</v>
      </c>
      <c r="K15" s="1372"/>
      <c r="L15" s="2778" t="s">
        <v>2812</v>
      </c>
      <c r="M15" s="920" t="s">
        <v>2877</v>
      </c>
      <c r="N15" s="920" t="s">
        <v>2878</v>
      </c>
      <c r="O15" s="920" t="s">
        <v>2879</v>
      </c>
      <c r="P15" s="2779"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5" t="s">
        <v>2881</v>
      </c>
      <c r="B16" s="2746" t="s">
        <v>2882</v>
      </c>
      <c r="C16" s="1803" t="e">
        <f>ROUND(SUM(G17:J17)/C17,0)</f>
        <v>#DIV/0!</v>
      </c>
      <c r="D16" s="2780" t="s">
        <v>2883</v>
      </c>
      <c r="E16" s="2781"/>
      <c r="F16" s="2782"/>
      <c r="G16" s="2783"/>
      <c r="H16" s="2783"/>
      <c r="I16" s="2783"/>
      <c r="J16" s="2784"/>
      <c r="K16" s="1372"/>
      <c r="L16" s="2785" t="s">
        <v>2884</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6"/>
      <c r="B17" s="2786" t="s">
        <v>2885</v>
      </c>
      <c r="C17" s="924">
        <f>SUMPRODUCT((修正!A2:A5=E2)*(修正!B1:M1=G2)*(修正!B2:M5))</f>
        <v>0</v>
      </c>
      <c r="D17" s="2787"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8"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2889</v>
      </c>
      <c r="C18" s="926">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2890</v>
      </c>
      <c r="C19" s="927" t="e">
        <f>ROUND(IF(H19="按公示增长率计算",SUMPRODUCT((地价!A3:A21=YEAR(G19)&amp;"-"&amp;ROUNDUP(MONTH(G19)/3,0))*(地价!X2:AB2=E2)*(地价!X3:AB21)),IF(H19="地价指数",M20/M19,(1+I19)^O19)),4)</f>
        <v>#DIV/0!</v>
      </c>
      <c r="D19" s="2798" t="s">
        <v>2891</v>
      </c>
      <c r="E19" s="928">
        <v>41640</v>
      </c>
      <c r="F19" s="2798" t="s">
        <v>2892</v>
      </c>
      <c r="G19" s="929">
        <f>'数据-取费表'!B2</f>
        <v>43130</v>
      </c>
      <c r="H19" s="2799" t="s">
        <v>2893</v>
      </c>
      <c r="I19" s="930" t="str">
        <f>IF(H19="季度增幅（自定义）",SUMIF(N21:N24,E2,O21:O24),"")</f>
        <v/>
      </c>
      <c r="J19" s="2796"/>
      <c r="K19" s="1379"/>
      <c r="L19" s="2800" t="s">
        <v>2894</v>
      </c>
      <c r="M19" s="1736">
        <f>ROUND(SUMIF(地价!B2:F2,E2,地价!B21:F21),0)</f>
        <v>0</v>
      </c>
      <c r="N19" s="2801" t="s">
        <v>2895</v>
      </c>
      <c r="O19" s="931">
        <f>ROUNDDOWN(DATEDIF(E19,G19,"M")/3,0)</f>
        <v>16</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2896</v>
      </c>
      <c r="C20" s="932" t="e">
        <f>ROUND(POWER(1+G20,J20-I20)*(POWER(1+G20,I20)-1)/(POWER(1+G20,J20)-1),4)</f>
        <v>#DIV/0!</v>
      </c>
      <c r="D20" s="2807" t="s">
        <v>2897</v>
      </c>
      <c r="E20" s="1770">
        <f ca="1">存贷款利率!D4/100</f>
        <v>4.3499999999999997E-2</v>
      </c>
      <c r="F20" s="2807" t="s">
        <v>2888</v>
      </c>
      <c r="G20" s="937">
        <f>SUMIF(M15:P15,E2,M17:P17)</f>
        <v>0</v>
      </c>
      <c r="H20" s="2807" t="s">
        <v>2898</v>
      </c>
      <c r="I20" s="938" t="e">
        <f>SUMIF('数据-取费表'!C6:C15,E2,'数据-取费表'!F6:F15)/COUNTIF('数据-取费表'!C6:C15,E2)</f>
        <v>#DIV/0!</v>
      </c>
      <c r="J20" s="939">
        <f>IF(E2="住宅",70,IF(E2="商业",40,50))</f>
        <v>50</v>
      </c>
      <c r="K20" s="1379"/>
      <c r="L20" s="2808" t="s">
        <v>2899</v>
      </c>
      <c r="M20" s="1737">
        <f>ROUND(SUMPRODUCT((地价!A4:A21=YEAR(G19)&amp;"-"&amp;ROUNDUP(MONTH(G19)/3,0))*(地价!B2:F2=E2)*(地价!B4:F21)),0)</f>
        <v>0</v>
      </c>
      <c r="N20" s="2809" t="s">
        <v>2900</v>
      </c>
      <c r="O20" s="2810" t="s">
        <v>2901</v>
      </c>
      <c r="P20" s="2811" t="s">
        <v>2902</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2903</v>
      </c>
      <c r="C21" s="940" t="e">
        <f>IF(B21="容积率修正",IF(G3&lt;=10,D22,J22),C23)</f>
        <v>#DIV/0!</v>
      </c>
      <c r="D21" s="2814"/>
      <c r="E21" s="2814"/>
      <c r="F21" s="2814"/>
      <c r="G21" s="2814"/>
      <c r="H21" s="2814"/>
      <c r="I21" s="2814"/>
      <c r="J21" s="2815"/>
      <c r="K21" s="1379"/>
      <c r="N21" s="2816" t="s">
        <v>2904</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9" customFormat="1" ht="14.25">
      <c r="A22" s="2665" t="s">
        <v>2905</v>
      </c>
      <c r="B22" s="2817" t="s">
        <v>2906</v>
      </c>
      <c r="C22" s="1812" t="s">
        <v>2907</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79"/>
      <c r="N22" s="2816" t="s">
        <v>2908</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5" t="s">
        <v>2909</v>
      </c>
      <c r="B23" s="2818" t="s">
        <v>2910</v>
      </c>
      <c r="C23" s="1016" t="e">
        <f>ROUND(IF(G3&gt;1,IF(I3&lt;7,SUMPRODUCT((B93:B98=I3)*(C92:N92=G2)*(C93:N98)),SUMIF(C92:N92,G2,C100:N100)),IF(I3&lt;7,SUMPRODUCT((B102:B107=I3)*(C92:N92=G2)*(C102:N107)),SUMIF(C92:N92,G2,C109:N109))),4)</f>
        <v>#DIV/0!</v>
      </c>
      <c r="D23" s="2774"/>
      <c r="E23" s="2774"/>
      <c r="F23" s="2819"/>
      <c r="G23" s="2820"/>
      <c r="H23" s="2821"/>
      <c r="I23" s="2822"/>
      <c r="J23" s="2823"/>
      <c r="K23" s="1372"/>
      <c r="N23" s="2816" t="s">
        <v>2911</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2912</v>
      </c>
      <c r="C24" s="927">
        <f>SUMIF(A45:A88,E2,B45:B88)</f>
        <v>0</v>
      </c>
      <c r="D24" s="2794"/>
      <c r="E24" s="2824"/>
      <c r="F24" s="2824"/>
      <c r="G24" s="2824"/>
      <c r="H24" s="2824"/>
      <c r="I24" s="2824"/>
      <c r="J24" s="2825"/>
      <c r="K24" s="1379"/>
      <c r="N24" s="2826" t="s">
        <v>2913</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2914</v>
      </c>
      <c r="C25" s="933"/>
      <c r="D25" s="2749"/>
      <c r="E25" s="2749"/>
      <c r="F25" s="2828"/>
      <c r="G25" s="2749"/>
      <c r="H25" s="2749"/>
      <c r="I25" s="2749"/>
      <c r="J25" s="2750"/>
      <c r="K25" s="1372"/>
      <c r="N25" s="2829" t="s">
        <v>2915</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30"/>
      <c r="B26" s="2817" t="s">
        <v>2916</v>
      </c>
      <c r="C26" s="206"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2917</v>
      </c>
      <c r="C27" s="934"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2918</v>
      </c>
      <c r="C28" s="2841" t="s">
        <v>2919</v>
      </c>
      <c r="D28" s="2841" t="s">
        <v>2920</v>
      </c>
      <c r="E28" s="2842" t="s">
        <v>2921</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2922</v>
      </c>
      <c r="C29" s="206" t="e">
        <f>ROUND(C5*C18*C19*C20*C21*C24,0)</f>
        <v>#DIV/0!</v>
      </c>
      <c r="D29" s="2846"/>
      <c r="E29" s="945" t="e">
        <f>ROUND(C29*D29/10000,0)</f>
        <v>#DIV/0!</v>
      </c>
      <c r="F29" s="2847" t="s">
        <v>2923</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2924</v>
      </c>
      <c r="C30" s="229" t="e">
        <f>ROUND(IF(E2="工业",C29*M39,C29*M38),0)</f>
        <v>#DIV/0!</v>
      </c>
      <c r="D30" s="2852"/>
      <c r="E30" s="945" t="e">
        <f>ROUND(C30*D30/10000,0)</f>
        <v>#DIV/0!</v>
      </c>
      <c r="F30" s="2853" t="s">
        <v>2925</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2926</v>
      </c>
      <c r="C31" s="2858" t="s">
        <v>2927</v>
      </c>
      <c r="D31" s="2762"/>
      <c r="E31" s="2858"/>
      <c r="F31" s="2858"/>
      <c r="G31" s="2760" t="s">
        <v>2928</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2919</v>
      </c>
      <c r="D32" s="498" t="s">
        <v>2920</v>
      </c>
      <c r="E32" s="498" t="s">
        <v>2921</v>
      </c>
      <c r="F32" s="388" t="s">
        <v>2929</v>
      </c>
      <c r="G32" s="2861" t="s">
        <v>2919</v>
      </c>
      <c r="H32" s="2861" t="s">
        <v>2920</v>
      </c>
      <c r="I32" s="2861"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85" t="s">
        <v>2930</v>
      </c>
      <c r="B33" s="2862" t="s">
        <v>2931</v>
      </c>
      <c r="C33" s="206" t="e">
        <f>ROUND(D5*C19*C20*C24*F33,0)</f>
        <v>#DIV/0!</v>
      </c>
      <c r="D33" s="2846"/>
      <c r="E33" s="200" t="e">
        <f>ROUND(C33*D33/10000,0)</f>
        <v>#DIV/0!</v>
      </c>
      <c r="F33" s="200">
        <f>SUMIF(修正!A45:A56,G2,修正!B45:B56)</f>
        <v>0</v>
      </c>
      <c r="G33" s="200" t="e">
        <f t="shared" ref="G33:G39" si="6">ROUND(IF(E2="工业",C33*$M$39,C33*$M$38),0)</f>
        <v>#DIV/0!</v>
      </c>
      <c r="H33" s="200">
        <f>D33</f>
        <v>0</v>
      </c>
      <c r="I33" s="200"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6"/>
      <c r="B34" s="2766" t="s">
        <v>2932</v>
      </c>
      <c r="C34" s="206" t="e">
        <f>ROUND(D5*C19*C20*C24*F34,0)</f>
        <v>#DIV/0!</v>
      </c>
      <c r="D34" s="2846"/>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6"/>
      <c r="B35" s="2766" t="s">
        <v>2933</v>
      </c>
      <c r="C35" s="206" t="e">
        <f>ROUND(D5*C19*C20*C24*F35,0)</f>
        <v>#DIV/0!</v>
      </c>
      <c r="D35" s="2846"/>
      <c r="E35" s="200" t="e">
        <f t="shared" si="7"/>
        <v>#DIV/0!</v>
      </c>
      <c r="F35" s="200">
        <f>SUMIF(修正!A45:A56,G2,修正!D45:D56)</f>
        <v>0</v>
      </c>
      <c r="G35" s="200" t="e">
        <f t="shared" si="6"/>
        <v>#DIV/0!</v>
      </c>
      <c r="H35" s="200">
        <f t="shared" si="8"/>
        <v>0</v>
      </c>
      <c r="I35" s="200"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87"/>
      <c r="B36" s="2766" t="s">
        <v>2934</v>
      </c>
      <c r="C36" s="206" t="e">
        <f>ROUND(D5*C19*C20*C24*F36,0)</f>
        <v>#DIV/0!</v>
      </c>
      <c r="D36" s="2846"/>
      <c r="E36" s="200" t="e">
        <f t="shared" si="7"/>
        <v>#DIV/0!</v>
      </c>
      <c r="F36" s="200">
        <f>SUMIF(修正!A45:A56,G2,修正!E45:E56)</f>
        <v>0</v>
      </c>
      <c r="G36" s="200" t="e">
        <f t="shared" si="6"/>
        <v>#DIV/0!</v>
      </c>
      <c r="H36" s="200">
        <f t="shared" si="8"/>
        <v>0</v>
      </c>
      <c r="I36" s="200"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2935</v>
      </c>
      <c r="C37" s="200" t="e">
        <f>ROUND(C5*C19*C20*C24*F37,0)</f>
        <v>#DIV/0!</v>
      </c>
      <c r="D37" s="2846"/>
      <c r="E37" s="200" t="e">
        <f t="shared" si="7"/>
        <v>#DIV/0!</v>
      </c>
      <c r="F37" s="206">
        <f>SUMIF(修正!A45:A56,G2,修正!F45:F56)</f>
        <v>0</v>
      </c>
      <c r="G37" s="200" t="e">
        <f t="shared" si="6"/>
        <v>#DIV/0!</v>
      </c>
      <c r="H37" s="200">
        <f t="shared" si="8"/>
        <v>0</v>
      </c>
      <c r="I37" s="200" t="e">
        <f t="shared" si="9"/>
        <v>#DIV/0!</v>
      </c>
      <c r="J37" s="2863"/>
      <c r="K37" s="1372"/>
      <c r="L37" s="2865" t="s">
        <v>2936</v>
      </c>
      <c r="M37" s="2866"/>
      <c r="N37" s="1372"/>
      <c r="O37" s="1372"/>
      <c r="P37" s="1372"/>
      <c r="Q37" s="1372"/>
      <c r="R37" s="1372"/>
      <c r="S37" s="1372"/>
      <c r="T37" s="1372"/>
      <c r="U37" s="1372"/>
      <c r="V37" s="1372"/>
      <c r="W37" s="1372"/>
      <c r="X37" s="1372"/>
      <c r="Y37" s="1372"/>
      <c r="Z37" s="1373"/>
    </row>
    <row r="38" spans="1:37">
      <c r="A38" s="2864"/>
      <c r="B38" s="2766" t="s">
        <v>2937</v>
      </c>
      <c r="C38" s="200" t="e">
        <f>ROUND(C5*C19*C20*C24*F38,0)</f>
        <v>#DIV/0!</v>
      </c>
      <c r="D38" s="2846"/>
      <c r="E38" s="200" t="e">
        <f t="shared" si="7"/>
        <v>#DIV/0!</v>
      </c>
      <c r="F38" s="206">
        <f>SUMIF(修正!A45:A56,G2,修正!G45:G56)</f>
        <v>0</v>
      </c>
      <c r="G38" s="200" t="e">
        <f t="shared" si="6"/>
        <v>#DIV/0!</v>
      </c>
      <c r="H38" s="200">
        <f t="shared" si="8"/>
        <v>0</v>
      </c>
      <c r="I38" s="200" t="e">
        <f t="shared" si="9"/>
        <v>#DIV/0!</v>
      </c>
      <c r="J38" s="2863"/>
      <c r="K38" s="1372"/>
      <c r="L38" s="1889" t="s">
        <v>2938</v>
      </c>
      <c r="M38" s="2867">
        <v>0.25</v>
      </c>
      <c r="N38" s="1372"/>
      <c r="O38" s="1372"/>
      <c r="P38" s="1372"/>
      <c r="Q38" s="1372"/>
      <c r="R38" s="1372"/>
      <c r="S38" s="1372"/>
      <c r="T38" s="1372"/>
      <c r="U38" s="1372"/>
      <c r="V38" s="1372"/>
      <c r="W38" s="1372"/>
      <c r="X38" s="1372"/>
      <c r="Y38" s="1372"/>
      <c r="Z38" s="1373"/>
    </row>
    <row r="39" spans="1:37" ht="13.5" thickBot="1">
      <c r="A39" s="2850"/>
      <c r="B39" s="2868" t="s">
        <v>2939</v>
      </c>
      <c r="C39" s="229" t="e">
        <f>ROUND(C5*C19*C20*C24*F39,0)</f>
        <v>#DIV/0!</v>
      </c>
      <c r="D39" s="2852"/>
      <c r="E39" s="229" t="e">
        <f t="shared" si="7"/>
        <v>#DIV/0!</v>
      </c>
      <c r="F39" s="935">
        <f>SUMIF(修正!A45:A56,G2,修正!H45:H56)</f>
        <v>0</v>
      </c>
      <c r="G39" s="229" t="e">
        <f t="shared" si="6"/>
        <v>#DIV/0!</v>
      </c>
      <c r="H39" s="229">
        <f t="shared" si="8"/>
        <v>0</v>
      </c>
      <c r="I39" s="229" t="e">
        <f t="shared" si="9"/>
        <v>#DIV/0!</v>
      </c>
      <c r="J39" s="2869"/>
      <c r="K39" s="1372"/>
      <c r="L39" s="2870" t="s">
        <v>2880</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2940</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2941</v>
      </c>
      <c r="B46" s="2876">
        <f>1+E48</f>
        <v>1</v>
      </c>
      <c r="C46" s="2877"/>
      <c r="D46" s="814"/>
      <c r="E46" s="815"/>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2942</v>
      </c>
      <c r="B47" s="1811" t="s">
        <v>2943</v>
      </c>
      <c r="C47" s="1811" t="s">
        <v>2944</v>
      </c>
      <c r="D47" s="1811" t="s">
        <v>2945</v>
      </c>
      <c r="E47" s="819" t="s">
        <v>2946</v>
      </c>
      <c r="F47" s="2880" t="s">
        <v>2947</v>
      </c>
      <c r="G47" s="1811" t="s">
        <v>754</v>
      </c>
      <c r="H47" s="2881"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9" t="s">
        <v>2950</v>
      </c>
      <c r="B48" s="2882" t="str">
        <f>估价对象房地状况!C4</f>
        <v>估价对象位于XX商圈，周边商业氛围成熟，人流量大，商业繁华度好</v>
      </c>
      <c r="C48" s="2771"/>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2951</v>
      </c>
      <c r="B49" s="2883" t="str">
        <f>估价对象房地状况!C18</f>
        <v>估价对象周边道路状况、公共交通通达情况、停车便捷程度，综合评价交通便捷度较好</v>
      </c>
      <c r="C49" s="2771"/>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2952</v>
      </c>
      <c r="B50" s="2883">
        <f>估价对象房地状况!C19</f>
        <v>0</v>
      </c>
      <c r="C50" s="2771"/>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2953</v>
      </c>
      <c r="B51" s="2884" t="s">
        <v>2954</v>
      </c>
      <c r="C51" s="2771"/>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2955</v>
      </c>
      <c r="B52" s="2883">
        <f>估价对象房地状况!C24</f>
        <v>0</v>
      </c>
      <c r="C52" s="2771"/>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2956</v>
      </c>
      <c r="B53" s="2885" t="s">
        <v>2957</v>
      </c>
      <c r="C53" s="2771"/>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2958</v>
      </c>
      <c r="B54" s="1727" t="str">
        <f>估价对象房地状况!C21</f>
        <v>估价对象所在区域公共配套设施齐备情况</v>
      </c>
      <c r="C54" s="2771"/>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2959</v>
      </c>
      <c r="B55" s="2883" t="str">
        <f>估价对象房地状况!C22</f>
        <v>估价对象所在区域基础设施水平</v>
      </c>
      <c r="C55" s="2771"/>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2960</v>
      </c>
      <c r="B56" s="2888" t="str">
        <f>估价对象房地状况!C20</f>
        <v>区域自然环境：；人文环境；综合评价环境状况一般</v>
      </c>
      <c r="C56" s="2771"/>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2961</v>
      </c>
      <c r="B57" s="2876">
        <f>1+E59</f>
        <v>1</v>
      </c>
      <c r="C57" s="814"/>
      <c r="D57" s="814"/>
      <c r="E57" s="815"/>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2942</v>
      </c>
      <c r="B58" s="1811"/>
      <c r="C58" s="1811" t="s">
        <v>2944</v>
      </c>
      <c r="D58" s="1811" t="s">
        <v>2945</v>
      </c>
      <c r="E58" s="819" t="s">
        <v>2946</v>
      </c>
      <c r="F58" s="2880" t="s">
        <v>2962</v>
      </c>
      <c r="G58" s="1811" t="s">
        <v>754</v>
      </c>
      <c r="H58" s="2881"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9" t="s">
        <v>2963</v>
      </c>
      <c r="B59" s="2882" t="str">
        <f>估价对象房地状况!C17</f>
        <v>估价对象位于XX商圈，周边办公楼项目较多，入驻率高，办公集聚程度较好</v>
      </c>
      <c r="C59" s="2771"/>
      <c r="D59" s="1288">
        <f t="shared" ref="D59:D67" si="15">SUMIF($J$58:$N$58,C59,J59:N59)</f>
        <v>0</v>
      </c>
      <c r="E59" s="821">
        <f>ROUND(SUM(D59:D67),4)</f>
        <v>0</v>
      </c>
      <c r="F59" s="2502"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2951</v>
      </c>
      <c r="B60" s="2883" t="str">
        <f>估价对象房地状况!C18</f>
        <v>估价对象周边道路状况、公共交通通达情况、停车便捷程度，综合评价交通便捷度较好</v>
      </c>
      <c r="C60" s="2771"/>
      <c r="D60" s="1288">
        <f t="shared" si="15"/>
        <v>0</v>
      </c>
      <c r="E60" s="822"/>
      <c r="F60" s="2502"/>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2952</v>
      </c>
      <c r="B61" s="2883">
        <f>估价对象房地状况!C19</f>
        <v>0</v>
      </c>
      <c r="C61" s="2771"/>
      <c r="D61" s="1288">
        <f t="shared" si="15"/>
        <v>0</v>
      </c>
      <c r="E61" s="822"/>
      <c r="F61" s="2502"/>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2953</v>
      </c>
      <c r="B62" s="2884" t="s">
        <v>2954</v>
      </c>
      <c r="C62" s="2771"/>
      <c r="D62" s="1288">
        <f t="shared" si="15"/>
        <v>0</v>
      </c>
      <c r="E62" s="822"/>
      <c r="F62" s="2502"/>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2955</v>
      </c>
      <c r="B63" s="2883">
        <f>估价对象房地状况!C24</f>
        <v>0</v>
      </c>
      <c r="C63" s="2771"/>
      <c r="D63" s="1288">
        <f t="shared" si="15"/>
        <v>0</v>
      </c>
      <c r="E63" s="822"/>
      <c r="F63" s="2502"/>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2956</v>
      </c>
      <c r="B64" s="2885" t="s">
        <v>2957</v>
      </c>
      <c r="C64" s="2771"/>
      <c r="D64" s="1288">
        <f t="shared" si="15"/>
        <v>0</v>
      </c>
      <c r="E64" s="822"/>
      <c r="F64" s="2502"/>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2958</v>
      </c>
      <c r="B65" s="1727" t="str">
        <f>估价对象房地状况!C21</f>
        <v>估价对象所在区域公共配套设施齐备情况</v>
      </c>
      <c r="C65" s="2771"/>
      <c r="D65" s="1288">
        <f t="shared" si="15"/>
        <v>0</v>
      </c>
      <c r="E65" s="822"/>
      <c r="F65" s="2502"/>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2959</v>
      </c>
      <c r="B66" s="1727" t="str">
        <f>估价对象房地状况!C22</f>
        <v>估价对象所在区域基础设施水平</v>
      </c>
      <c r="C66" s="2771"/>
      <c r="D66" s="1288">
        <f t="shared" si="15"/>
        <v>0</v>
      </c>
      <c r="E66" s="822"/>
      <c r="F66" s="2502"/>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2960</v>
      </c>
      <c r="B67" s="2889" t="str">
        <f>估价对象房地状况!C20</f>
        <v>区域自然环境：；人文环境；综合评价环境状况一般</v>
      </c>
      <c r="C67" s="2771"/>
      <c r="D67" s="1288">
        <f t="shared" si="15"/>
        <v>0</v>
      </c>
      <c r="E67" s="825"/>
      <c r="F67" s="2502"/>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2964</v>
      </c>
      <c r="B68" s="2876">
        <f>1+E70</f>
        <v>1</v>
      </c>
      <c r="C68" s="814"/>
      <c r="D68" s="814"/>
      <c r="E68" s="815"/>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2942</v>
      </c>
      <c r="B69" s="1811"/>
      <c r="C69" s="1811" t="s">
        <v>2944</v>
      </c>
      <c r="D69" s="1811" t="s">
        <v>2945</v>
      </c>
      <c r="E69" s="819" t="s">
        <v>2946</v>
      </c>
      <c r="F69" s="2880" t="s">
        <v>2962</v>
      </c>
      <c r="G69" s="1811" t="s">
        <v>754</v>
      </c>
      <c r="H69" s="2881"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9" t="s">
        <v>2965</v>
      </c>
      <c r="B70" s="2882" t="str">
        <f>估价对象房地状况!C15</f>
        <v>估价对象周边居住用地比例、居住小区规模和社区发展完善程度，综合评价居住社区成熟度一般</v>
      </c>
      <c r="C70" s="2771"/>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2951</v>
      </c>
      <c r="B71" s="2883" t="str">
        <f>估价对象房地状况!C18</f>
        <v>估价对象周边道路状况、公共交通通达情况、停车便捷程度，综合评价交通便捷度较好</v>
      </c>
      <c r="C71" s="2771"/>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2952</v>
      </c>
      <c r="B72" s="2883">
        <f>估价对象房地状况!C19</f>
        <v>0</v>
      </c>
      <c r="C72" s="2771"/>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2966</v>
      </c>
      <c r="B73" s="2883">
        <f>估价对象房地状况!C24</f>
        <v>0</v>
      </c>
      <c r="C73" s="2771"/>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2958</v>
      </c>
      <c r="B74" s="1727" t="str">
        <f>估价对象房地状况!C21</f>
        <v>估价对象所在区域公共配套设施齐备情况</v>
      </c>
      <c r="C74" s="2771"/>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2959</v>
      </c>
      <c r="B75" s="1727" t="str">
        <f>估价对象房地状况!C22</f>
        <v>估价对象所在区域基础设施水平</v>
      </c>
      <c r="C75" s="2771"/>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2956</v>
      </c>
      <c r="B76" s="2885" t="s">
        <v>2957</v>
      </c>
      <c r="C76" s="2771"/>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2960</v>
      </c>
      <c r="B77" s="2882" t="str">
        <f>估价对象房地状况!C20</f>
        <v>区域自然环境：；人文环境；综合评价环境状况一般</v>
      </c>
      <c r="C77" s="2771"/>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1"/>
      <c r="AA77" s="2797"/>
      <c r="AG77" s="1374"/>
      <c r="AK77" s="2797"/>
    </row>
    <row r="78" spans="1:37" ht="24.75" thickBot="1">
      <c r="A78" s="2887" t="s">
        <v>2967</v>
      </c>
      <c r="B78" s="2891"/>
      <c r="C78" s="2771"/>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1"/>
      <c r="AA78" s="2797"/>
      <c r="AG78" s="1374"/>
      <c r="AK78" s="2797"/>
    </row>
    <row r="79" spans="1:37" ht="15">
      <c r="A79" s="2875" t="s">
        <v>2968</v>
      </c>
      <c r="B79" s="2876">
        <f>1+E81</f>
        <v>1</v>
      </c>
      <c r="C79" s="814"/>
      <c r="D79" s="814"/>
      <c r="E79" s="815"/>
      <c r="F79" s="2878"/>
      <c r="G79" s="6"/>
      <c r="H79" s="6"/>
      <c r="I79" s="6"/>
      <c r="J79" s="7"/>
      <c r="K79" s="7"/>
      <c r="L79" s="7"/>
      <c r="M79" s="7"/>
      <c r="N79" s="7"/>
      <c r="Z79" s="2721"/>
      <c r="AA79" s="2797"/>
      <c r="AG79" s="1374"/>
      <c r="AK79" s="2797"/>
    </row>
    <row r="80" spans="1:37" ht="24.75">
      <c r="A80" s="2879" t="s">
        <v>2942</v>
      </c>
      <c r="B80" s="1811"/>
      <c r="C80" s="1811" t="s">
        <v>2944</v>
      </c>
      <c r="D80" s="1811" t="s">
        <v>2945</v>
      </c>
      <c r="E80" s="819" t="s">
        <v>2946</v>
      </c>
      <c r="F80" s="2880" t="s">
        <v>2962</v>
      </c>
      <c r="G80" s="1811" t="s">
        <v>754</v>
      </c>
      <c r="H80" s="2881" t="s">
        <v>2948</v>
      </c>
      <c r="I80" s="1811" t="s">
        <v>2949</v>
      </c>
      <c r="J80" s="603" t="s">
        <v>2595</v>
      </c>
      <c r="K80" s="603" t="s">
        <v>2596</v>
      </c>
      <c r="L80" s="603" t="s">
        <v>2597</v>
      </c>
      <c r="M80" s="603" t="s">
        <v>2598</v>
      </c>
      <c r="N80" s="603" t="s">
        <v>2599</v>
      </c>
      <c r="Z80" s="2721"/>
      <c r="AA80" s="2797"/>
      <c r="AG80" s="1374"/>
      <c r="AK80" s="2797"/>
    </row>
    <row r="81" spans="1:37" ht="38.25">
      <c r="A81" s="2879" t="s">
        <v>2969</v>
      </c>
      <c r="B81" s="2883" t="str">
        <f>估价对象房地状况!G15</f>
        <v>估价对象位于XX开发区，园区建设成熟度XX，产业集聚程度XX</v>
      </c>
      <c r="C81" s="2771"/>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2951</v>
      </c>
      <c r="B82" s="2883" t="str">
        <f>估价对象房地状况!G16</f>
        <v>估价对象周边道路状况、公共交通通达情况、停车便捷程度，综合评价交通便捷度较好</v>
      </c>
      <c r="C82" s="2771"/>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1"/>
      <c r="AA82" s="2797"/>
      <c r="AG82" s="1374"/>
      <c r="AK82" s="2797"/>
    </row>
    <row r="83" spans="1:37" ht="24">
      <c r="A83" s="2879" t="s">
        <v>2952</v>
      </c>
      <c r="B83" s="2883">
        <f>估价对象房地状况!G17</f>
        <v>0</v>
      </c>
      <c r="C83" s="2771"/>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1"/>
      <c r="AA83" s="2797"/>
      <c r="AG83" s="1374"/>
      <c r="AK83" s="2797"/>
    </row>
    <row r="84" spans="1:37" ht="14.25">
      <c r="A84" s="2879" t="s">
        <v>2966</v>
      </c>
      <c r="B84" s="2883">
        <f>估价对象房地状况!G22</f>
        <v>0</v>
      </c>
      <c r="C84" s="2771"/>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1"/>
      <c r="AA84" s="2797"/>
      <c r="AG84" s="1374"/>
      <c r="AK84" s="2797"/>
    </row>
    <row r="85" spans="1:37" ht="25.5">
      <c r="A85" s="2879" t="s">
        <v>2958</v>
      </c>
      <c r="B85" s="1727" t="str">
        <f>估价对象房地状况!G19</f>
        <v>估价对象所在区域公共配套设施齐备情况</v>
      </c>
      <c r="C85" s="2771"/>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1"/>
      <c r="AA85" s="2797"/>
      <c r="AG85" s="1374"/>
      <c r="AK85" s="2797"/>
    </row>
    <row r="86" spans="1:37" ht="25.5">
      <c r="A86" s="2879" t="s">
        <v>2959</v>
      </c>
      <c r="B86" s="1727" t="str">
        <f>估价对象房地状况!G20</f>
        <v>估价对象所在区域基础设施水平</v>
      </c>
      <c r="C86" s="2771"/>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1"/>
      <c r="AA86" s="2797"/>
      <c r="AG86" s="1374"/>
      <c r="AK86" s="2797"/>
    </row>
    <row r="87" spans="1:37" ht="24">
      <c r="A87" s="2879" t="s">
        <v>2956</v>
      </c>
      <c r="B87" s="2885" t="s">
        <v>2970</v>
      </c>
      <c r="C87" s="2771"/>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1"/>
      <c r="AA87" s="2797"/>
      <c r="AG87" s="1374"/>
      <c r="AK87" s="2797"/>
    </row>
    <row r="88" spans="1:37" ht="39" thickBot="1">
      <c r="A88" s="2887" t="s">
        <v>2971</v>
      </c>
      <c r="B88" s="2892" t="str">
        <f>估价对象房地状况!G18</f>
        <v>该园区内是否有污染型企业，绿化情况，卫生条件，整体环境状况判断</v>
      </c>
      <c r="C88" s="2771"/>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1"/>
      <c r="AA88" s="2797"/>
      <c r="AG88" s="1374"/>
      <c r="AK88" s="2797"/>
    </row>
    <row r="90" spans="1:37">
      <c r="A90" s="3279" t="s">
        <v>2972</v>
      </c>
      <c r="B90" s="3279"/>
      <c r="C90" s="3279"/>
      <c r="D90" s="3279"/>
      <c r="E90" s="3279"/>
      <c r="F90" s="3279"/>
      <c r="G90" s="3279"/>
      <c r="H90" s="3279"/>
      <c r="I90" s="3279"/>
      <c r="J90" s="3279"/>
      <c r="K90" s="2893"/>
      <c r="L90" s="2893"/>
      <c r="M90" s="2893"/>
      <c r="N90" s="2893"/>
    </row>
    <row r="91" spans="1:37">
      <c r="A91" s="3281" t="s">
        <v>2973</v>
      </c>
      <c r="B91" s="3281" t="s">
        <v>2974</v>
      </c>
      <c r="C91" s="2847" t="s">
        <v>2975</v>
      </c>
      <c r="D91" s="2848"/>
      <c r="E91" s="2848"/>
      <c r="F91" s="2848"/>
      <c r="G91" s="2848"/>
      <c r="H91" s="2848"/>
      <c r="I91" s="2848"/>
      <c r="J91" s="2894"/>
      <c r="K91" s="2895"/>
      <c r="L91" s="2895"/>
      <c r="M91" s="2895"/>
      <c r="N91" s="2895"/>
    </row>
    <row r="92" spans="1:37">
      <c r="A92" s="3281"/>
      <c r="B92" s="3281"/>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82" t="s">
        <v>2976</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8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8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8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8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8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83"/>
      <c r="B99" s="2896" t="s">
        <v>2855</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8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82" t="s">
        <v>2977</v>
      </c>
      <c r="B101" s="2900" t="s">
        <v>2978</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83"/>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83"/>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83"/>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83"/>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83"/>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83"/>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83"/>
      <c r="B108" s="3141" t="s">
        <v>2979</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84"/>
      <c r="B109" s="3142"/>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80" t="s">
        <v>2980</v>
      </c>
      <c r="B110" s="3280"/>
      <c r="C110" s="3280"/>
      <c r="D110" s="3280"/>
      <c r="E110" s="3280"/>
      <c r="F110" s="3280"/>
      <c r="G110" s="3280"/>
      <c r="H110" s="3280"/>
      <c r="I110" s="3280"/>
      <c r="J110" s="3280"/>
      <c r="K110" s="2902"/>
      <c r="L110" s="2902"/>
      <c r="M110" s="2902"/>
      <c r="N110" s="2902"/>
    </row>
    <row r="112" spans="1:14" ht="13.5" thickBot="1"/>
    <row r="113" spans="1:13" ht="25.5" thickBot="1">
      <c r="A113" s="903" t="s">
        <v>2981</v>
      </c>
      <c r="B113" s="1289" t="e">
        <f>G3</f>
        <v>#DIV/0!</v>
      </c>
      <c r="C113" s="904" t="s">
        <v>2982</v>
      </c>
      <c r="D113" s="905" t="e">
        <f>SUMPRODUCT((A115:A118=F113)*(B114:M114=H113)*B115:M118)</f>
        <v>#DIV/0!</v>
      </c>
      <c r="E113" s="2725" t="s">
        <v>2812</v>
      </c>
      <c r="F113" s="2904">
        <f>E2</f>
        <v>0</v>
      </c>
      <c r="G113" s="2725" t="s">
        <v>2813</v>
      </c>
      <c r="H113" s="2904">
        <f>G2</f>
        <v>0</v>
      </c>
      <c r="I113" s="2725"/>
      <c r="J113" s="2905"/>
      <c r="K113" s="2905"/>
      <c r="L113" s="2905"/>
      <c r="M113" s="2905"/>
    </row>
    <row r="114" spans="1:13">
      <c r="A114" s="908"/>
      <c r="B114" s="2906" t="s">
        <v>2983</v>
      </c>
      <c r="C114" s="2906" t="s">
        <v>2984</v>
      </c>
      <c r="D114" s="2906" t="s">
        <v>2985</v>
      </c>
      <c r="E114" s="2907" t="s">
        <v>2986</v>
      </c>
      <c r="F114" s="2907" t="s">
        <v>2987</v>
      </c>
      <c r="G114" s="2907" t="s">
        <v>2988</v>
      </c>
      <c r="H114" s="2908" t="s">
        <v>2989</v>
      </c>
      <c r="I114" s="2908" t="s">
        <v>2990</v>
      </c>
      <c r="J114" s="2909" t="s">
        <v>2991</v>
      </c>
      <c r="K114" s="2909" t="s">
        <v>2992</v>
      </c>
      <c r="L114" s="2909" t="s">
        <v>2993</v>
      </c>
      <c r="M114" s="2910" t="s">
        <v>2994</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8" t="s">
        <v>183</v>
      </c>
      <c r="B18" s="882" t="s">
        <v>560</v>
      </c>
      <c r="C18" s="883" t="s">
        <v>561</v>
      </c>
      <c r="D18" s="884"/>
      <c r="E18" s="882">
        <v>1</v>
      </c>
      <c r="F18" s="885" t="s">
        <v>562</v>
      </c>
      <c r="G18" s="886"/>
      <c r="H18" s="878"/>
      <c r="I18" s="878"/>
    </row>
    <row r="19" spans="1:9" s="887" customFormat="1" ht="19.5" customHeight="1">
      <c r="A19" s="3288"/>
      <c r="B19" s="3288" t="s">
        <v>563</v>
      </c>
      <c r="C19" s="883" t="s">
        <v>564</v>
      </c>
      <c r="D19" s="884"/>
      <c r="E19" s="882">
        <v>0.9</v>
      </c>
      <c r="F19" s="885" t="s">
        <v>565</v>
      </c>
      <c r="G19" s="886"/>
      <c r="H19" s="878"/>
      <c r="I19" s="878"/>
    </row>
    <row r="20" spans="1:9" s="887" customFormat="1" ht="19.5" customHeight="1">
      <c r="A20" s="3288"/>
      <c r="B20" s="3288"/>
      <c r="C20" s="883" t="s">
        <v>566</v>
      </c>
      <c r="D20" s="884"/>
      <c r="E20" s="882">
        <v>1.1000000000000001</v>
      </c>
      <c r="F20" s="885" t="s">
        <v>567</v>
      </c>
      <c r="G20" s="886"/>
      <c r="H20" s="878"/>
      <c r="I20" s="878"/>
    </row>
    <row r="21" spans="1:9" s="887" customFormat="1" ht="19.5" customHeight="1">
      <c r="A21" s="3288"/>
      <c r="B21" s="3288"/>
      <c r="C21" s="883" t="s">
        <v>568</v>
      </c>
      <c r="D21" s="884"/>
      <c r="E21" s="882">
        <v>0.8</v>
      </c>
      <c r="F21" s="885" t="s">
        <v>569</v>
      </c>
      <c r="G21" s="886"/>
      <c r="H21" s="878"/>
      <c r="I21" s="878"/>
    </row>
    <row r="22" spans="1:9" s="887" customFormat="1" ht="19.5" customHeight="1">
      <c r="A22" s="3288"/>
      <c r="B22" s="3288"/>
      <c r="C22" s="883" t="s">
        <v>570</v>
      </c>
      <c r="D22" s="884"/>
      <c r="E22" s="882">
        <v>0.5</v>
      </c>
      <c r="F22" s="885"/>
      <c r="G22" s="886"/>
      <c r="H22" s="878"/>
      <c r="I22" s="878"/>
    </row>
    <row r="23" spans="1:9" s="887" customFormat="1" ht="19.5" customHeight="1">
      <c r="A23" s="3288" t="s">
        <v>184</v>
      </c>
      <c r="B23" s="882" t="s">
        <v>560</v>
      </c>
      <c r="C23" s="883" t="s">
        <v>571</v>
      </c>
      <c r="D23" s="884"/>
      <c r="E23" s="882">
        <v>1</v>
      </c>
      <c r="F23" s="885" t="s">
        <v>572</v>
      </c>
      <c r="G23" s="886"/>
      <c r="H23" s="878"/>
      <c r="I23" s="878"/>
    </row>
    <row r="24" spans="1:9" s="887" customFormat="1" ht="19.5" customHeight="1">
      <c r="A24" s="3288"/>
      <c r="B24" s="3288" t="s">
        <v>563</v>
      </c>
      <c r="C24" s="883" t="s">
        <v>573</v>
      </c>
      <c r="D24" s="884"/>
      <c r="E24" s="882">
        <v>0.5</v>
      </c>
      <c r="F24" s="885"/>
      <c r="G24" s="886"/>
      <c r="H24" s="878"/>
      <c r="I24" s="878"/>
    </row>
    <row r="25" spans="1:9" s="887" customFormat="1" ht="19.5" customHeight="1">
      <c r="A25" s="3288"/>
      <c r="B25" s="3288"/>
      <c r="C25" s="883" t="s">
        <v>574</v>
      </c>
      <c r="D25" s="884"/>
      <c r="E25" s="882">
        <v>1.1000000000000001</v>
      </c>
      <c r="F25" s="885"/>
      <c r="G25" s="886"/>
      <c r="H25" s="878"/>
      <c r="I25" s="878"/>
    </row>
    <row r="26" spans="1:9" s="887" customFormat="1" ht="19.5" customHeight="1">
      <c r="A26" s="3288"/>
      <c r="B26" s="3288"/>
      <c r="C26" s="883" t="s">
        <v>575</v>
      </c>
      <c r="D26" s="884"/>
      <c r="E26" s="882">
        <v>1.1000000000000001</v>
      </c>
      <c r="F26" s="885"/>
      <c r="G26" s="886"/>
      <c r="H26" s="878"/>
      <c r="I26" s="878"/>
    </row>
    <row r="27" spans="1:9" s="887" customFormat="1" ht="19.5" customHeight="1">
      <c r="A27" s="3288"/>
      <c r="B27" s="3288"/>
      <c r="C27" s="883" t="s">
        <v>576</v>
      </c>
      <c r="D27" s="884"/>
      <c r="E27" s="882">
        <v>0.9</v>
      </c>
      <c r="F27" s="885" t="s">
        <v>577</v>
      </c>
      <c r="G27" s="886"/>
      <c r="H27" s="878"/>
      <c r="I27" s="878"/>
    </row>
    <row r="28" spans="1:9" s="887" customFormat="1" ht="19.5" customHeight="1">
      <c r="A28" s="3288"/>
      <c r="B28" s="3288"/>
      <c r="C28" s="883" t="s">
        <v>578</v>
      </c>
      <c r="D28" s="884"/>
      <c r="E28" s="882">
        <v>0.9</v>
      </c>
      <c r="F28" s="885" t="s">
        <v>579</v>
      </c>
      <c r="G28" s="886"/>
      <c r="H28" s="878"/>
      <c r="I28" s="878"/>
    </row>
    <row r="29" spans="1:9" s="887" customFormat="1" ht="19.5" customHeight="1">
      <c r="A29" s="3288"/>
      <c r="B29" s="3288"/>
      <c r="C29" s="883" t="s">
        <v>580</v>
      </c>
      <c r="D29" s="884"/>
      <c r="E29" s="882">
        <v>0.9</v>
      </c>
      <c r="F29" s="885" t="s">
        <v>581</v>
      </c>
      <c r="G29" s="886"/>
      <c r="H29" s="878"/>
      <c r="I29" s="878"/>
    </row>
    <row r="30" spans="1:9" s="887" customFormat="1" ht="19.5" customHeight="1">
      <c r="A30" s="3288"/>
      <c r="B30" s="3288"/>
      <c r="C30" s="883" t="s">
        <v>582</v>
      </c>
      <c r="D30" s="884"/>
      <c r="E30" s="882">
        <v>0.9</v>
      </c>
      <c r="F30" s="885" t="s">
        <v>583</v>
      </c>
      <c r="G30" s="886"/>
      <c r="H30" s="878"/>
      <c r="I30" s="878"/>
    </row>
    <row r="31" spans="1:9" s="887" customFormat="1" ht="19.5" customHeight="1">
      <c r="A31" s="3288"/>
      <c r="B31" s="3288"/>
      <c r="C31" s="883" t="s">
        <v>584</v>
      </c>
      <c r="D31" s="884"/>
      <c r="E31" s="882">
        <v>0.8</v>
      </c>
      <c r="F31" s="885" t="s">
        <v>585</v>
      </c>
      <c r="G31" s="886"/>
      <c r="H31" s="878"/>
      <c r="I31" s="878"/>
    </row>
    <row r="32" spans="1:9" s="887" customFormat="1" ht="19.5" customHeight="1">
      <c r="A32" s="3288"/>
      <c r="B32" s="3288"/>
      <c r="C32" s="883" t="s">
        <v>586</v>
      </c>
      <c r="D32" s="884"/>
      <c r="E32" s="882">
        <v>0.8</v>
      </c>
      <c r="F32" s="885" t="s">
        <v>587</v>
      </c>
      <c r="G32" s="886"/>
      <c r="H32" s="878"/>
      <c r="I32" s="878"/>
    </row>
    <row r="33" spans="1:9" s="887" customFormat="1" ht="19.5" customHeight="1">
      <c r="A33" s="3288" t="s">
        <v>185</v>
      </c>
      <c r="B33" s="882" t="s">
        <v>560</v>
      </c>
      <c r="C33" s="883" t="s">
        <v>588</v>
      </c>
      <c r="D33" s="884"/>
      <c r="E33" s="882">
        <v>1</v>
      </c>
      <c r="F33" s="885" t="s">
        <v>589</v>
      </c>
      <c r="G33" s="886"/>
      <c r="H33" s="878"/>
      <c r="I33" s="878"/>
    </row>
    <row r="34" spans="1:9" s="887" customFormat="1" ht="19.5" customHeight="1">
      <c r="A34" s="3288"/>
      <c r="B34" s="882" t="s">
        <v>563</v>
      </c>
      <c r="C34" s="883" t="s">
        <v>590</v>
      </c>
      <c r="D34" s="884"/>
      <c r="E34" s="882">
        <v>1.5</v>
      </c>
      <c r="F34" s="885" t="s">
        <v>591</v>
      </c>
      <c r="G34" s="886"/>
      <c r="H34" s="878"/>
      <c r="I34" s="878"/>
    </row>
    <row r="35" spans="1:9" s="887" customFormat="1" ht="19.5" customHeight="1">
      <c r="A35" s="3288" t="s">
        <v>186</v>
      </c>
      <c r="B35" s="882" t="s">
        <v>560</v>
      </c>
      <c r="C35" s="883" t="s">
        <v>592</v>
      </c>
      <c r="D35" s="884"/>
      <c r="E35" s="882">
        <v>1</v>
      </c>
      <c r="F35" s="885" t="s">
        <v>593</v>
      </c>
      <c r="G35" s="886"/>
      <c r="H35" s="878"/>
      <c r="I35" s="878"/>
    </row>
    <row r="36" spans="1:9" s="887" customFormat="1" ht="19.5" customHeight="1">
      <c r="A36" s="3288"/>
      <c r="B36" s="3288" t="s">
        <v>563</v>
      </c>
      <c r="C36" s="883" t="s">
        <v>594</v>
      </c>
      <c r="D36" s="884"/>
      <c r="E36" s="882">
        <v>1</v>
      </c>
      <c r="F36" s="885" t="s">
        <v>595</v>
      </c>
      <c r="G36" s="886"/>
      <c r="H36" s="878"/>
      <c r="I36" s="878"/>
    </row>
    <row r="37" spans="1:9" s="887" customFormat="1" ht="19.5" customHeight="1">
      <c r="A37" s="3288"/>
      <c r="B37" s="3288"/>
      <c r="C37" s="883" t="s">
        <v>596</v>
      </c>
      <c r="D37" s="884"/>
      <c r="E37" s="882">
        <v>1.5</v>
      </c>
      <c r="F37" s="885" t="s">
        <v>597</v>
      </c>
      <c r="G37" s="886"/>
      <c r="H37" s="878"/>
      <c r="I37" s="878"/>
    </row>
    <row r="38" spans="1:9" s="887" customFormat="1" ht="19.5" customHeight="1">
      <c r="A38" s="3288"/>
      <c r="B38" s="3288"/>
      <c r="C38" s="883" t="s">
        <v>598</v>
      </c>
      <c r="D38" s="884"/>
      <c r="E38" s="882">
        <v>1</v>
      </c>
      <c r="F38" s="885" t="s">
        <v>599</v>
      </c>
      <c r="G38" s="886"/>
      <c r="H38" s="878"/>
      <c r="I38" s="878"/>
    </row>
    <row r="39" spans="1:9" s="887" customFormat="1" ht="19.5" customHeight="1">
      <c r="A39" s="3288"/>
      <c r="B39" s="328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8" t="s">
        <v>614</v>
      </c>
      <c r="C61" s="818" t="s">
        <v>615</v>
      </c>
      <c r="D61" s="818" t="s">
        <v>616</v>
      </c>
      <c r="E61" s="895">
        <v>0.5</v>
      </c>
      <c r="F61" s="882">
        <v>80</v>
      </c>
    </row>
    <row r="62" spans="1:8" s="878" customFormat="1" ht="24">
      <c r="A62" s="882">
        <v>2</v>
      </c>
      <c r="B62" s="3288"/>
      <c r="C62" s="818" t="s">
        <v>617</v>
      </c>
      <c r="D62" s="818" t="s">
        <v>618</v>
      </c>
      <c r="E62" s="895">
        <v>0.5</v>
      </c>
      <c r="F62" s="882">
        <v>80</v>
      </c>
    </row>
    <row r="63" spans="1:8" s="878" customFormat="1" ht="36">
      <c r="A63" s="882">
        <v>3</v>
      </c>
      <c r="B63" s="3288"/>
      <c r="C63" s="818" t="s">
        <v>619</v>
      </c>
      <c r="D63" s="818" t="s">
        <v>620</v>
      </c>
      <c r="E63" s="895">
        <v>0.5</v>
      </c>
      <c r="F63" s="882">
        <v>80</v>
      </c>
    </row>
    <row r="64" spans="1:8" s="878" customFormat="1" ht="36">
      <c r="A64" s="882">
        <v>4</v>
      </c>
      <c r="B64" s="3288"/>
      <c r="C64" s="818" t="s">
        <v>621</v>
      </c>
      <c r="D64" s="818" t="s">
        <v>622</v>
      </c>
      <c r="E64" s="895">
        <v>0.4</v>
      </c>
      <c r="F64" s="882">
        <v>60</v>
      </c>
    </row>
    <row r="65" spans="1:6" s="878" customFormat="1" ht="36">
      <c r="A65" s="882">
        <v>5</v>
      </c>
      <c r="B65" s="3288"/>
      <c r="C65" s="818" t="s">
        <v>623</v>
      </c>
      <c r="D65" s="818" t="s">
        <v>624</v>
      </c>
      <c r="E65" s="895">
        <v>0.2</v>
      </c>
      <c r="F65" s="882">
        <v>30</v>
      </c>
    </row>
    <row r="66" spans="1:6" s="878" customFormat="1" ht="36">
      <c r="A66" s="882">
        <v>6</v>
      </c>
      <c r="B66" s="3288"/>
      <c r="C66" s="818" t="s">
        <v>625</v>
      </c>
      <c r="D66" s="818" t="s">
        <v>626</v>
      </c>
      <c r="E66" s="895">
        <v>0.3</v>
      </c>
      <c r="F66" s="882">
        <v>50</v>
      </c>
    </row>
    <row r="67" spans="1:6" s="878" customFormat="1" ht="36">
      <c r="A67" s="882">
        <v>7</v>
      </c>
      <c r="B67" s="3288"/>
      <c r="C67" s="818" t="s">
        <v>627</v>
      </c>
      <c r="D67" s="818" t="s">
        <v>628</v>
      </c>
      <c r="E67" s="895">
        <v>0.2</v>
      </c>
      <c r="F67" s="882">
        <v>30</v>
      </c>
    </row>
    <row r="68" spans="1:6" s="878" customFormat="1" ht="36">
      <c r="A68" s="882">
        <v>8</v>
      </c>
      <c r="B68" s="3288"/>
      <c r="C68" s="818" t="s">
        <v>629</v>
      </c>
      <c r="D68" s="818" t="s">
        <v>630</v>
      </c>
      <c r="E68" s="895">
        <v>0.2</v>
      </c>
      <c r="F68" s="882">
        <v>30</v>
      </c>
    </row>
    <row r="69" spans="1:6" s="878" customFormat="1" ht="36">
      <c r="A69" s="882">
        <v>9</v>
      </c>
      <c r="B69" s="3288"/>
      <c r="C69" s="818" t="s">
        <v>631</v>
      </c>
      <c r="D69" s="818" t="s">
        <v>632</v>
      </c>
      <c r="E69" s="895">
        <v>0.2</v>
      </c>
      <c r="F69" s="882">
        <v>30</v>
      </c>
    </row>
    <row r="70" spans="1:6" s="878" customFormat="1" ht="48">
      <c r="A70" s="882">
        <v>10</v>
      </c>
      <c r="B70" s="3288"/>
      <c r="C70" s="818" t="s">
        <v>633</v>
      </c>
      <c r="D70" s="818" t="s">
        <v>634</v>
      </c>
      <c r="E70" s="895">
        <v>0.2</v>
      </c>
      <c r="F70" s="882">
        <v>30</v>
      </c>
    </row>
    <row r="71" spans="1:6" s="878" customFormat="1" ht="48">
      <c r="A71" s="882">
        <v>11</v>
      </c>
      <c r="B71" s="3288"/>
      <c r="C71" s="818" t="s">
        <v>635</v>
      </c>
      <c r="D71" s="818" t="s">
        <v>636</v>
      </c>
      <c r="E71" s="895">
        <v>0.2</v>
      </c>
      <c r="F71" s="882">
        <v>30</v>
      </c>
    </row>
    <row r="72" spans="1:6" s="878" customFormat="1" ht="36">
      <c r="A72" s="882">
        <v>12</v>
      </c>
      <c r="B72" s="3288"/>
      <c r="C72" s="818" t="s">
        <v>637</v>
      </c>
      <c r="D72" s="818" t="s">
        <v>638</v>
      </c>
      <c r="E72" s="895">
        <v>0.5</v>
      </c>
      <c r="F72" s="882">
        <v>80</v>
      </c>
    </row>
    <row r="73" spans="1:6" s="878" customFormat="1" ht="24">
      <c r="A73" s="882">
        <v>13</v>
      </c>
      <c r="B73" s="3288"/>
      <c r="C73" s="818" t="s">
        <v>639</v>
      </c>
      <c r="D73" s="818" t="s">
        <v>640</v>
      </c>
      <c r="E73" s="895">
        <v>0.4</v>
      </c>
      <c r="F73" s="882">
        <v>60</v>
      </c>
    </row>
    <row r="74" spans="1:6" s="878" customFormat="1" ht="24">
      <c r="A74" s="882">
        <v>14</v>
      </c>
      <c r="B74" s="3288"/>
      <c r="C74" s="818" t="s">
        <v>641</v>
      </c>
      <c r="D74" s="818" t="s">
        <v>642</v>
      </c>
      <c r="E74" s="895">
        <v>0.2</v>
      </c>
      <c r="F74" s="882">
        <v>30</v>
      </c>
    </row>
    <row r="75" spans="1:6" s="878" customFormat="1" ht="24">
      <c r="A75" s="882">
        <v>15</v>
      </c>
      <c r="B75" s="3288"/>
      <c r="C75" s="818" t="s">
        <v>643</v>
      </c>
      <c r="D75" s="818" t="s">
        <v>644</v>
      </c>
      <c r="E75" s="895">
        <v>0.2</v>
      </c>
      <c r="F75" s="882">
        <v>30</v>
      </c>
    </row>
    <row r="76" spans="1:6" s="878" customFormat="1" ht="24">
      <c r="A76" s="882">
        <v>16</v>
      </c>
      <c r="B76" s="3288" t="s">
        <v>645</v>
      </c>
      <c r="C76" s="818" t="s">
        <v>646</v>
      </c>
      <c r="D76" s="818" t="s">
        <v>647</v>
      </c>
      <c r="E76" s="895">
        <v>0.5</v>
      </c>
      <c r="F76" s="882">
        <v>80</v>
      </c>
    </row>
    <row r="77" spans="1:6" s="878" customFormat="1" ht="24">
      <c r="A77" s="882">
        <v>17</v>
      </c>
      <c r="B77" s="3288"/>
      <c r="C77" s="818" t="s">
        <v>648</v>
      </c>
      <c r="D77" s="818" t="s">
        <v>649</v>
      </c>
      <c r="E77" s="895">
        <v>0.5</v>
      </c>
      <c r="F77" s="882">
        <v>80</v>
      </c>
    </row>
    <row r="78" spans="1:6" s="878" customFormat="1" ht="24">
      <c r="A78" s="882">
        <v>18</v>
      </c>
      <c r="B78" s="3288"/>
      <c r="C78" s="818" t="s">
        <v>650</v>
      </c>
      <c r="D78" s="818" t="s">
        <v>651</v>
      </c>
      <c r="E78" s="895">
        <v>0.2</v>
      </c>
      <c r="F78" s="882">
        <v>30</v>
      </c>
    </row>
    <row r="79" spans="1:6" s="878" customFormat="1" ht="24">
      <c r="A79" s="882">
        <v>19</v>
      </c>
      <c r="B79" s="3288"/>
      <c r="C79" s="818" t="s">
        <v>652</v>
      </c>
      <c r="D79" s="818" t="s">
        <v>653</v>
      </c>
      <c r="E79" s="895">
        <v>0.5</v>
      </c>
      <c r="F79" s="882">
        <v>80</v>
      </c>
    </row>
    <row r="80" spans="1:6" s="878" customFormat="1" ht="36">
      <c r="A80" s="882">
        <v>20</v>
      </c>
      <c r="B80" s="3288"/>
      <c r="C80" s="818" t="s">
        <v>654</v>
      </c>
      <c r="D80" s="818" t="s">
        <v>655</v>
      </c>
      <c r="E80" s="895">
        <v>0.2</v>
      </c>
      <c r="F80" s="882">
        <v>30</v>
      </c>
    </row>
    <row r="81" spans="1:6" s="878" customFormat="1" ht="36">
      <c r="A81" s="882">
        <v>21</v>
      </c>
      <c r="B81" s="3288"/>
      <c r="C81" s="818" t="s">
        <v>656</v>
      </c>
      <c r="D81" s="818" t="s">
        <v>657</v>
      </c>
      <c r="E81" s="895">
        <v>0.2</v>
      </c>
      <c r="F81" s="882">
        <v>30</v>
      </c>
    </row>
    <row r="82" spans="1:6" s="878" customFormat="1" ht="48">
      <c r="A82" s="882">
        <v>22</v>
      </c>
      <c r="B82" s="3288"/>
      <c r="C82" s="818" t="s">
        <v>658</v>
      </c>
      <c r="D82" s="818" t="s">
        <v>659</v>
      </c>
      <c r="E82" s="895">
        <v>0.2</v>
      </c>
      <c r="F82" s="882">
        <v>30</v>
      </c>
    </row>
    <row r="83" spans="1:6" s="878" customFormat="1" ht="48">
      <c r="A83" s="882">
        <v>23</v>
      </c>
      <c r="B83" s="3288"/>
      <c r="C83" s="818" t="s">
        <v>660</v>
      </c>
      <c r="D83" s="818" t="s">
        <v>661</v>
      </c>
      <c r="E83" s="895">
        <v>0.2</v>
      </c>
      <c r="F83" s="882">
        <v>30</v>
      </c>
    </row>
    <row r="84" spans="1:6" s="878" customFormat="1" ht="36">
      <c r="A84" s="882">
        <v>24</v>
      </c>
      <c r="B84" s="3288"/>
      <c r="C84" s="818" t="s">
        <v>662</v>
      </c>
      <c r="D84" s="818" t="s">
        <v>663</v>
      </c>
      <c r="E84" s="895">
        <v>0.2</v>
      </c>
      <c r="F84" s="882">
        <v>30</v>
      </c>
    </row>
    <row r="85" spans="1:6" s="878" customFormat="1" ht="36">
      <c r="A85" s="882">
        <v>25</v>
      </c>
      <c r="B85" s="3288"/>
      <c r="C85" s="818" t="s">
        <v>664</v>
      </c>
      <c r="D85" s="818" t="s">
        <v>665</v>
      </c>
      <c r="E85" s="895">
        <v>0.5</v>
      </c>
      <c r="F85" s="882">
        <v>80</v>
      </c>
    </row>
    <row r="86" spans="1:6" s="878" customFormat="1" ht="36">
      <c r="A86" s="882">
        <v>26</v>
      </c>
      <c r="B86" s="3288"/>
      <c r="C86" s="818" t="s">
        <v>666</v>
      </c>
      <c r="D86" s="818" t="s">
        <v>667</v>
      </c>
      <c r="E86" s="895">
        <v>0.2</v>
      </c>
      <c r="F86" s="882">
        <v>30</v>
      </c>
    </row>
    <row r="87" spans="1:6" s="878" customFormat="1" ht="36">
      <c r="A87" s="882">
        <v>27</v>
      </c>
      <c r="B87" s="3288"/>
      <c r="C87" s="818" t="s">
        <v>668</v>
      </c>
      <c r="D87" s="818" t="s">
        <v>669</v>
      </c>
      <c r="E87" s="895">
        <v>0.2</v>
      </c>
      <c r="F87" s="882">
        <v>30</v>
      </c>
    </row>
    <row r="88" spans="1:6" s="878" customFormat="1" ht="36">
      <c r="A88" s="882">
        <v>28</v>
      </c>
      <c r="B88" s="3288"/>
      <c r="C88" s="818" t="s">
        <v>670</v>
      </c>
      <c r="D88" s="818" t="s">
        <v>671</v>
      </c>
      <c r="E88" s="895">
        <v>0.2</v>
      </c>
      <c r="F88" s="882">
        <v>30</v>
      </c>
    </row>
    <row r="89" spans="1:6" s="878" customFormat="1" ht="24">
      <c r="A89" s="882">
        <v>29</v>
      </c>
      <c r="B89" s="3288"/>
      <c r="C89" s="818" t="s">
        <v>672</v>
      </c>
      <c r="D89" s="818" t="s">
        <v>673</v>
      </c>
      <c r="E89" s="895">
        <v>0.2</v>
      </c>
      <c r="F89" s="882">
        <v>30</v>
      </c>
    </row>
    <row r="90" spans="1:6" s="878" customFormat="1" ht="24">
      <c r="A90" s="882">
        <v>30</v>
      </c>
      <c r="B90" s="3288"/>
      <c r="C90" s="818" t="s">
        <v>674</v>
      </c>
      <c r="D90" s="818" t="s">
        <v>675</v>
      </c>
      <c r="E90" s="895">
        <v>0.2</v>
      </c>
      <c r="F90" s="882">
        <v>30</v>
      </c>
    </row>
    <row r="91" spans="1:6" s="878" customFormat="1" ht="36">
      <c r="A91" s="882">
        <v>31</v>
      </c>
      <c r="B91" s="3288"/>
      <c r="C91" s="818" t="s">
        <v>676</v>
      </c>
      <c r="D91" s="818" t="s">
        <v>677</v>
      </c>
      <c r="E91" s="895">
        <v>0.2</v>
      </c>
      <c r="F91" s="882">
        <v>30</v>
      </c>
    </row>
    <row r="92" spans="1:6" s="878" customFormat="1" ht="24">
      <c r="A92" s="882">
        <v>32</v>
      </c>
      <c r="B92" s="3288" t="s">
        <v>678</v>
      </c>
      <c r="C92" s="882" t="s">
        <v>679</v>
      </c>
      <c r="D92" s="818" t="s">
        <v>680</v>
      </c>
      <c r="E92" s="895">
        <v>0.2</v>
      </c>
      <c r="F92" s="882">
        <v>30</v>
      </c>
    </row>
    <row r="93" spans="1:6" s="878" customFormat="1" ht="36">
      <c r="A93" s="882">
        <v>33</v>
      </c>
      <c r="B93" s="3288"/>
      <c r="C93" s="882" t="s">
        <v>681</v>
      </c>
      <c r="D93" s="818" t="s">
        <v>682</v>
      </c>
      <c r="E93" s="895">
        <v>0.2</v>
      </c>
      <c r="F93" s="882">
        <v>30</v>
      </c>
    </row>
    <row r="94" spans="1:6" s="878" customFormat="1" ht="48">
      <c r="A94" s="882">
        <v>34</v>
      </c>
      <c r="B94" s="3288"/>
      <c r="C94" s="882" t="s">
        <v>683</v>
      </c>
      <c r="D94" s="818" t="s">
        <v>684</v>
      </c>
      <c r="E94" s="895">
        <v>0.2</v>
      </c>
      <c r="F94" s="882">
        <v>30</v>
      </c>
    </row>
    <row r="95" spans="1:6" s="878" customFormat="1" ht="36">
      <c r="A95" s="882">
        <v>35</v>
      </c>
      <c r="B95" s="3288"/>
      <c r="C95" s="882" t="s">
        <v>685</v>
      </c>
      <c r="D95" s="818" t="s">
        <v>686</v>
      </c>
      <c r="E95" s="895">
        <v>0.2</v>
      </c>
      <c r="F95" s="882">
        <v>30</v>
      </c>
    </row>
    <row r="96" spans="1:6" s="878" customFormat="1" ht="48">
      <c r="A96" s="882">
        <v>36</v>
      </c>
      <c r="B96" s="3288"/>
      <c r="C96" s="818" t="s">
        <v>687</v>
      </c>
      <c r="D96" s="818" t="s">
        <v>688</v>
      </c>
      <c r="E96" s="895">
        <v>0.2</v>
      </c>
      <c r="F96" s="882">
        <v>30</v>
      </c>
    </row>
    <row r="97" spans="1:6" s="878" customFormat="1" ht="36">
      <c r="A97" s="882">
        <v>37</v>
      </c>
      <c r="B97" s="3288"/>
      <c r="C97" s="882" t="s">
        <v>689</v>
      </c>
      <c r="D97" s="818" t="s">
        <v>690</v>
      </c>
      <c r="E97" s="895">
        <v>0.2</v>
      </c>
      <c r="F97" s="882">
        <v>30</v>
      </c>
    </row>
    <row r="98" spans="1:6" s="878" customFormat="1" ht="36">
      <c r="A98" s="882">
        <v>38</v>
      </c>
      <c r="B98" s="3288"/>
      <c r="C98" s="882" t="s">
        <v>691</v>
      </c>
      <c r="D98" s="818" t="s">
        <v>692</v>
      </c>
      <c r="E98" s="895">
        <v>0.2</v>
      </c>
      <c r="F98" s="882">
        <v>30</v>
      </c>
    </row>
    <row r="99" spans="1:6" s="878" customFormat="1" ht="36">
      <c r="A99" s="882">
        <v>39</v>
      </c>
      <c r="B99" s="3288" t="s">
        <v>693</v>
      </c>
      <c r="C99" s="882" t="s">
        <v>694</v>
      </c>
      <c r="D99" s="818" t="s">
        <v>695</v>
      </c>
      <c r="E99" s="895">
        <v>0.3</v>
      </c>
      <c r="F99" s="882">
        <v>50</v>
      </c>
    </row>
    <row r="100" spans="1:6" s="878" customFormat="1" ht="24">
      <c r="A100" s="882">
        <v>40</v>
      </c>
      <c r="B100" s="3288"/>
      <c r="C100" s="882" t="s">
        <v>696</v>
      </c>
      <c r="D100" s="818" t="s">
        <v>697</v>
      </c>
      <c r="E100" s="895">
        <v>0.2</v>
      </c>
      <c r="F100" s="882">
        <v>30</v>
      </c>
    </row>
    <row r="101" spans="1:6" s="878" customFormat="1" ht="36">
      <c r="A101" s="882">
        <v>41</v>
      </c>
      <c r="B101" s="328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8" t="s">
        <v>708</v>
      </c>
      <c r="C105" s="882" t="s">
        <v>709</v>
      </c>
      <c r="D105" s="818" t="s">
        <v>710</v>
      </c>
      <c r="E105" s="895">
        <v>0.2</v>
      </c>
      <c r="F105" s="882">
        <v>30</v>
      </c>
    </row>
    <row r="106" spans="1:6" s="878" customFormat="1" ht="36">
      <c r="A106" s="882">
        <v>46</v>
      </c>
      <c r="B106" s="3288"/>
      <c r="C106" s="882" t="s">
        <v>711</v>
      </c>
      <c r="D106" s="818" t="s">
        <v>712</v>
      </c>
      <c r="E106" s="895">
        <v>0.2</v>
      </c>
      <c r="F106" s="882">
        <v>30</v>
      </c>
    </row>
    <row r="107" spans="1:6" s="878" customFormat="1" ht="36">
      <c r="A107" s="882">
        <v>47</v>
      </c>
      <c r="B107" s="3288" t="s">
        <v>713</v>
      </c>
      <c r="C107" s="882" t="s">
        <v>714</v>
      </c>
      <c r="D107" s="818" t="s">
        <v>715</v>
      </c>
      <c r="E107" s="895">
        <v>0.3</v>
      </c>
      <c r="F107" s="882">
        <v>50</v>
      </c>
    </row>
    <row r="108" spans="1:6" s="878" customFormat="1" ht="36">
      <c r="A108" s="882">
        <v>48</v>
      </c>
      <c r="B108" s="328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8" t="s">
        <v>724</v>
      </c>
      <c r="C111" s="882" t="s">
        <v>725</v>
      </c>
      <c r="D111" s="818" t="s">
        <v>726</v>
      </c>
      <c r="E111" s="895">
        <v>0.2</v>
      </c>
      <c r="F111" s="882">
        <v>30</v>
      </c>
    </row>
    <row r="112" spans="1:6" s="878" customFormat="1" ht="24">
      <c r="A112" s="882">
        <v>52</v>
      </c>
      <c r="B112" s="3288"/>
      <c r="C112" s="882" t="s">
        <v>727</v>
      </c>
      <c r="D112" s="818" t="s">
        <v>728</v>
      </c>
      <c r="E112" s="895">
        <v>0.2</v>
      </c>
      <c r="F112" s="882">
        <v>30</v>
      </c>
    </row>
    <row r="113" spans="1:6" s="878" customFormat="1" ht="24">
      <c r="A113" s="882">
        <v>53</v>
      </c>
      <c r="B113" s="328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8" t="s">
        <v>737</v>
      </c>
      <c r="C116" s="882" t="s">
        <v>738</v>
      </c>
      <c r="D116" s="818" t="s">
        <v>739</v>
      </c>
      <c r="E116" s="895">
        <v>0.2</v>
      </c>
      <c r="F116" s="882">
        <v>30</v>
      </c>
    </row>
    <row r="117" spans="1:6" ht="36">
      <c r="A117" s="882">
        <v>57</v>
      </c>
      <c r="B117" s="328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3003</v>
      </c>
    </row>
    <row r="2" spans="1:5" ht="15.75">
      <c r="A2" s="2911" t="s">
        <v>2995</v>
      </c>
      <c r="B2" s="2912" t="e">
        <f ca="1">SUMIF(B6:B13,"&lt;&gt;#ref!",B6:B13)</f>
        <v>#DIV/0!</v>
      </c>
      <c r="C2" s="2911" t="s">
        <v>2996</v>
      </c>
      <c r="D2" s="2911" t="s">
        <v>2997</v>
      </c>
      <c r="E2" s="2912" t="e">
        <f ca="1">SUM(E6:E13)</f>
        <v>#REF!</v>
      </c>
    </row>
    <row r="3" spans="1:5" ht="15.75">
      <c r="A3" s="2911" t="s">
        <v>2998</v>
      </c>
      <c r="B3" s="2912" t="e">
        <f ca="1">ROUND(B2*10000/E2,0)</f>
        <v>#DIV/0!</v>
      </c>
      <c r="C3" s="2911" t="s">
        <v>3004</v>
      </c>
      <c r="D3" s="2913"/>
      <c r="E3" s="2913"/>
    </row>
    <row r="4" spans="1:5" ht="15.75">
      <c r="A4" s="2914"/>
      <c r="B4" s="2913"/>
      <c r="C4" s="2913"/>
      <c r="D4" s="2913"/>
      <c r="E4" s="2913"/>
    </row>
    <row r="5" spans="1:5" ht="28.5">
      <c r="A5" s="2915" t="s">
        <v>2999</v>
      </c>
      <c r="B5" s="2911" t="s">
        <v>3000</v>
      </c>
      <c r="C5" s="2912"/>
      <c r="D5" s="2913"/>
      <c r="E5" s="2911" t="s">
        <v>3001</v>
      </c>
    </row>
    <row r="6" spans="1:5" ht="15.75">
      <c r="A6" s="2916" t="s">
        <v>3002</v>
      </c>
      <c r="B6" s="2912" t="e">
        <f ca="1">SUMIF(INDIRECT("'"&amp;A6&amp;"'"&amp;"!A:A"),"总价",INDIRECT("'"&amp;A6&amp;"'"&amp;"!B:B"))</f>
        <v>#DIV/0!</v>
      </c>
      <c r="C6" s="2911" t="s">
        <v>2996</v>
      </c>
      <c r="D6" s="2913"/>
      <c r="E6" s="2576">
        <f ca="1">SUMIF(INDIRECT("'"&amp;A6&amp;"'"&amp;"!C:C"),"建筑面积",INDIRECT("'"&amp;A6&amp;"'"&amp;"!D:D"))</f>
        <v>0</v>
      </c>
    </row>
    <row r="7" spans="1:5" ht="15.75">
      <c r="A7" s="2916"/>
      <c r="B7" s="2912" t="e">
        <f ca="1">SUMIF(INDIRECT("'"&amp;A7&amp;"'"&amp;"!A:A"),"总价",INDIRECT("'"&amp;A7&amp;"'"&amp;"!B:B"))</f>
        <v>#REF!</v>
      </c>
      <c r="C7" s="2911" t="s">
        <v>2996</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2996</v>
      </c>
      <c r="D8" s="2913"/>
      <c r="E8" s="2576" t="e">
        <f t="shared" ca="1" si="0"/>
        <v>#REF!</v>
      </c>
    </row>
    <row r="9" spans="1:5" ht="15.75">
      <c r="A9" s="2916"/>
      <c r="B9" s="2912" t="e">
        <f t="shared" ca="1" si="1"/>
        <v>#REF!</v>
      </c>
      <c r="C9" s="2911" t="s">
        <v>2996</v>
      </c>
      <c r="D9" s="2913"/>
      <c r="E9" s="2576" t="e">
        <f t="shared" ca="1" si="0"/>
        <v>#REF!</v>
      </c>
    </row>
    <row r="10" spans="1:5" ht="15.75">
      <c r="A10" s="2916"/>
      <c r="B10" s="2912" t="e">
        <f t="shared" ca="1" si="1"/>
        <v>#REF!</v>
      </c>
      <c r="C10" s="2911" t="s">
        <v>2996</v>
      </c>
      <c r="D10" s="2913"/>
      <c r="E10" s="2576" t="e">
        <f t="shared" ca="1" si="0"/>
        <v>#REF!</v>
      </c>
    </row>
    <row r="11" spans="1:5" ht="15.75">
      <c r="A11" s="2916"/>
      <c r="B11" s="2912" t="e">
        <f t="shared" ca="1" si="1"/>
        <v>#REF!</v>
      </c>
      <c r="C11" s="2911" t="s">
        <v>2996</v>
      </c>
      <c r="D11" s="2913"/>
      <c r="E11" s="2576" t="e">
        <f t="shared" ca="1" si="0"/>
        <v>#REF!</v>
      </c>
    </row>
    <row r="12" spans="1:5" ht="15.75">
      <c r="A12" s="2916"/>
      <c r="B12" s="2912" t="e">
        <f t="shared" ca="1" si="1"/>
        <v>#REF!</v>
      </c>
      <c r="C12" s="2911" t="s">
        <v>2996</v>
      </c>
      <c r="D12" s="2913"/>
      <c r="E12" s="2576" t="e">
        <f t="shared" ca="1" si="0"/>
        <v>#REF!</v>
      </c>
    </row>
    <row r="13" spans="1:5" ht="15.75">
      <c r="A13" s="2916"/>
      <c r="B13" s="2912" t="e">
        <f t="shared" ca="1" si="1"/>
        <v>#REF!</v>
      </c>
      <c r="C13" s="2911" t="s">
        <v>2996</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4" t="s">
        <v>1150</v>
      </c>
      <c r="C1" s="3294"/>
      <c r="D1" s="3294"/>
      <c r="E1" s="3294"/>
      <c r="F1" s="3294"/>
      <c r="G1" s="3293" t="s">
        <v>1151</v>
      </c>
      <c r="H1" s="3293"/>
      <c r="I1" s="3293"/>
      <c r="J1" s="3293"/>
      <c r="K1" s="3293"/>
      <c r="L1" s="3293"/>
      <c r="N1" s="3293" t="s">
        <v>1152</v>
      </c>
      <c r="O1" s="3293"/>
      <c r="P1" s="3293"/>
      <c r="Q1" s="3293"/>
      <c r="R1" s="1448"/>
      <c r="S1" s="3293" t="s">
        <v>1153</v>
      </c>
      <c r="T1" s="3293"/>
      <c r="U1" s="3293"/>
      <c r="V1" s="3293"/>
      <c r="X1" s="3292" t="s">
        <v>1154</v>
      </c>
      <c r="Y1" s="3293"/>
      <c r="Z1" s="3293"/>
      <c r="AA1" s="3293"/>
      <c r="AB1" s="3293"/>
      <c r="AD1" s="3292" t="s">
        <v>1155</v>
      </c>
      <c r="AE1" s="3293"/>
      <c r="AF1" s="3293"/>
      <c r="AG1" s="3293"/>
      <c r="AH1" s="329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9" customFormat="1" ht="14.25">
      <c r="A3" s="2948" t="s">
        <v>3042</v>
      </c>
      <c r="B3" s="2940"/>
      <c r="C3" s="2940"/>
      <c r="D3" s="2941"/>
      <c r="E3" s="2941"/>
      <c r="F3" s="2940"/>
      <c r="G3" s="2942"/>
      <c r="H3" s="2943"/>
      <c r="I3" s="2944">
        <f>ROUND(AVERAGE($I6:$I21),2)</f>
        <v>2.4500000000000002</v>
      </c>
      <c r="J3" s="2944">
        <f>ROUND(AVERAGE($J6:$J21),2)</f>
        <v>1.65</v>
      </c>
      <c r="K3" s="2944">
        <f>ROUND(AVERAGE($K6:$K21),2)</f>
        <v>2.71</v>
      </c>
      <c r="L3" s="2944">
        <f>ROUND(AVERAGE($L6:$L21),2)</f>
        <v>1.39</v>
      </c>
      <c r="N3" s="2942"/>
      <c r="O3" s="2945"/>
      <c r="P3" s="2945"/>
      <c r="Q3" s="2945"/>
      <c r="R3" s="2945"/>
      <c r="S3" s="2942"/>
      <c r="T3" s="2945"/>
      <c r="U3" s="2945"/>
      <c r="V3" s="2945"/>
      <c r="W3" s="2937"/>
      <c r="X3" s="2946">
        <f>ROUND(SUMPRODUCT(PRODUCT(1+N3:N$20)),4)</f>
        <v>1.4274</v>
      </c>
      <c r="Y3" s="2946">
        <f>ROUND(SUMPRODUCT(PRODUCT(1+O3:O$20)),4)</f>
        <v>1.2685</v>
      </c>
      <c r="Z3" s="2946">
        <f t="shared" ref="Z3:Z18" si="0">Y3</f>
        <v>1.2685</v>
      </c>
      <c r="AA3" s="2946">
        <f>ROUND(SUMPRODUCT(PRODUCT(1+P3:P$20)),4)</f>
        <v>1.4825999999999999</v>
      </c>
      <c r="AB3" s="2946">
        <f>ROUND(SUMPRODUCT(PRODUCT(1+Q3:Q$20)),4)</f>
        <v>1.2309000000000001</v>
      </c>
      <c r="AD3" s="2947">
        <f>ROUND(AVERAGE(I3:I$21)/100,4)</f>
        <v>2.3099999999999999E-2</v>
      </c>
      <c r="AE3" s="2947">
        <f>ROUND(AVERAGE(J3:J$21)/100,4)</f>
        <v>1.5599999999999999E-2</v>
      </c>
      <c r="AF3" s="2947">
        <f t="shared" ref="AF3:AF19" si="1">AE3</f>
        <v>1.5599999999999999E-2</v>
      </c>
      <c r="AG3" s="2947">
        <f>ROUND(AVERAGE(K3:K$21)/100,4)</f>
        <v>2.5600000000000001E-2</v>
      </c>
      <c r="AH3" s="2947">
        <f>ROUND(AVERAGE(L3:L$21)/100,4)</f>
        <v>1.32E-2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3041</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7">
        <v>2018</v>
      </c>
      <c r="H5" s="1732">
        <v>1</v>
      </c>
      <c r="I5" s="2925">
        <v>0</v>
      </c>
      <c r="J5" s="2925">
        <v>0</v>
      </c>
      <c r="K5" s="2925">
        <v>0</v>
      </c>
      <c r="L5" s="2925">
        <v>0</v>
      </c>
      <c r="N5" s="1469">
        <f t="shared" ref="N5:N10" si="7">I5/100</f>
        <v>0</v>
      </c>
      <c r="O5" s="1469">
        <f t="shared" ref="O5" si="8">J5/100</f>
        <v>0</v>
      </c>
      <c r="P5" s="1469">
        <f t="shared" ref="P5" si="9">K5/100</f>
        <v>0</v>
      </c>
      <c r="Q5" s="1469">
        <f t="shared" ref="Q5" si="10">L5/100</f>
        <v>0</v>
      </c>
      <c r="R5" s="1734"/>
      <c r="S5" s="1735"/>
      <c r="T5" s="1734"/>
      <c r="U5" s="1734"/>
      <c r="V5" s="1734"/>
      <c r="W5" s="2938" t="s">
        <v>3043</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3038</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7">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3039</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3"/>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2"/>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3"/>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95">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90"/>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90"/>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91"/>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89">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90"/>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90"/>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91"/>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89">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90"/>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90"/>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91"/>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296">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97"/>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297"/>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298"/>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289">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290"/>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290"/>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291"/>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289">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90">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290">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291">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289">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90">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290">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291">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289">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90">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290">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291">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289">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90">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290">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291">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289">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90">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290">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291">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289">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90">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290">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291">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289">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90">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290">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291">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289">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90">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290">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291">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289">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290">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290">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291">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289">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290">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290">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291">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63"/>
      <c r="B4" s="2989" t="s">
        <v>1631</v>
      </c>
      <c r="C4" s="2989"/>
      <c r="D4" s="2989"/>
      <c r="E4" s="1963"/>
    </row>
    <row r="5" spans="1:5" ht="16.5" thickTop="1">
      <c r="A5" s="1961"/>
      <c r="B5" s="2987" t="s">
        <v>1623</v>
      </c>
      <c r="C5" s="1964" t="s">
        <v>1624</v>
      </c>
      <c r="D5" s="1042">
        <f ca="1">结果表!H101</f>
        <v>28699</v>
      </c>
      <c r="E5" s="1961"/>
    </row>
    <row r="6" spans="1:5" ht="15.75">
      <c r="A6" s="1961"/>
      <c r="B6" s="2987"/>
      <c r="C6" s="1964" t="s">
        <v>1625</v>
      </c>
      <c r="D6" s="1042" t="str">
        <f ca="1">NUMBERSTRING(INT(D5*10000),2)&amp;"元整"</f>
        <v>贰亿捌仟陆佰玖拾玖万元整</v>
      </c>
      <c r="E6" s="1961"/>
    </row>
    <row r="7" spans="1:5" ht="15.75">
      <c r="A7" s="1961"/>
      <c r="B7" s="2992"/>
      <c r="C7" s="1965" t="s">
        <v>1626</v>
      </c>
      <c r="D7" s="1043">
        <f ca="1">结果表!H102</f>
        <v>9340</v>
      </c>
      <c r="E7" s="1961"/>
    </row>
    <row r="8" spans="1:5" ht="15.75">
      <c r="A8" s="1961"/>
      <c r="B8" s="2993" t="str">
        <f>结果表!E103</f>
        <v>2.估价师知悉的法定优先受偿款</v>
      </c>
      <c r="C8" s="1966" t="s">
        <v>1627</v>
      </c>
      <c r="D8" s="1043">
        <f>结果表!H103</f>
        <v>0</v>
      </c>
      <c r="E8" s="1961"/>
    </row>
    <row r="9" spans="1:5" ht="15.75">
      <c r="A9" s="1961"/>
      <c r="B9" s="2995"/>
      <c r="C9" s="1964" t="s">
        <v>1625</v>
      </c>
      <c r="D9" s="1042" t="str">
        <f>NUMBERSTRING(INT(D8*10000),2)&amp;"元整"</f>
        <v>零元整</v>
      </c>
      <c r="E9" s="1961"/>
    </row>
    <row r="10" spans="1:5" ht="15">
      <c r="A10" s="1961"/>
      <c r="B10" s="1967" t="s">
        <v>1630</v>
      </c>
      <c r="C10" s="1968" t="s">
        <v>1628</v>
      </c>
      <c r="D10" s="1044">
        <f>结果表!H104</f>
        <v>0</v>
      </c>
      <c r="E10" s="1961"/>
    </row>
    <row r="11" spans="1:5" ht="15">
      <c r="A11" s="1961"/>
      <c r="B11" s="1967" t="s">
        <v>1632</v>
      </c>
      <c r="C11" s="1968" t="s">
        <v>1633</v>
      </c>
      <c r="D11" s="1044">
        <f>结果表!H105</f>
        <v>0</v>
      </c>
      <c r="E11" s="1961"/>
    </row>
    <row r="12" spans="1:5" ht="15">
      <c r="A12" s="1961"/>
      <c r="B12" s="1967" t="s">
        <v>1634</v>
      </c>
      <c r="C12" s="1968" t="s">
        <v>1633</v>
      </c>
      <c r="D12" s="1044">
        <f>结果表!H106</f>
        <v>0</v>
      </c>
      <c r="E12" s="1961"/>
    </row>
    <row r="13" spans="1:5" ht="15.75">
      <c r="A13" s="1961"/>
      <c r="B13" s="2986" t="str">
        <f>结果表!E107</f>
        <v>3.房地产抵押价值</v>
      </c>
      <c r="C13" s="1969" t="s">
        <v>1624</v>
      </c>
      <c r="D13" s="1045">
        <f ca="1">结果表!H107</f>
        <v>28699</v>
      </c>
      <c r="E13" s="1961"/>
    </row>
    <row r="14" spans="1:5" ht="15.75">
      <c r="A14" s="1961"/>
      <c r="B14" s="2987"/>
      <c r="C14" s="1964" t="s">
        <v>1625</v>
      </c>
      <c r="D14" s="1042" t="str">
        <f ca="1">NUMBERSTRING(INT(D13*10000),2)&amp;"元整"</f>
        <v>贰亿捌仟陆佰玖拾玖万元整</v>
      </c>
      <c r="E14" s="1961"/>
    </row>
    <row r="15" spans="1:5" ht="15">
      <c r="A15" s="1961"/>
      <c r="B15" s="2992"/>
      <c r="C15" s="1965" t="s">
        <v>1635</v>
      </c>
      <c r="D15" s="1054">
        <f ca="1">结果表!H108</f>
        <v>9340</v>
      </c>
      <c r="E15" s="1961"/>
    </row>
    <row r="16" spans="1:5" ht="15">
      <c r="A16" s="1961"/>
      <c r="B16" s="2993" t="str">
        <f>结果表!E109</f>
        <v>——</v>
      </c>
      <c r="C16" s="1969" t="s">
        <v>1636</v>
      </c>
      <c r="D16" s="1970" t="str">
        <f>结果表!H109</f>
        <v>——</v>
      </c>
      <c r="E16" s="1961"/>
    </row>
    <row r="17" spans="1:5" ht="15.75">
      <c r="A17" s="1961"/>
      <c r="B17" s="2994"/>
      <c r="C17" s="1964" t="s">
        <v>1637</v>
      </c>
      <c r="D17" s="1042" t="e">
        <f>NUMBERSTRING(INT(D16*10000),2)&amp;"元整"</f>
        <v>#VALUE!</v>
      </c>
      <c r="E17" s="1961"/>
    </row>
    <row r="18" spans="1:5" ht="15">
      <c r="A18" s="1961"/>
      <c r="B18" s="2995"/>
      <c r="C18" s="1965" t="s">
        <v>1626</v>
      </c>
      <c r="D18" s="1054" t="str">
        <f>结果表!H110</f>
        <v>——</v>
      </c>
      <c r="E18" s="1961"/>
    </row>
    <row r="19" spans="1:5" ht="15.75">
      <c r="A19" s="1961"/>
      <c r="B19" s="2986" t="str">
        <f>结果表!E111</f>
        <v>——</v>
      </c>
      <c r="C19" s="1969" t="s">
        <v>1624</v>
      </c>
      <c r="D19" s="1043" t="str">
        <f>结果表!H111</f>
        <v>——</v>
      </c>
      <c r="E19" s="1961"/>
    </row>
    <row r="20" spans="1:5" ht="15.75">
      <c r="A20" s="1961"/>
      <c r="B20" s="2987"/>
      <c r="C20" s="1964" t="s">
        <v>1637</v>
      </c>
      <c r="D20" s="1042" t="e">
        <f>NUMBERSTRING(INT(D19*10000),2)&amp;"元整"</f>
        <v>#VALUE!</v>
      </c>
      <c r="E20" s="1961"/>
    </row>
    <row r="21" spans="1:5" ht="15.75" thickBot="1">
      <c r="A21" s="1961"/>
      <c r="B21" s="2988"/>
      <c r="C21" s="1971" t="s">
        <v>1635</v>
      </c>
      <c r="D21" s="1055"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3005</v>
      </c>
      <c r="C1" s="3300" t="s">
        <v>3006</v>
      </c>
      <c r="D1" s="3301"/>
      <c r="E1" s="3301"/>
      <c r="F1" s="3301"/>
      <c r="G1" s="3301"/>
      <c r="H1" s="3301"/>
      <c r="I1" s="3301"/>
      <c r="J1" s="3301"/>
      <c r="K1" s="3301"/>
      <c r="L1" s="3301"/>
      <c r="M1" s="3301"/>
      <c r="N1" s="3301"/>
      <c r="O1" s="3301"/>
      <c r="P1" s="3301"/>
      <c r="Q1" s="3301"/>
      <c r="R1" s="3301"/>
      <c r="S1" s="3302"/>
      <c r="T1" s="1206" t="s">
        <v>3007</v>
      </c>
    </row>
    <row r="2" spans="1:45" s="707" customFormat="1">
      <c r="A2" s="1207"/>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3009</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3015</v>
      </c>
      <c r="B17" s="2918"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9" t="s">
        <v>3017</v>
      </c>
      <c r="E19" s="1794"/>
      <c r="F19" s="1794"/>
      <c r="G19" s="1794"/>
      <c r="H19" s="1282"/>
      <c r="I19" s="168"/>
      <c r="J19" s="168"/>
      <c r="K19" s="168"/>
      <c r="L19" s="168"/>
      <c r="M19" s="168"/>
      <c r="N19" s="168"/>
      <c r="O19" s="168"/>
      <c r="P19" s="168"/>
      <c r="Q19" s="168"/>
      <c r="R19" s="788"/>
      <c r="S19" s="138"/>
    </row>
    <row r="20" spans="1:45" ht="16.5" thickBot="1">
      <c r="A20" s="715" t="s">
        <v>3018</v>
      </c>
      <c r="B20" s="338" t="e">
        <f ca="1">IF(D20="——",S22,S22-F20)</f>
        <v>#REF!</v>
      </c>
      <c r="C20" s="168"/>
      <c r="D20" s="2920" t="s">
        <v>3019</v>
      </c>
      <c r="E20" s="1795"/>
      <c r="F20" s="1206" t="e">
        <f ca="1">SUMIF(INDIRECT("'"&amp;H20&amp;"'"&amp;"!A:A"),"承租人权益价值",INDIRECT("'"&amp;H20&amp;"'"&amp;"!c:c"))</f>
        <v>#REF!</v>
      </c>
      <c r="G20" s="1206" t="s">
        <v>3020</v>
      </c>
      <c r="H20" s="2921"/>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63" t="s">
        <v>33</v>
      </c>
      <c r="D22" s="3164"/>
      <c r="E22" s="3164"/>
      <c r="F22" s="3164"/>
      <c r="G22" s="3164"/>
      <c r="H22" s="3164"/>
      <c r="I22" s="3164"/>
      <c r="J22" s="3164"/>
      <c r="K22" s="3164"/>
      <c r="L22" s="3164"/>
      <c r="M22" s="3164"/>
      <c r="N22" s="3164"/>
      <c r="O22" s="3164"/>
      <c r="P22" s="3164"/>
      <c r="Q22" s="3299"/>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37259</v>
      </c>
      <c r="C2" s="2" t="s">
        <v>133</v>
      </c>
      <c r="D2" s="243"/>
      <c r="E2" s="243"/>
      <c r="F2" s="243"/>
      <c r="G2" s="243"/>
    </row>
    <row r="3" spans="1:7" s="244" customFormat="1" ht="18" customHeight="1" thickBot="1">
      <c r="A3" s="247" t="s">
        <v>85</v>
      </c>
      <c r="B3" s="248">
        <f ca="1">ROUND(B2*10000/'数据-汇总表'!E3,0)</f>
        <v>12126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615</v>
      </c>
      <c r="D10" s="1035">
        <f>'数据-汇总表'!E6</f>
        <v>30726.569999999992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615</v>
      </c>
      <c r="D19" s="1039">
        <f>'数据-汇总表'!E3</f>
        <v>30726.569999999992</v>
      </c>
      <c r="E19" s="255">
        <f>'数据-取费表'!B31</f>
        <v>200</v>
      </c>
      <c r="F19" s="275"/>
      <c r="G19" s="1" t="s">
        <v>1074</v>
      </c>
    </row>
    <row r="20" spans="1:7" s="258" customFormat="1" ht="13.5" customHeight="1">
      <c r="A20" s="951" t="s">
        <v>1057</v>
      </c>
      <c r="B20" s="254" t="s">
        <v>104</v>
      </c>
      <c r="C20" s="276">
        <f>ROUND((C5+C19)*F20,0)</f>
        <v>425</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933</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4" t="s">
        <v>794</v>
      </c>
      <c r="B23" s="259" t="s">
        <v>1061</v>
      </c>
      <c r="C23" s="1357">
        <f ca="1">ROUND(IF('数据-取费表'!B22&lt;=1,C5*F22*'数据-取费表'!B23,C5*(POWER((1+F22),'数据-取费表'!B23)-1)),0)</f>
        <v>897</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27</v>
      </c>
      <c r="D24" s="282"/>
      <c r="E24" s="282"/>
      <c r="F24" s="283"/>
      <c r="G24" s="284" t="s">
        <v>109</v>
      </c>
    </row>
    <row r="25" spans="1:7" s="258" customFormat="1" ht="24">
      <c r="A25" s="954" t="s">
        <v>793</v>
      </c>
      <c r="B25" s="259" t="s">
        <v>1058</v>
      </c>
      <c r="C25" s="1357">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3681</v>
      </c>
      <c r="D27" s="279">
        <f>C29</f>
        <v>3.3999999999999998E-3</v>
      </c>
      <c r="E27" s="280" t="s">
        <v>126</v>
      </c>
      <c r="F27" s="290">
        <f>'数据-取费表'!Q16</f>
        <v>0.17</v>
      </c>
      <c r="G27" s="291" t="s">
        <v>1069</v>
      </c>
    </row>
    <row r="28" spans="1:7" s="258" customFormat="1" ht="13.5" customHeight="1">
      <c r="A28" s="954" t="s">
        <v>794</v>
      </c>
      <c r="B28" s="292" t="s">
        <v>1062</v>
      </c>
      <c r="C28" s="293">
        <f>ROUND((C5+C19+C20)*F27*'数据-取费表'!B21/'数据-取费表'!B20,0)</f>
        <v>3681</v>
      </c>
      <c r="D28" s="279"/>
      <c r="E28" s="280"/>
      <c r="F28" s="290"/>
      <c r="G28" s="291"/>
    </row>
    <row r="29" spans="1:7" s="258" customFormat="1" ht="13.5" customHeight="1">
      <c r="A29" s="954" t="s">
        <v>792</v>
      </c>
      <c r="B29" s="292" t="s">
        <v>1063</v>
      </c>
      <c r="C29" s="282">
        <f>ROUND(C21*F27*'数据-取费表'!B21/'数据-取费表'!B20,4)</f>
        <v>3.3999999999999998E-3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28459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7679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6760</v>
      </c>
      <c r="D34" s="261"/>
      <c r="E34" s="264"/>
      <c r="F34" s="301">
        <f>IF('数据-取费表'!B24=0,1,'数据-取费表'!N16)</f>
        <v>1</v>
      </c>
      <c r="G34" s="263" t="s">
        <v>116</v>
      </c>
    </row>
    <row r="35" spans="1:7" ht="13.5" customHeight="1">
      <c r="A35" s="954" t="s">
        <v>796</v>
      </c>
      <c r="B35" s="259" t="s">
        <v>60</v>
      </c>
      <c r="C35" s="264">
        <f>ROUND(C34*F35,0)</f>
        <v>203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615</v>
      </c>
      <c r="D37" s="261">
        <f>'数据-汇总表'!E3</f>
        <v>30726.569999999992</v>
      </c>
      <c r="E37" s="293">
        <f>'数据-取费表'!B35</f>
        <v>200</v>
      </c>
      <c r="F37" s="303"/>
      <c r="G37" s="305" t="s">
        <v>119</v>
      </c>
    </row>
    <row r="38" spans="1:7" ht="13.5" customHeight="1">
      <c r="A38" s="954" t="s">
        <v>799</v>
      </c>
      <c r="B38" s="259" t="s">
        <v>63</v>
      </c>
      <c r="C38" s="264">
        <f>ROUND(C34*F38,0)</f>
        <v>101</v>
      </c>
      <c r="D38" s="264"/>
      <c r="E38" s="264"/>
      <c r="F38" s="303">
        <f>'数据-取费表'!B36</f>
        <v>1.4999999999999999E-2</v>
      </c>
      <c r="G38" s="263" t="s">
        <v>117</v>
      </c>
    </row>
    <row r="39" spans="1:7" s="258" customFormat="1" ht="13.5" customHeight="1">
      <c r="A39" s="951" t="s">
        <v>783</v>
      </c>
      <c r="B39" s="254" t="s">
        <v>104</v>
      </c>
      <c r="C39" s="276">
        <f>ROUND(C33*F20,0)</f>
        <v>154</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170</v>
      </c>
      <c r="D41" s="279">
        <f ca="1">C44</f>
        <v>4.0000000000000002E-4</v>
      </c>
      <c r="E41" s="280" t="s">
        <v>129</v>
      </c>
      <c r="F41" s="281"/>
      <c r="G41" s="1291" t="str">
        <f>IF('数据-取费表'!B22&lt;=1,"单利计息","复利计息")</f>
        <v>单利计息</v>
      </c>
    </row>
    <row r="42" spans="1:7" ht="13.5" customHeight="1">
      <c r="A42" s="954" t="s">
        <v>794</v>
      </c>
      <c r="B42" s="259" t="s">
        <v>1061</v>
      </c>
      <c r="C42" s="282">
        <f ca="1">ROUND(IF('数据-取费表'!B22&lt;=1,C33*F22*'数据-取费表'!B21/2,C33*(POWER((1+F22),'数据-取费表'!B21/2)-1)),0)</f>
        <v>167</v>
      </c>
      <c r="D42" s="282"/>
      <c r="E42" s="282"/>
      <c r="F42" s="283"/>
      <c r="G42" s="3168" t="s">
        <v>121</v>
      </c>
    </row>
    <row r="43" spans="1:7" ht="13.5" customHeight="1">
      <c r="A43" s="954" t="s">
        <v>792</v>
      </c>
      <c r="B43" s="259" t="s">
        <v>1064</v>
      </c>
      <c r="C43" s="282">
        <f ca="1">ROUND(IF('数据-取费表'!B22&lt;=1,C39*F22*'数据-取费表'!B21/2,C39*(POWER((1+F22),'数据-取费表'!B21/2)-1)),0)</f>
        <v>3</v>
      </c>
      <c r="D43" s="282"/>
      <c r="E43" s="282"/>
      <c r="F43" s="283"/>
      <c r="G43" s="3169"/>
    </row>
    <row r="44" spans="1:7" ht="13.5" customHeight="1">
      <c r="A44" s="954" t="s">
        <v>793</v>
      </c>
      <c r="B44" s="259" t="s">
        <v>1066</v>
      </c>
      <c r="C44" s="282">
        <f ca="1">ROUND(IF('数据-取费表'!B22&lt;=1,C40*F22*'数据-取费表'!B21/2,C40*(POWER((1+F22),'数据-取费表'!B21/2)-1)),4)</f>
        <v>4.0000000000000002E-4</v>
      </c>
      <c r="D44" s="282"/>
      <c r="E44" s="282"/>
      <c r="F44" s="283"/>
      <c r="G44" s="3170"/>
    </row>
    <row r="45" spans="1:7" s="258" customFormat="1" ht="13.5" customHeight="1">
      <c r="A45" s="951" t="s">
        <v>786</v>
      </c>
      <c r="B45" s="288" t="s">
        <v>112</v>
      </c>
      <c r="C45" s="289">
        <f>C46</f>
        <v>1332</v>
      </c>
      <c r="D45" s="279">
        <f>C47</f>
        <v>3.3999999999999998E-3</v>
      </c>
      <c r="E45" s="280" t="s">
        <v>129</v>
      </c>
      <c r="F45" s="290"/>
      <c r="G45" s="291" t="s">
        <v>1072</v>
      </c>
    </row>
    <row r="46" spans="1:7" s="258" customFormat="1" ht="13.5" customHeight="1">
      <c r="A46" s="954" t="s">
        <v>794</v>
      </c>
      <c r="B46" s="292" t="s">
        <v>1065</v>
      </c>
      <c r="C46" s="293">
        <f>ROUND((C33+C39)*F27,0)</f>
        <v>1332</v>
      </c>
      <c r="D46" s="307"/>
      <c r="E46" s="280"/>
      <c r="F46" s="290"/>
      <c r="G46" s="291"/>
    </row>
    <row r="47" spans="1:7" s="258" customFormat="1" ht="13.5" customHeight="1">
      <c r="A47" s="954" t="s">
        <v>792</v>
      </c>
      <c r="B47" s="292" t="s">
        <v>1067</v>
      </c>
      <c r="C47" s="282">
        <f>ROUND(C40*F27,4)</f>
        <v>3.3999999999999998E-3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10115</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8800</v>
      </c>
      <c r="D51" s="276"/>
      <c r="E51" s="276"/>
      <c r="F51" s="308"/>
      <c r="G51" s="278" t="s">
        <v>64</v>
      </c>
    </row>
    <row r="52" spans="1:7" s="252" customFormat="1" ht="16.5" thickBot="1">
      <c r="A52" s="309" t="s">
        <v>65</v>
      </c>
      <c r="B52" s="310"/>
      <c r="C52" s="311">
        <f ca="1">C31+C51</f>
        <v>37259</v>
      </c>
      <c r="D52" s="310"/>
      <c r="E52" s="310"/>
      <c r="F52" s="310"/>
      <c r="G52" s="312"/>
    </row>
    <row r="55" spans="1:7" ht="15">
      <c r="B55" s="314" t="s">
        <v>66</v>
      </c>
      <c r="C55" s="315"/>
    </row>
    <row r="56" spans="1:7">
      <c r="B56" s="317" t="s">
        <v>67</v>
      </c>
      <c r="C56" s="318">
        <f ca="1">ROUND(C51/C52,3)</f>
        <v>0.23599999999999999</v>
      </c>
    </row>
    <row r="57" spans="1:7">
      <c r="B57" s="317" t="s">
        <v>68</v>
      </c>
      <c r="C57" s="319">
        <f ca="1">1-C56</f>
        <v>0.76400000000000001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3" t="s">
        <v>156</v>
      </c>
      <c r="B1" s="3303"/>
      <c r="C1" s="3303"/>
      <c r="D1" s="3303"/>
      <c r="E1" s="3303"/>
      <c r="F1" s="330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4" t="s">
        <v>169</v>
      </c>
      <c r="B2" s="3304"/>
      <c r="C2" s="3304"/>
      <c r="D2" s="3304"/>
      <c r="E2" s="3304"/>
      <c r="F2" s="330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3" t="s">
        <v>871</v>
      </c>
      <c r="B1" s="330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43130</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workbookViewId="0">
      <selection activeCell="F8" sqref="F8"/>
    </sheetView>
  </sheetViews>
  <sheetFormatPr defaultRowHeight="13.5"/>
  <cols>
    <col min="2" max="3" width="9.5" bestFit="1" customWidth="1"/>
    <col min="6" max="6" width="9.5" bestFit="1" customWidth="1"/>
    <col min="12" max="12" width="9.5" bestFit="1" customWidth="1"/>
    <col min="16" max="16" width="9.5" bestFit="1" customWidth="1"/>
  </cols>
  <sheetData>
    <row r="1" spans="2:12">
      <c r="G1" s="2978"/>
      <c r="J1" s="2958"/>
    </row>
    <row r="2" spans="2:12">
      <c r="B2" s="2958"/>
      <c r="D2" s="2979" t="s">
        <v>3164</v>
      </c>
      <c r="E2" s="2980"/>
      <c r="F2" s="2979" t="s">
        <v>3155</v>
      </c>
      <c r="G2" s="2981"/>
      <c r="H2" s="2980"/>
      <c r="I2" s="2979" t="s">
        <v>3162</v>
      </c>
      <c r="J2" s="2979" t="s">
        <v>3163</v>
      </c>
      <c r="K2" s="2979"/>
      <c r="L2" s="2980"/>
    </row>
    <row r="3" spans="2:12">
      <c r="B3" s="2958"/>
      <c r="D3" s="2982">
        <v>0</v>
      </c>
      <c r="E3" s="2979" t="s">
        <v>3152</v>
      </c>
      <c r="F3" s="2980">
        <v>1</v>
      </c>
      <c r="G3" s="2980">
        <v>9</v>
      </c>
      <c r="H3" s="2980"/>
      <c r="I3" s="2980">
        <f>'数据-基础表'!I16+'数据-基础表'!I65</f>
        <v>6915.78</v>
      </c>
      <c r="J3" s="2980">
        <f>ROUND(I3*G3/10000*365*(1-$D$3),0)</f>
        <v>2272</v>
      </c>
      <c r="K3" s="2980"/>
      <c r="L3" s="2980"/>
    </row>
    <row r="4" spans="2:12">
      <c r="D4" s="2979" t="s">
        <v>3156</v>
      </c>
      <c r="E4" s="2979" t="s">
        <v>3153</v>
      </c>
      <c r="F4" s="2980">
        <v>0.5</v>
      </c>
      <c r="G4" s="2980">
        <f>G3*F4</f>
        <v>4.5</v>
      </c>
      <c r="H4" s="2980"/>
      <c r="I4" s="2980">
        <f>'数据-基础表'!I66+'数据-基础表'!I17</f>
        <v>7410.63</v>
      </c>
      <c r="J4" s="2980">
        <f>ROUND(I4*G4/10000*365*(1-$D$3),0)</f>
        <v>1217</v>
      </c>
      <c r="K4" s="2980"/>
      <c r="L4" s="2980"/>
    </row>
    <row r="5" spans="2:12">
      <c r="D5" s="2980">
        <f>'数据-取费表'!AA6</f>
        <v>2.5000000000000001E-2</v>
      </c>
      <c r="E5" s="2979" t="s">
        <v>3154</v>
      </c>
      <c r="F5" s="2980">
        <v>0.4</v>
      </c>
      <c r="G5" s="2980">
        <f>G3*F5</f>
        <v>3.6</v>
      </c>
      <c r="H5" s="2980"/>
      <c r="I5" s="2980">
        <f>'数据-基础表'!I18+'数据-基础表'!I67</f>
        <v>7410.63</v>
      </c>
      <c r="J5" s="2980">
        <f>ROUND(I5*G5/10000*365*(1-$D$3),0)</f>
        <v>974</v>
      </c>
      <c r="K5" s="2980"/>
      <c r="L5" s="2980"/>
    </row>
    <row r="6" spans="2:12">
      <c r="D6" s="2979" t="s">
        <v>3166</v>
      </c>
      <c r="E6" s="2980"/>
      <c r="F6" s="2979" t="s">
        <v>3106</v>
      </c>
      <c r="G6" s="2980">
        <v>1</v>
      </c>
      <c r="H6" s="2979" t="s">
        <v>3106</v>
      </c>
      <c r="I6" s="2979">
        <f>'数据-基础表'!M5</f>
        <v>6335.88</v>
      </c>
      <c r="J6" s="2980">
        <f>ROUND(I6*G6/10000*365*(1-$D$3),0)</f>
        <v>231</v>
      </c>
      <c r="K6" s="2980"/>
      <c r="L6" s="2980"/>
    </row>
    <row r="7" spans="2:12">
      <c r="D7" s="2980">
        <f>'数据-取费表'!AF6</f>
        <v>12.6</v>
      </c>
      <c r="E7" s="2980">
        <v>45</v>
      </c>
      <c r="F7" s="2979" t="s">
        <v>3107</v>
      </c>
      <c r="G7" s="2980">
        <v>1500</v>
      </c>
      <c r="H7" s="2979" t="s">
        <v>3107</v>
      </c>
      <c r="I7" s="2979">
        <f>'数据-基础表'!K5</f>
        <v>2653.6499999999987</v>
      </c>
      <c r="J7" s="2980">
        <f>ROUND(E7*G7/10000*12*(1-$D$3),0)</f>
        <v>81</v>
      </c>
      <c r="K7" s="2980"/>
      <c r="L7" s="2980"/>
    </row>
    <row r="8" spans="2:12">
      <c r="D8" s="2979" t="s">
        <v>3165</v>
      </c>
      <c r="E8" s="2980"/>
      <c r="F8" s="2980">
        <f>ROUND(J8*10000/I8/365,1)</f>
        <v>4.3</v>
      </c>
      <c r="G8" s="2980"/>
      <c r="H8" s="2980"/>
      <c r="I8" s="2980">
        <f>SUM(I3:I7)</f>
        <v>30726.57</v>
      </c>
      <c r="J8" s="2980">
        <f>SUM(J3:J7)</f>
        <v>4775</v>
      </c>
      <c r="K8" s="2980"/>
      <c r="L8" s="2980"/>
    </row>
    <row r="9" spans="2:12">
      <c r="D9" s="2979" t="s">
        <v>3167</v>
      </c>
      <c r="E9" s="2980"/>
      <c r="F9" s="2980">
        <f>ROUND(F8*(1+D5)^D7,1)</f>
        <v>5.9</v>
      </c>
      <c r="G9" s="2980"/>
      <c r="H9" s="2980"/>
      <c r="I9" s="2980"/>
      <c r="J9" s="2980"/>
      <c r="K9" s="2980"/>
      <c r="L9" s="2980"/>
    </row>
    <row r="10" spans="2:12">
      <c r="D10" s="2979" t="s">
        <v>3169</v>
      </c>
      <c r="E10" s="2980"/>
      <c r="F10" s="2980">
        <f ca="1">'收益法-出租'!F6</f>
        <v>16800000</v>
      </c>
      <c r="G10" s="2980">
        <f ca="1">ROUND(F10/I8/365,1)</f>
        <v>1.5</v>
      </c>
      <c r="H10" s="2980"/>
      <c r="I10" s="2980"/>
      <c r="J10" s="2980"/>
      <c r="K10" s="2980"/>
      <c r="L10" s="2980"/>
    </row>
    <row r="11" spans="2:12">
      <c r="D11" s="2979" t="s">
        <v>3168</v>
      </c>
      <c r="E11" s="2980"/>
      <c r="F11" s="2980"/>
      <c r="G11" s="2980"/>
      <c r="H11" s="2980"/>
      <c r="I11" s="2980"/>
      <c r="J11" s="2980"/>
      <c r="K11" s="2980"/>
      <c r="L11" s="2980"/>
    </row>
    <row r="13" spans="2:12">
      <c r="B13" s="2958" t="s">
        <v>3159</v>
      </c>
      <c r="C13" s="2958" t="s">
        <v>3160</v>
      </c>
      <c r="D13" s="2958" t="s">
        <v>3158</v>
      </c>
      <c r="E13" s="2958" t="s">
        <v>3157</v>
      </c>
      <c r="F13" s="2958"/>
    </row>
    <row r="14" spans="2:12">
      <c r="B14" s="2975">
        <v>40427</v>
      </c>
      <c r="C14" s="2975">
        <v>40792</v>
      </c>
      <c r="D14">
        <v>1</v>
      </c>
      <c r="E14">
        <v>1600</v>
      </c>
      <c r="F14" s="2976"/>
    </row>
    <row r="15" spans="2:12">
      <c r="C15" s="2975">
        <v>41158</v>
      </c>
      <c r="D15">
        <v>2</v>
      </c>
      <c r="E15">
        <v>1600</v>
      </c>
      <c r="F15" s="2976"/>
    </row>
    <row r="16" spans="2:12">
      <c r="C16" s="2975">
        <v>41523</v>
      </c>
      <c r="D16">
        <v>3</v>
      </c>
      <c r="E16">
        <v>1600</v>
      </c>
      <c r="F16" s="2976"/>
    </row>
    <row r="17" spans="3:6">
      <c r="C17" s="2975">
        <v>41888</v>
      </c>
      <c r="D17">
        <v>4</v>
      </c>
      <c r="E17">
        <v>1600</v>
      </c>
      <c r="F17" s="2976"/>
    </row>
    <row r="18" spans="3:6">
      <c r="C18" s="2975">
        <v>42253</v>
      </c>
      <c r="D18">
        <v>5</v>
      </c>
      <c r="E18">
        <v>1680</v>
      </c>
      <c r="F18" s="2976"/>
    </row>
    <row r="19" spans="3:6">
      <c r="C19" s="2975">
        <v>42619</v>
      </c>
      <c r="D19">
        <v>6</v>
      </c>
      <c r="E19">
        <v>1680</v>
      </c>
      <c r="F19" s="2976"/>
    </row>
    <row r="20" spans="3:6">
      <c r="C20" s="2975">
        <v>42984</v>
      </c>
      <c r="D20">
        <v>7</v>
      </c>
      <c r="E20">
        <v>1680</v>
      </c>
      <c r="F20" s="2976"/>
    </row>
    <row r="21" spans="3:6">
      <c r="C21" s="2975">
        <v>43349</v>
      </c>
      <c r="D21">
        <v>8</v>
      </c>
      <c r="E21">
        <v>1680</v>
      </c>
      <c r="F21" s="2976"/>
    </row>
    <row r="22" spans="3:6">
      <c r="C22" s="2975">
        <v>43714</v>
      </c>
      <c r="D22">
        <v>9</v>
      </c>
      <c r="E22">
        <v>1764</v>
      </c>
      <c r="F22" s="2976"/>
    </row>
    <row r="23" spans="3:6">
      <c r="C23" s="2975">
        <v>44080</v>
      </c>
      <c r="D23">
        <v>10</v>
      </c>
      <c r="E23">
        <v>1764</v>
      </c>
      <c r="F23" s="2976"/>
    </row>
    <row r="24" spans="3:6">
      <c r="C24" s="2975">
        <v>44445</v>
      </c>
      <c r="D24">
        <v>11</v>
      </c>
      <c r="E24">
        <v>1764</v>
      </c>
      <c r="F24" s="2976"/>
    </row>
    <row r="25" spans="3:6">
      <c r="C25" s="2975">
        <v>44810</v>
      </c>
      <c r="D25">
        <v>12</v>
      </c>
      <c r="E25">
        <v>1764</v>
      </c>
      <c r="F25" s="2976"/>
    </row>
    <row r="26" spans="3:6">
      <c r="C26" s="2975">
        <v>45175</v>
      </c>
      <c r="D26">
        <v>13</v>
      </c>
      <c r="E26">
        <v>1852</v>
      </c>
      <c r="F26" s="2976"/>
    </row>
    <row r="27" spans="3:6">
      <c r="C27" s="2975">
        <v>45541</v>
      </c>
      <c r="D27">
        <v>14</v>
      </c>
      <c r="E27">
        <v>1852</v>
      </c>
      <c r="F27" s="2976"/>
    </row>
    <row r="28" spans="3:6">
      <c r="C28" s="2975">
        <v>45906</v>
      </c>
      <c r="D28">
        <v>15</v>
      </c>
      <c r="E28">
        <v>1852</v>
      </c>
      <c r="F28" s="2976"/>
    </row>
    <row r="29" spans="3:6">
      <c r="C29" s="2975">
        <v>46271</v>
      </c>
      <c r="D29">
        <v>16</v>
      </c>
      <c r="E29">
        <v>1852</v>
      </c>
      <c r="F29" s="2976"/>
    </row>
    <row r="30" spans="3:6">
      <c r="C30" s="2975">
        <v>46636</v>
      </c>
      <c r="D30">
        <v>17</v>
      </c>
      <c r="E30">
        <v>1945</v>
      </c>
      <c r="F30" s="2976"/>
    </row>
    <row r="31" spans="3:6">
      <c r="C31" s="2975">
        <v>47002</v>
      </c>
      <c r="D31">
        <v>18</v>
      </c>
      <c r="E31">
        <v>1945</v>
      </c>
      <c r="F31" s="2976"/>
    </row>
    <row r="32" spans="3:6">
      <c r="C32" s="2975">
        <v>47367</v>
      </c>
      <c r="D32">
        <v>19</v>
      </c>
      <c r="E32">
        <v>1945</v>
      </c>
      <c r="F32" s="2976"/>
    </row>
    <row r="33" spans="1:6">
      <c r="C33" s="2975">
        <v>47731</v>
      </c>
      <c r="D33">
        <v>20</v>
      </c>
      <c r="E33">
        <v>1945</v>
      </c>
      <c r="F33" s="2976"/>
    </row>
    <row r="34" spans="1:6">
      <c r="A34" s="2958" t="s">
        <v>3161</v>
      </c>
      <c r="C34" s="2977">
        <v>1.04E-2</v>
      </c>
      <c r="E34">
        <f>ROUND(E14*(1+C34)^19,0)</f>
        <v>1948</v>
      </c>
      <c r="F34" s="2976"/>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1642</v>
      </c>
      <c r="B2" s="3006" t="s">
        <v>1643</v>
      </c>
      <c r="C2" s="3006" t="s">
        <v>1644</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0"/>
      <c r="B3" s="3000"/>
      <c r="C3" s="3000"/>
      <c r="D3" s="1046" t="s">
        <v>1639</v>
      </c>
      <c r="E3" s="1046" t="s">
        <v>1645</v>
      </c>
      <c r="F3" s="1046" t="s">
        <v>1639</v>
      </c>
      <c r="G3" s="1046" t="s">
        <v>1640</v>
      </c>
      <c r="H3" s="1046" t="s">
        <v>1639</v>
      </c>
      <c r="I3" s="1046" t="s">
        <v>1640</v>
      </c>
    </row>
    <row r="4" spans="1:9" ht="90">
      <c r="A4" s="1975" t="str">
        <f>项目基本情况!S2</f>
        <v>北京市北京市朝阳区东风乡绿隔地区第四宗地J-7地块7#商业楼-1层-101等6套房屋、J-8地块8#商业楼-2层001等49套房屋商业、库房、车位用房房地产</v>
      </c>
      <c r="B4" s="1046">
        <f>项目基本情况!C17</f>
        <v>30726.569999999992</v>
      </c>
      <c r="C4" s="1046">
        <f>项目基本情况!C18</f>
        <v>0</v>
      </c>
      <c r="D4" s="1046" t="e">
        <f ca="1">结果表!D118</f>
        <v>#REF!</v>
      </c>
      <c r="E4" s="1046" t="e">
        <f ca="1">结果表!E118</f>
        <v>#REF!</v>
      </c>
      <c r="F4" s="1046" t="e">
        <f ca="1">结果表!F118</f>
        <v>#REF!</v>
      </c>
      <c r="G4" s="1046" t="e">
        <f ca="1">结果表!G118</f>
        <v>#REF!</v>
      </c>
      <c r="H4" s="1046">
        <f ca="1">结果表!H118</f>
        <v>28699</v>
      </c>
      <c r="I4" s="1046">
        <f ca="1">结果表!I118</f>
        <v>9340</v>
      </c>
    </row>
    <row r="5" spans="1:9" ht="30" customHeight="1">
      <c r="A5" s="3000" t="s">
        <v>1641</v>
      </c>
      <c r="B5" s="3000"/>
      <c r="C5" s="3000"/>
      <c r="D5" s="3001" t="e">
        <f ca="1">结果表!D119</f>
        <v>#REF!</v>
      </c>
      <c r="E5" s="3001"/>
      <c r="F5" s="3001" t="e">
        <f ca="1">结果表!F119</f>
        <v>#REF!</v>
      </c>
      <c r="G5" s="3001"/>
      <c r="H5" s="3001" t="str">
        <f ca="1">结果表!H119</f>
        <v>贰亿捌仟陆佰玖拾玖万元整</v>
      </c>
      <c r="I5" s="3001"/>
    </row>
    <row r="6" spans="1:9" ht="15.75">
      <c r="A6" s="2999" t="str">
        <f>结果表!A120</f>
        <v>估价师知悉的法定优先受偿款</v>
      </c>
      <c r="B6" s="2999"/>
      <c r="C6" s="2999"/>
      <c r="D6" s="2999">
        <f>结果表!D120</f>
        <v>0</v>
      </c>
      <c r="E6" s="2999"/>
      <c r="F6" s="2999"/>
      <c r="G6" s="2999"/>
      <c r="H6" s="2999"/>
      <c r="I6" s="2999"/>
    </row>
    <row r="7" spans="1:9" ht="15">
      <c r="A7" s="3000" t="s">
        <v>1641</v>
      </c>
      <c r="B7" s="3000"/>
      <c r="C7" s="3000"/>
      <c r="D7" s="3002" t="str">
        <f>结果表!D121</f>
        <v>零元整</v>
      </c>
      <c r="E7" s="3003"/>
      <c r="F7" s="3003"/>
      <c r="G7" s="3003"/>
      <c r="H7" s="3003"/>
      <c r="I7" s="3004"/>
    </row>
    <row r="8" spans="1:9" ht="15.75">
      <c r="A8" s="2999" t="str">
        <f>结果表!A122</f>
        <v>房地产抵押价值</v>
      </c>
      <c r="B8" s="2999"/>
      <c r="C8" s="2999"/>
      <c r="D8" s="2999">
        <f ca="1">结果表!D122</f>
        <v>28699</v>
      </c>
      <c r="E8" s="2999"/>
      <c r="F8" s="2999"/>
      <c r="G8" s="2999"/>
      <c r="H8" s="2999"/>
      <c r="I8" s="2999"/>
    </row>
    <row r="9" spans="1:9" ht="15">
      <c r="A9" s="3000" t="s">
        <v>1641</v>
      </c>
      <c r="B9" s="3000"/>
      <c r="C9" s="3000"/>
      <c r="D9" s="3001" t="str">
        <f ca="1">结果表!D123</f>
        <v>贰亿捌仟陆佰玖拾玖万元整</v>
      </c>
      <c r="E9" s="3001"/>
      <c r="F9" s="3001"/>
      <c r="G9" s="3001"/>
      <c r="H9" s="3001"/>
      <c r="I9" s="3001"/>
    </row>
    <row r="10" spans="1:9" ht="15.75">
      <c r="A10" s="2999" t="str">
        <f>结果表!A124</f>
        <v/>
      </c>
      <c r="B10" s="2999"/>
      <c r="C10" s="2999"/>
      <c r="D10" s="2999" t="str">
        <f>结果表!D124</f>
        <v>——</v>
      </c>
      <c r="E10" s="2999"/>
      <c r="F10" s="2999"/>
      <c r="G10" s="2999"/>
      <c r="H10" s="2999"/>
      <c r="I10" s="2999"/>
    </row>
    <row r="11" spans="1:9" ht="15">
      <c r="A11" s="3000" t="s">
        <v>1641</v>
      </c>
      <c r="B11" s="3000"/>
      <c r="C11" s="3000"/>
      <c r="D11" s="3001" t="e">
        <f>结果表!D125</f>
        <v>#VALUE!</v>
      </c>
      <c r="E11" s="3001"/>
      <c r="F11" s="3001"/>
      <c r="G11" s="3001"/>
      <c r="H11" s="3001"/>
      <c r="I11" s="3001"/>
    </row>
    <row r="12" spans="1:9" ht="15.75">
      <c r="A12" s="2999" t="str">
        <f>结果表!A126</f>
        <v/>
      </c>
      <c r="B12" s="2999"/>
      <c r="C12" s="2999"/>
      <c r="D12" s="2999" t="str">
        <f>结果表!D126</f>
        <v>——</v>
      </c>
      <c r="E12" s="2999"/>
      <c r="F12" s="2999"/>
      <c r="G12" s="2999"/>
      <c r="H12" s="2999"/>
      <c r="I12" s="2999"/>
    </row>
    <row r="13" spans="1:9" ht="15.75" thickBot="1">
      <c r="A13" s="2996" t="s">
        <v>1641</v>
      </c>
      <c r="B13" s="2996"/>
      <c r="C13" s="2996"/>
      <c r="D13" s="2997" t="e">
        <f>结果表!D127</f>
        <v>#VALUE!</v>
      </c>
      <c r="E13" s="2997"/>
      <c r="F13" s="2997"/>
      <c r="G13" s="2997"/>
      <c r="H13" s="2997"/>
      <c r="I13" s="2997"/>
    </row>
    <row r="14" spans="1:9" ht="15" thickTop="1">
      <c r="A14" s="2998" t="s">
        <v>1646</v>
      </c>
      <c r="B14" s="2998"/>
      <c r="C14" s="2998"/>
      <c r="D14" s="2998"/>
      <c r="E14" s="2998"/>
      <c r="F14" s="2998"/>
      <c r="G14" s="2998"/>
      <c r="H14" s="2998"/>
      <c r="I14" s="2998"/>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3" t="s">
        <v>1663</v>
      </c>
      <c r="B1" s="3013"/>
      <c r="C1" s="3013"/>
      <c r="D1" s="3013"/>
    </row>
    <row r="2" spans="1:4" ht="18">
      <c r="A2" s="3014" t="s">
        <v>1647</v>
      </c>
      <c r="B2" s="3014"/>
      <c r="C2" s="3014"/>
      <c r="D2" s="3014"/>
    </row>
    <row r="3" spans="1:4" ht="18.75">
      <c r="A3" s="1979" t="s">
        <v>1648</v>
      </c>
      <c r="B3" s="1979" t="s">
        <v>1649</v>
      </c>
      <c r="C3" s="1979" t="s">
        <v>1650</v>
      </c>
      <c r="D3" s="1979" t="s">
        <v>1651</v>
      </c>
    </row>
    <row r="4" spans="1:4" ht="56.25" customHeight="1">
      <c r="A4" s="1980" t="str">
        <f>项目基本情况!B4</f>
        <v>欧红伟</v>
      </c>
      <c r="B4" s="1981">
        <f ca="1">项目基本情况!C4</f>
        <v>1120000080</v>
      </c>
      <c r="C4" s="1982"/>
      <c r="D4" s="1983" t="s">
        <v>1652</v>
      </c>
    </row>
    <row r="5" spans="1:4" ht="56.25" customHeight="1">
      <c r="A5" s="1980" t="str">
        <f>项目基本情况!D4</f>
        <v>崔锴</v>
      </c>
      <c r="B5" s="1981">
        <f ca="1">项目基本情况!E4</f>
        <v>1120100036</v>
      </c>
      <c r="C5" s="1984"/>
      <c r="D5" s="1983" t="s">
        <v>1652</v>
      </c>
    </row>
    <row r="6" spans="1:4" ht="18">
      <c r="A6" s="3014" t="s">
        <v>1653</v>
      </c>
      <c r="B6" s="3014"/>
      <c r="C6" s="3014"/>
      <c r="D6" s="3014"/>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3015" t="s">
        <v>1656</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07" t="str">
        <f>IF(项目基本情况!B8="抵押","4.本次评估估价师所知悉的法定优先受偿款情况说明如下：","——")</f>
        <v>4.本次评估估价师所知悉的法定优先受偿款情况说明如下：</v>
      </c>
      <c r="B14" s="3012"/>
      <c r="C14" s="3012"/>
      <c r="D14" s="3012"/>
    </row>
    <row r="15" spans="1:4" ht="42" customHeight="1">
      <c r="A15" s="3007" t="str">
        <f>IF(项目基本情况!B8="抵押","（1）"&amp;CONCATENATE(项目基本情况!L20,项目基本情况!L21,项目基本情况!L22),"——")</f>
        <v>（1）根据估价对象——，截至价值时点，估价对象抵押权未见登记。</v>
      </c>
      <c r="B15" s="3007"/>
      <c r="C15" s="3007"/>
      <c r="D15" s="3007"/>
    </row>
    <row r="16" spans="1:4" ht="30" customHeight="1">
      <c r="A16" s="3009" t="s">
        <v>1657</v>
      </c>
      <c r="B16" s="3009"/>
      <c r="C16" s="3009"/>
      <c r="D16" s="3009"/>
    </row>
    <row r="17" spans="1:4" ht="144" customHeight="1">
      <c r="A17" s="3009" t="s">
        <v>1658</v>
      </c>
      <c r="B17" s="3009"/>
      <c r="C17" s="3009"/>
      <c r="D17" s="3009"/>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1659</v>
      </c>
      <c r="B22" s="3011"/>
      <c r="C22" s="3011"/>
      <c r="D22" s="3011"/>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21" t="s">
        <v>1670</v>
      </c>
      <c r="B15" s="3016" t="s">
        <v>136</v>
      </c>
      <c r="C15" s="3017"/>
    </row>
    <row r="16" spans="1:7" ht="13.5">
      <c r="A16" s="3022"/>
      <c r="B16" s="3016" t="s">
        <v>69</v>
      </c>
      <c r="C16" s="3017"/>
    </row>
    <row r="17" spans="1:3" ht="13.5">
      <c r="A17" s="3022"/>
      <c r="B17" s="3019" t="s">
        <v>1671</v>
      </c>
      <c r="C17" s="2002" t="s">
        <v>1670</v>
      </c>
    </row>
    <row r="18" spans="1:3" ht="13.5">
      <c r="A18" s="3022"/>
      <c r="B18" s="3019"/>
      <c r="C18" s="2002" t="s">
        <v>1672</v>
      </c>
    </row>
    <row r="19" spans="1:3" ht="13.5">
      <c r="A19" s="3022"/>
      <c r="B19" s="3019"/>
      <c r="C19" s="2002" t="s">
        <v>1673</v>
      </c>
    </row>
    <row r="20" spans="1:3" ht="13.5">
      <c r="A20" s="3023"/>
      <c r="B20" s="3018" t="s">
        <v>1674</v>
      </c>
      <c r="C20" s="3017"/>
    </row>
    <row r="21" spans="1:3" ht="13.5">
      <c r="A21" s="2003" t="s">
        <v>1675</v>
      </c>
      <c r="B21" s="2004"/>
      <c r="C21" s="2005"/>
    </row>
    <row r="22" spans="1:3" ht="13.5">
      <c r="A22" s="3020" t="s">
        <v>1676</v>
      </c>
      <c r="B22" s="3018" t="s">
        <v>1677</v>
      </c>
      <c r="C22" s="3017"/>
    </row>
    <row r="23" spans="1:3" ht="13.5">
      <c r="A23" s="3020"/>
      <c r="B23" s="3018" t="s">
        <v>1678</v>
      </c>
      <c r="C23" s="3017"/>
    </row>
    <row r="24" spans="1:3" ht="13.5">
      <c r="A24" s="3020"/>
      <c r="B24" s="3018" t="s">
        <v>1679</v>
      </c>
      <c r="C24" s="3017"/>
    </row>
    <row r="25" spans="1:3" ht="13.5">
      <c r="A25" s="3020"/>
      <c r="B25" s="3019" t="s">
        <v>1680</v>
      </c>
      <c r="C25" s="2002" t="s">
        <v>1681</v>
      </c>
    </row>
    <row r="26" spans="1:3" ht="13.5">
      <c r="A26" s="3020"/>
      <c r="B26" s="3019"/>
      <c r="C26" s="2002" t="s">
        <v>1682</v>
      </c>
    </row>
    <row r="27" spans="1:3" ht="13.5">
      <c r="A27" s="3020"/>
      <c r="B27" s="3019"/>
      <c r="C27" s="2002" t="s">
        <v>1683</v>
      </c>
    </row>
    <row r="28" spans="1:3" ht="13.5">
      <c r="A28" s="3020"/>
      <c r="B28" s="3019"/>
      <c r="C28" s="2002" t="s">
        <v>1684</v>
      </c>
    </row>
    <row r="29" spans="1:3" ht="13.5">
      <c r="A29" s="3020"/>
      <c r="B29" s="3019"/>
      <c r="C29" s="2002" t="s">
        <v>1685</v>
      </c>
    </row>
    <row r="30" spans="1:3" ht="13.5">
      <c r="A30" s="3020"/>
      <c r="B30" s="3019"/>
      <c r="C30" s="2002" t="s">
        <v>1686</v>
      </c>
    </row>
    <row r="31" spans="1:3" ht="13.5">
      <c r="A31" s="3020"/>
      <c r="B31" s="3019"/>
      <c r="C31" s="2002" t="s">
        <v>1687</v>
      </c>
    </row>
    <row r="32" spans="1:3" ht="13.5">
      <c r="A32" s="3020"/>
      <c r="B32" s="3019"/>
      <c r="C32" s="2002" t="s">
        <v>1688</v>
      </c>
    </row>
    <row r="33" spans="1:3" ht="13.5">
      <c r="A33" s="3020"/>
      <c r="B33" s="3019"/>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43256</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43359</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f ca="1">IF(C10&lt;B2,"已过期",1120060040)</f>
        <v>1120060040</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c r="B12" s="1025"/>
      <c r="C12" s="2346"/>
      <c r="D12" s="2349"/>
      <c r="E12" s="1025"/>
      <c r="F12" s="1025"/>
    </row>
    <row r="13" spans="1:6" ht="24" customHeight="1">
      <c r="A13" s="1704" t="s">
        <v>840</v>
      </c>
      <c r="B13" s="1025">
        <f ca="1">IF(C13&lt;B2,"已过期",1120070131)</f>
        <v>1120070131</v>
      </c>
      <c r="C13" s="2346">
        <v>43814</v>
      </c>
      <c r="D13" s="2349" t="s">
        <v>840</v>
      </c>
      <c r="E13" s="1025">
        <v>2014110011</v>
      </c>
      <c r="F13" s="1033">
        <v>49302</v>
      </c>
    </row>
    <row r="14" spans="1:6" ht="24" customHeight="1">
      <c r="A14" s="1704" t="s">
        <v>841</v>
      </c>
      <c r="B14" s="1025">
        <f ca="1">IF(C14&lt;B2,"已过期",1120130020)</f>
        <v>1120130020</v>
      </c>
      <c r="C14" s="2346">
        <v>43622</v>
      </c>
      <c r="D14" s="2349"/>
      <c r="E14" s="1025"/>
      <c r="F14" s="1025"/>
    </row>
    <row r="15" spans="1:6" ht="24" customHeight="1">
      <c r="A15" s="1705" t="s">
        <v>1149</v>
      </c>
      <c r="B15" s="1025">
        <v>1120070085</v>
      </c>
      <c r="C15" s="2346">
        <v>43814</v>
      </c>
      <c r="D15" s="2350" t="s">
        <v>1149</v>
      </c>
      <c r="E15" s="1025">
        <v>2004110128</v>
      </c>
      <c r="F15" s="1026">
        <v>47118</v>
      </c>
    </row>
    <row r="16" spans="1:6" ht="24" customHeight="1">
      <c r="A16" s="1704" t="s">
        <v>842</v>
      </c>
      <c r="B16" s="1025">
        <f ca="1">IF(C16&lt;B2,"已过期",1120140022)</f>
        <v>1120140022</v>
      </c>
      <c r="C16" s="2346">
        <v>44029</v>
      </c>
      <c r="D16" s="2349" t="s">
        <v>842</v>
      </c>
      <c r="E16" s="1025">
        <f ca="1">IF(F16&lt;B2,"已过期",2008110059)</f>
        <v>2008110059</v>
      </c>
      <c r="F16" s="1033">
        <v>47177</v>
      </c>
    </row>
    <row r="17" spans="1:7" ht="24" customHeight="1">
      <c r="A17" s="1704"/>
      <c r="B17" s="1025"/>
      <c r="C17" s="2346"/>
      <c r="D17" s="2349"/>
      <c r="E17" s="1025"/>
      <c r="F17" s="1033"/>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843</v>
      </c>
      <c r="E21" s="1025">
        <f ca="1">IF(F21&lt;B2,"已过期",2011110090)</f>
        <v>2011110090</v>
      </c>
      <c r="F21" s="1033">
        <v>48302</v>
      </c>
    </row>
    <row r="22" spans="1:7" ht="24" customHeight="1">
      <c r="A22" s="1704" t="s">
        <v>844</v>
      </c>
      <c r="B22" s="1025">
        <f ca="1">IF(C22&lt;B2,"已过期",1120020033)</f>
        <v>1120020033</v>
      </c>
      <c r="C22" s="2346">
        <v>43304</v>
      </c>
      <c r="D22" s="2349" t="s">
        <v>844</v>
      </c>
      <c r="E22" s="1025">
        <f ca="1">IF(F22&lt;B2,"已过期",2000110137)</f>
        <v>2000110137</v>
      </c>
      <c r="F22" s="1033">
        <v>46387</v>
      </c>
    </row>
    <row r="23" spans="1:7" ht="24" customHeight="1">
      <c r="A23" s="1704" t="s">
        <v>845</v>
      </c>
      <c r="B23" s="1025">
        <f ca="1">IF(C23&lt;B2,"已过期",1120130048)</f>
        <v>1120130048</v>
      </c>
      <c r="C23" s="2346">
        <v>43686</v>
      </c>
      <c r="D23" s="2349"/>
      <c r="E23" s="1025"/>
      <c r="F23" s="1025"/>
    </row>
    <row r="24" spans="1:7" s="1027" customFormat="1" ht="24" customHeight="1">
      <c r="A24" s="1705" t="s">
        <v>1333</v>
      </c>
      <c r="B24" s="1705" t="s">
        <v>1333</v>
      </c>
      <c r="C24" s="2347" t="s">
        <v>1333</v>
      </c>
      <c r="D24" s="2350" t="s">
        <v>1333</v>
      </c>
      <c r="E24" s="1705" t="s">
        <v>1333</v>
      </c>
      <c r="F24" s="1705" t="s">
        <v>1333</v>
      </c>
    </row>
    <row r="25" spans="1:7" ht="24" customHeight="1">
      <c r="A25" s="3024" t="s">
        <v>846</v>
      </c>
      <c r="B25" s="3024"/>
      <c r="C25" s="3024"/>
      <c r="D25" s="3024"/>
      <c r="E25" s="3024"/>
      <c r="F25" s="3024"/>
      <c r="G25" s="3024"/>
    </row>
    <row r="26" spans="1:7" s="1028" customFormat="1" ht="24" customHeight="1">
      <c r="A26" s="3025" t="s">
        <v>847</v>
      </c>
      <c r="B26" s="3025"/>
      <c r="C26" s="3026"/>
      <c r="D26" s="3027" t="s">
        <v>848</v>
      </c>
      <c r="E26" s="3025"/>
      <c r="F26" s="3025"/>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0">
        <v>44377</v>
      </c>
    </row>
    <row r="29" spans="1:7" s="1030" customFormat="1" ht="24" customHeight="1">
      <c r="A29" s="1031"/>
      <c r="B29" s="1031"/>
      <c r="C29" s="2352"/>
      <c r="D29" s="2354"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收益法-出租</vt:lpstr>
      <vt:lpstr>收益法 (元)</vt:lpstr>
      <vt:lpstr>收益法-未出租</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估价师及机构信息!Print_Area</vt:lpstr>
      <vt:lpstr>'收益法 (元)'!Print_Area</vt:lpstr>
      <vt:lpstr>'收益法-出租'!Print_Area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2018-02-01T06:00:32Z</cp:lastPrinted>
  <dcterms:created xsi:type="dcterms:W3CDTF">2015-07-13T07:17:23Z</dcterms:created>
  <dcterms:modified xsi:type="dcterms:W3CDTF">2018-06-05T07:09:04Z</dcterms:modified>
</cp:coreProperties>
</file>