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报规面积表" sheetId="77"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Sheet3" sheetId="79" r:id="rId24"/>
    <sheet name="假设开发法" sheetId="12" r:id="rId25"/>
    <sheet name="比较法-住宅" sheetId="21" r:id="rId26"/>
    <sheet name="Sheet1" sheetId="81" r:id="rId27"/>
    <sheet name="收益法" sheetId="15" r:id="rId28"/>
    <sheet name="收益法 (2)" sheetId="80" state="hidden"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8">'收益法 (2)'!$A$1:$AK$69</definedName>
    <definedName name="_xlnm.Print_Area" localSheetId="29">'收益法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I15" i="74"/>
  <c r="H15" i="74"/>
  <c r="C15" i="74"/>
  <c r="B15" i="74"/>
  <c r="B30" i="1" l="1"/>
  <c r="E71" i="39" l="1"/>
  <c r="F71" i="39" s="1"/>
  <c r="G71" i="39" s="1"/>
  <c r="D71" i="39"/>
  <c r="C33" i="21" l="1"/>
  <c r="E5" i="39" l="1"/>
  <c r="E7" i="39"/>
  <c r="E38" i="39"/>
  <c r="E46" i="39"/>
  <c r="N7" i="1"/>
  <c r="E14" i="78"/>
  <c r="C15" i="78"/>
  <c r="F20" i="6"/>
  <c r="G19" i="6"/>
  <c r="F19" i="6"/>
  <c r="C38" i="39"/>
  <c r="G11" i="78"/>
  <c r="G47" i="21" l="1"/>
  <c r="I7" i="21"/>
  <c r="G7" i="21"/>
  <c r="E7" i="21"/>
  <c r="Q72" i="80" l="1"/>
  <c r="Q59" i="80"/>
  <c r="K59" i="80"/>
  <c r="P74" i="80" s="1"/>
  <c r="F59" i="80"/>
  <c r="Q58" i="80"/>
  <c r="Q51" i="80"/>
  <c r="J50" i="80"/>
  <c r="J51" i="80" s="1"/>
  <c r="M47" i="80"/>
  <c r="D46" i="80"/>
  <c r="F34" i="80"/>
  <c r="F62" i="80" s="1"/>
  <c r="F33" i="80"/>
  <c r="F61" i="80" s="1"/>
  <c r="F32" i="80"/>
  <c r="F60" i="80" s="1"/>
  <c r="F31" i="80"/>
  <c r="F28" i="80"/>
  <c r="C28" i="80" s="1"/>
  <c r="F23" i="80"/>
  <c r="F21" i="80"/>
  <c r="M20" i="80"/>
  <c r="F20" i="80"/>
  <c r="M19" i="80"/>
  <c r="M18" i="80"/>
  <c r="F18" i="80"/>
  <c r="M17" i="80"/>
  <c r="F17" i="80"/>
  <c r="F15" i="80"/>
  <c r="D23" i="80" l="1"/>
  <c r="D22" i="80"/>
  <c r="D24" i="80"/>
  <c r="P61" i="80"/>
  <c r="I16" i="74"/>
  <c r="H16" i="74"/>
  <c r="I38" i="39" l="1"/>
  <c r="G38" i="39"/>
  <c r="I46" i="39"/>
  <c r="G46" i="39"/>
  <c r="I5" i="39"/>
  <c r="G5" i="39"/>
  <c r="C11" i="39"/>
  <c r="I7" i="39"/>
  <c r="G7" i="39"/>
  <c r="O51" i="79"/>
  <c r="O50" i="79"/>
  <c r="O49" i="79"/>
  <c r="O48" i="79"/>
  <c r="O47" i="79"/>
  <c r="O46" i="79"/>
  <c r="O45" i="79"/>
  <c r="O44" i="79"/>
  <c r="O43" i="79"/>
  <c r="O42" i="79"/>
  <c r="O41" i="79"/>
  <c r="O40" i="79"/>
  <c r="O39" i="79"/>
  <c r="O38" i="79"/>
  <c r="O37" i="79"/>
  <c r="O36" i="79"/>
  <c r="O35" i="79"/>
  <c r="O34" i="79"/>
  <c r="O33" i="79"/>
  <c r="O32" i="79"/>
  <c r="O31" i="79"/>
  <c r="O30" i="79"/>
  <c r="O29" i="79"/>
  <c r="O28" i="79"/>
  <c r="O27" i="79"/>
  <c r="O26" i="79"/>
  <c r="O25" i="79"/>
  <c r="O24" i="79"/>
  <c r="O23" i="79"/>
  <c r="O22" i="79"/>
  <c r="O21" i="79"/>
  <c r="O20" i="79"/>
  <c r="O19" i="79"/>
  <c r="O18" i="79"/>
  <c r="O17" i="79"/>
  <c r="O16" i="79"/>
  <c r="O15" i="79"/>
  <c r="O14" i="79"/>
  <c r="O13" i="79"/>
  <c r="O12" i="79"/>
  <c r="O11" i="79"/>
  <c r="O10" i="79"/>
  <c r="O9" i="79"/>
  <c r="O8" i="79"/>
  <c r="O7" i="79"/>
  <c r="O6" i="79"/>
  <c r="O5" i="79"/>
  <c r="O4" i="79"/>
  <c r="O3" i="79"/>
  <c r="O2" i="79"/>
  <c r="G13" i="78"/>
  <c r="C16" i="78"/>
  <c r="G12" i="78"/>
  <c r="C17" i="78" s="1"/>
  <c r="G10" i="78"/>
  <c r="G9" i="78"/>
  <c r="G8" i="78"/>
  <c r="C14" i="78" s="1"/>
  <c r="E12" i="78"/>
  <c r="E11" i="78"/>
  <c r="E10" i="78"/>
  <c r="E9" i="78"/>
  <c r="E8" i="78"/>
  <c r="D7" i="78"/>
  <c r="C7" i="78"/>
  <c r="AN17" i="3"/>
  <c r="AL17" i="3"/>
  <c r="K16" i="3"/>
  <c r="I16" i="3"/>
  <c r="I15" i="3"/>
  <c r="I14" i="3"/>
  <c r="I13" i="3"/>
  <c r="C14" i="3"/>
  <c r="C15" i="3"/>
  <c r="C16" i="3"/>
  <c r="C17" i="3"/>
  <c r="C13" i="3"/>
  <c r="A3" i="3"/>
  <c r="R31" i="77"/>
  <c r="Q31" i="77"/>
  <c r="P31" i="77"/>
  <c r="O31" i="77"/>
  <c r="M31" i="77"/>
  <c r="K31" i="77"/>
  <c r="N31" i="77" s="1"/>
  <c r="I31" i="77"/>
  <c r="E31" i="77"/>
  <c r="R30" i="77"/>
  <c r="Q30" i="77"/>
  <c r="O30" i="77"/>
  <c r="M30" i="77"/>
  <c r="I30" i="77"/>
  <c r="P30" i="77" s="1"/>
  <c r="E30" i="77"/>
  <c r="R29" i="77"/>
  <c r="Q29" i="77"/>
  <c r="P29" i="77"/>
  <c r="O29" i="77"/>
  <c r="M29" i="77"/>
  <c r="K29" i="77"/>
  <c r="N29" i="77" s="1"/>
  <c r="I29" i="77"/>
  <c r="E29" i="77"/>
  <c r="R28" i="77"/>
  <c r="Q28" i="77"/>
  <c r="P28" i="77"/>
  <c r="N28" i="77"/>
  <c r="I28" i="77"/>
  <c r="O28" i="77" s="1"/>
  <c r="E28" i="77"/>
  <c r="R27" i="77"/>
  <c r="R26" i="77" s="1"/>
  <c r="Q27" i="77"/>
  <c r="P27" i="77"/>
  <c r="P26" i="77" s="1"/>
  <c r="N27" i="77"/>
  <c r="N26" i="77" s="1"/>
  <c r="K27" i="77"/>
  <c r="M27" i="77" s="1"/>
  <c r="I27" i="77"/>
  <c r="O27" i="77" s="1"/>
  <c r="E27" i="77"/>
  <c r="Q26" i="77"/>
  <c r="J26" i="77"/>
  <c r="I26" i="77"/>
  <c r="K26" i="77" s="1"/>
  <c r="D26" i="77"/>
  <c r="G26" i="77" s="1"/>
  <c r="R25" i="77"/>
  <c r="Q25" i="77"/>
  <c r="P25" i="77"/>
  <c r="O25" i="77"/>
  <c r="M25" i="77"/>
  <c r="K25" i="77"/>
  <c r="N25" i="77" s="1"/>
  <c r="R24" i="77"/>
  <c r="R21" i="77" s="1"/>
  <c r="Q24" i="77"/>
  <c r="P24" i="77"/>
  <c r="P21" i="77" s="1"/>
  <c r="O24" i="77"/>
  <c r="M24" i="77"/>
  <c r="K24" i="77"/>
  <c r="N24" i="77" s="1"/>
  <c r="N21" i="77" s="1"/>
  <c r="R23" i="77"/>
  <c r="Q23" i="77"/>
  <c r="P23" i="77"/>
  <c r="O23" i="77"/>
  <c r="N23" i="77"/>
  <c r="M23" i="77"/>
  <c r="K23" i="77"/>
  <c r="K22" i="77"/>
  <c r="Q21" i="77"/>
  <c r="O21" i="77"/>
  <c r="M21" i="77"/>
  <c r="J21" i="77"/>
  <c r="I21" i="77"/>
  <c r="K21" i="77" s="1"/>
  <c r="G21" i="77"/>
  <c r="E21" i="77"/>
  <c r="R20" i="77"/>
  <c r="Q20" i="77"/>
  <c r="P20" i="77"/>
  <c r="O20" i="77"/>
  <c r="N20" i="77"/>
  <c r="M20" i="77"/>
  <c r="K20" i="77"/>
  <c r="G20" i="77"/>
  <c r="E20" i="77"/>
  <c r="R19" i="77"/>
  <c r="Q19" i="77"/>
  <c r="P19" i="77"/>
  <c r="O19" i="77"/>
  <c r="N19" i="77"/>
  <c r="M19" i="77"/>
  <c r="K19" i="77"/>
  <c r="R18" i="77"/>
  <c r="Q18" i="77"/>
  <c r="P18" i="77"/>
  <c r="O18" i="77"/>
  <c r="N18" i="77"/>
  <c r="K18" i="77"/>
  <c r="M18" i="77" s="1"/>
  <c r="R17" i="77"/>
  <c r="Q17" i="77"/>
  <c r="Q16" i="77" s="1"/>
  <c r="P17" i="77"/>
  <c r="O17" i="77"/>
  <c r="O16" i="77" s="1"/>
  <c r="N17" i="77"/>
  <c r="M17" i="77"/>
  <c r="M16" i="77" s="1"/>
  <c r="K17" i="77"/>
  <c r="G17" i="77"/>
  <c r="E17" i="77"/>
  <c r="R16" i="77"/>
  <c r="P16" i="77"/>
  <c r="N16" i="77"/>
  <c r="J16" i="77"/>
  <c r="I16" i="77"/>
  <c r="K16" i="77" s="1"/>
  <c r="E16" i="77"/>
  <c r="D16" i="77"/>
  <c r="R15" i="77"/>
  <c r="Q15" i="77"/>
  <c r="P15" i="77"/>
  <c r="O15" i="77"/>
  <c r="N15" i="77"/>
  <c r="K15" i="77"/>
  <c r="M15" i="77" s="1"/>
  <c r="M10" i="77" s="1"/>
  <c r="R14" i="77"/>
  <c r="Q14" i="77"/>
  <c r="P14" i="77"/>
  <c r="O14" i="77"/>
  <c r="N14" i="77"/>
  <c r="M14" i="77"/>
  <c r="K14" i="77"/>
  <c r="R13" i="77"/>
  <c r="Q13" i="77"/>
  <c r="P13" i="77"/>
  <c r="P10" i="77" s="1"/>
  <c r="O13" i="77"/>
  <c r="M13" i="77"/>
  <c r="K13" i="77"/>
  <c r="N13" i="77" s="1"/>
  <c r="N10" i="77" s="1"/>
  <c r="R12" i="77"/>
  <c r="Q12" i="77"/>
  <c r="K12" i="77"/>
  <c r="R11" i="77"/>
  <c r="R10" i="77" s="1"/>
  <c r="R32" i="77" s="1"/>
  <c r="Q11" i="77"/>
  <c r="K11" i="77"/>
  <c r="Q10" i="77"/>
  <c r="Q32" i="77" s="1"/>
  <c r="O10" i="77"/>
  <c r="J10" i="77"/>
  <c r="J32" i="77" s="1"/>
  <c r="I10" i="77"/>
  <c r="I32" i="77" s="1"/>
  <c r="D10" i="77"/>
  <c r="D32" i="77" s="1"/>
  <c r="E32" i="77" s="1"/>
  <c r="D3" i="77"/>
  <c r="E7" i="78" l="1"/>
  <c r="G32" i="77"/>
  <c r="P32" i="77"/>
  <c r="O26" i="77"/>
  <c r="O32" i="77" s="1"/>
  <c r="G10" i="77"/>
  <c r="E10" i="77"/>
  <c r="K10" i="77"/>
  <c r="G16" i="77"/>
  <c r="E26" i="77"/>
  <c r="K28" i="77"/>
  <c r="M28" i="77" s="1"/>
  <c r="M26" i="77" s="1"/>
  <c r="M32" i="77" s="1"/>
  <c r="K30" i="77"/>
  <c r="N30" i="77" s="1"/>
  <c r="N32" i="77" s="1"/>
  <c r="K32" i="77" l="1"/>
  <c r="J35" i="77" l="1"/>
  <c r="I35" i="77"/>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61" i="15"/>
  <c r="P74" i="67"/>
  <c r="D116" i="39"/>
  <c r="E116" i="39"/>
  <c r="F116" i="39"/>
  <c r="G116" i="39"/>
  <c r="H116" i="39"/>
  <c r="I116" i="39"/>
  <c r="J116" i="39"/>
  <c r="K116" i="39"/>
  <c r="L116" i="39"/>
  <c r="M116" i="39"/>
  <c r="C116" i="39"/>
  <c r="A21" i="62"/>
  <c r="A20" i="62"/>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F38" i="68"/>
  <c r="E37" i="68"/>
  <c r="F36" i="68"/>
  <c r="F35" i="68"/>
  <c r="F21" i="68"/>
  <c r="C21" i="68" s="1"/>
  <c r="F20" i="68"/>
  <c r="E10" i="68"/>
  <c r="E9" i="68"/>
  <c r="F7"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G1" i="80"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G8" i="1" s="1"/>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D111" i="21"/>
  <c r="E111" i="21"/>
  <c r="F111" i="21"/>
  <c r="C111" i="21"/>
  <c r="D79" i="21"/>
  <c r="E79" i="21" s="1"/>
  <c r="D85" i="21"/>
  <c r="F19" i="21"/>
  <c r="AA19" i="21" s="1"/>
  <c r="E81" i="21"/>
  <c r="H19" i="21" s="1"/>
  <c r="F81" i="21"/>
  <c r="G81" i="21" s="1"/>
  <c r="D77" i="21"/>
  <c r="E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Q39" i="21"/>
  <c r="Z39" i="2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F33" i="21" s="1"/>
  <c r="AA33" i="21" s="1"/>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c r="F38" i="21"/>
  <c r="S38" i="21" s="1"/>
  <c r="F36" i="21"/>
  <c r="S36" i="21" s="1"/>
  <c r="J40" i="21"/>
  <c r="W40" i="21"/>
  <c r="H35" i="21"/>
  <c r="AB35" i="21" s="1"/>
  <c r="J8" i="21"/>
  <c r="AC8" i="21" s="1"/>
  <c r="H8" i="21"/>
  <c r="U8" i="21" s="1"/>
  <c r="J34" i="21"/>
  <c r="W34" i="21" s="1"/>
  <c r="H36" i="21"/>
  <c r="U36" i="21" s="1"/>
  <c r="F35" i="21"/>
  <c r="AA35" i="21" s="1"/>
  <c r="H26" i="21"/>
  <c r="AB26" i="21" s="1"/>
  <c r="J19" i="21"/>
  <c r="W19" i="21" s="1"/>
  <c r="J12" i="21"/>
  <c r="AC12" i="21" s="1"/>
  <c r="H12" i="21"/>
  <c r="AB12" i="21" s="1"/>
  <c r="J26" i="21"/>
  <c r="W26" i="21"/>
  <c r="F26" i="21"/>
  <c r="S26" i="21" s="1"/>
  <c r="AB41" i="21"/>
  <c r="S41" i="21"/>
  <c r="AA41" i="21"/>
  <c r="F45" i="39"/>
  <c r="S45" i="39" s="1"/>
  <c r="J45" i="39"/>
  <c r="W45" i="39" s="1"/>
  <c r="J44" i="39"/>
  <c r="AC44" i="39" s="1"/>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27" i="39"/>
  <c r="W27" i="39" s="1"/>
  <c r="F27" i="39"/>
  <c r="AA27" i="39" s="1"/>
  <c r="F11" i="21"/>
  <c r="S11" i="2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W25" i="39" s="1"/>
  <c r="F25" i="39"/>
  <c r="AA25" i="39" s="1"/>
  <c r="F15" i="39"/>
  <c r="AA15" i="39" s="1"/>
  <c r="H15" i="39"/>
  <c r="U15" i="39" s="1"/>
  <c r="J15" i="39"/>
  <c r="W15" i="39" s="1"/>
  <c r="AB34" i="39"/>
  <c r="S42" i="39"/>
  <c r="W14" i="39"/>
  <c r="W9" i="39"/>
  <c r="W8" i="39"/>
  <c r="J19" i="40"/>
  <c r="AC19" i="40"/>
  <c r="J50" i="40"/>
  <c r="H103" i="9"/>
  <c r="D8" i="53"/>
  <c r="B16" i="53"/>
  <c r="B33" i="72" s="1"/>
  <c r="C7" i="37"/>
  <c r="C7" i="34"/>
  <c r="C7" i="36"/>
  <c r="W35" i="40"/>
  <c r="A118" i="9"/>
  <c r="A4" i="52"/>
  <c r="B41" i="72"/>
  <c r="J11" i="39"/>
  <c r="W11" i="39" s="1"/>
  <c r="F11" i="39"/>
  <c r="AA11" i="39" s="1"/>
  <c r="A12" i="52"/>
  <c r="B56"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A32" i="39" s="1"/>
  <c r="U31" i="39"/>
  <c r="S25" i="39"/>
  <c r="J21" i="39"/>
  <c r="F21" i="39"/>
  <c r="S21" i="39" s="1"/>
  <c r="H21" i="39"/>
  <c r="U21" i="39" s="1"/>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C40" i="21"/>
  <c r="F23" i="21"/>
  <c r="S23" i="21" s="1"/>
  <c r="E85" i="21"/>
  <c r="AC11" i="21"/>
  <c r="AA14" i="21"/>
  <c r="AB8" i="21"/>
  <c r="S8" i="21"/>
  <c r="M3" i="43"/>
  <c r="N10" i="43"/>
  <c r="M1" i="43"/>
  <c r="M8" i="43"/>
  <c r="N8" i="43"/>
  <c r="N9" i="43"/>
  <c r="D120" i="9"/>
  <c r="C18" i="9"/>
  <c r="D18" i="9"/>
  <c r="F34" i="67"/>
  <c r="F62" i="67"/>
  <c r="M20" i="67"/>
  <c r="F34" i="15"/>
  <c r="F62" i="15" s="1"/>
  <c r="G13" i="3"/>
  <c r="G5" i="3"/>
  <c r="B3" i="3" s="1"/>
  <c r="E114" i="3" s="1"/>
  <c r="BA13" i="3"/>
  <c r="E10" i="6"/>
  <c r="BA5" i="3"/>
  <c r="E11" i="6"/>
  <c r="E61" i="39" s="1"/>
  <c r="BL17" i="3"/>
  <c r="AZ17" i="3"/>
  <c r="BL13" i="3"/>
  <c r="J56" i="9"/>
  <c r="J57" i="9"/>
  <c r="A24" i="51"/>
  <c r="B18" i="72" s="1"/>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C52" i="37"/>
  <c r="D52" i="37"/>
  <c r="E52" i="37" s="1"/>
  <c r="A4" i="51"/>
  <c r="B6" i="72"/>
  <c r="C48" i="35"/>
  <c r="D48" i="35"/>
  <c r="H62" i="43"/>
  <c r="H66" i="43"/>
  <c r="H61" i="43"/>
  <c r="H65" i="43"/>
  <c r="H60" i="43"/>
  <c r="H64" i="43"/>
  <c r="H59" i="43"/>
  <c r="H63" i="43"/>
  <c r="H67" i="43"/>
  <c r="H55" i="43"/>
  <c r="H51" i="43"/>
  <c r="H56" i="43"/>
  <c r="H76" i="43"/>
  <c r="H72" i="43"/>
  <c r="H77" i="43"/>
  <c r="L20" i="6"/>
  <c r="B6" i="1"/>
  <c r="E6"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B11" i="39"/>
  <c r="U11"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J33" i="21"/>
  <c r="AC33" i="21" s="1"/>
  <c r="AA26" i="21"/>
  <c r="AB14" i="21"/>
  <c r="AB46" i="21"/>
  <c r="U40" i="21"/>
  <c r="AB31" i="21"/>
  <c r="U31" i="21"/>
  <c r="U13" i="21"/>
  <c r="AB13" i="21"/>
  <c r="W8" i="21"/>
  <c r="AC14" i="21"/>
  <c r="W30" i="21"/>
  <c r="S46" i="21"/>
  <c r="H45" i="21"/>
  <c r="U45" i="21" s="1"/>
  <c r="F29" i="21"/>
  <c r="S29" i="21" s="1"/>
  <c r="F13" i="21"/>
  <c r="AA13" i="21"/>
  <c r="AC38" i="21"/>
  <c r="H32" i="21"/>
  <c r="AB32" i="21" s="1"/>
  <c r="H9" i="21"/>
  <c r="J9" i="21"/>
  <c r="W9" i="21" s="1"/>
  <c r="J32" i="21"/>
  <c r="F32" i="21"/>
  <c r="S32" i="21" s="1"/>
  <c r="AA31" i="21"/>
  <c r="S19" i="21"/>
  <c r="S9" i="21"/>
  <c r="AA9" i="21"/>
  <c r="K141" i="21"/>
  <c r="K144" i="21"/>
  <c r="K143" i="21"/>
  <c r="U27" i="21"/>
  <c r="AB25" i="21"/>
  <c r="AB44" i="21"/>
  <c r="AA30" i="21"/>
  <c r="W13" i="21"/>
  <c r="AC45" i="21"/>
  <c r="K145" i="21"/>
  <c r="W25" i="21"/>
  <c r="W31" i="21"/>
  <c r="S27" i="21"/>
  <c r="AC26" i="21"/>
  <c r="AB29" i="21"/>
  <c r="S28" i="21"/>
  <c r="AC34" i="21"/>
  <c r="W12" i="21"/>
  <c r="W30" i="40"/>
  <c r="C19" i="39"/>
  <c r="C15" i="40"/>
  <c r="C17" i="40"/>
  <c r="C23" i="40"/>
  <c r="C21" i="40"/>
  <c r="U30" i="40"/>
  <c r="B54" i="43"/>
  <c r="B65" i="43"/>
  <c r="B49" i="43"/>
  <c r="B52" i="43"/>
  <c r="B56" i="43"/>
  <c r="B60" i="43"/>
  <c r="B63" i="43"/>
  <c r="B67" i="43"/>
  <c r="D23" i="15"/>
  <c r="D22" i="15"/>
  <c r="AZ13" i="3"/>
  <c r="M6" i="1"/>
  <c r="F52" i="9"/>
  <c r="T11" i="1"/>
  <c r="AQ9" i="1"/>
  <c r="AR11" i="1"/>
  <c r="K15" i="1"/>
  <c r="T9" i="1"/>
  <c r="T13" i="1"/>
  <c r="E261" i="3"/>
  <c r="E304" i="3"/>
  <c r="E528" i="3"/>
  <c r="E565" i="3"/>
  <c r="E183" i="3"/>
  <c r="E213" i="3"/>
  <c r="E361" i="3"/>
  <c r="E17" i="3"/>
  <c r="E503" i="3"/>
  <c r="E302" i="3"/>
  <c r="C24" i="12"/>
  <c r="AA39" i="40"/>
  <c r="S39" i="40"/>
  <c r="S12" i="33"/>
  <c r="AA12" i="33"/>
  <c r="J32" i="39"/>
  <c r="H32" i="39"/>
  <c r="U32" i="39" s="1"/>
  <c r="S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F85" i="21"/>
  <c r="G85" i="21" s="1"/>
  <c r="H23" i="21"/>
  <c r="U23" i="21" s="1"/>
  <c r="S13" i="21"/>
  <c r="D6" i="52"/>
  <c r="D121" i="9"/>
  <c r="D7" i="52"/>
  <c r="K120" i="9"/>
  <c r="E239" i="3"/>
  <c r="E509" i="3"/>
  <c r="E516" i="3"/>
  <c r="E579" i="3"/>
  <c r="E569" i="3"/>
  <c r="E431" i="3"/>
  <c r="E396" i="3"/>
  <c r="E247" i="3"/>
  <c r="E229" i="3"/>
  <c r="E201" i="3"/>
  <c r="E97" i="3"/>
  <c r="E151"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48" i="35"/>
  <c r="F48" i="35" s="1"/>
  <c r="E59" i="34"/>
  <c r="F59" i="34"/>
  <c r="L27" i="6"/>
  <c r="AP7" i="1"/>
  <c r="W32" i="21"/>
  <c r="AC32" i="21"/>
  <c r="AB9" i="21"/>
  <c r="U9" i="21"/>
  <c r="A18" i="62"/>
  <c r="B64" i="72" s="1"/>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W23" i="21"/>
  <c r="G59" i="34"/>
  <c r="H59" i="34" s="1"/>
  <c r="I59" i="34" s="1"/>
  <c r="F1" i="67"/>
  <c r="Q52" i="67"/>
  <c r="AC11" i="37"/>
  <c r="W11" i="37"/>
  <c r="W11" i="34"/>
  <c r="AC11" i="34"/>
  <c r="C13" i="12"/>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AO11" i="1"/>
  <c r="F7" i="67"/>
  <c r="F36" i="67"/>
  <c r="F40" i="67"/>
  <c r="C76" i="67"/>
  <c r="M22" i="67"/>
  <c r="F13" i="67"/>
  <c r="E7" i="76"/>
  <c r="AO9" i="1"/>
  <c r="D2" i="37"/>
  <c r="M6" i="67"/>
  <c r="F6" i="15"/>
  <c r="F9" i="15"/>
  <c r="C76" i="80"/>
  <c r="F4" i="73"/>
  <c r="F43" i="67"/>
  <c r="M28" i="80"/>
  <c r="F43" i="15"/>
  <c r="B8" i="76"/>
  <c r="M9" i="80"/>
  <c r="F7" i="80"/>
  <c r="M23" i="67"/>
  <c r="C76" i="15"/>
  <c r="M23" i="15"/>
  <c r="F6" i="73"/>
  <c r="F16" i="67"/>
  <c r="M29" i="67"/>
  <c r="M27" i="67"/>
  <c r="E2" i="69"/>
  <c r="L48" i="15"/>
  <c r="L48" i="67"/>
  <c r="J15" i="15"/>
  <c r="M24" i="15"/>
  <c r="D2" i="21"/>
  <c r="F38" i="80"/>
  <c r="F6" i="67"/>
  <c r="D2" i="33"/>
  <c r="D6" i="73"/>
  <c r="M29" i="80"/>
  <c r="M22" i="15"/>
  <c r="F3" i="73"/>
  <c r="B9" i="76"/>
  <c r="M28" i="67"/>
  <c r="F37" i="15"/>
  <c r="F40" i="15"/>
  <c r="B10" i="76"/>
  <c r="M8" i="67"/>
  <c r="E9" i="76"/>
  <c r="F7" i="15"/>
  <c r="AO8" i="1"/>
  <c r="F40" i="80"/>
  <c r="F13" i="15"/>
  <c r="M8" i="80"/>
  <c r="F9" i="80"/>
  <c r="F43" i="80"/>
  <c r="E12" i="76"/>
  <c r="D7" i="73"/>
  <c r="M26" i="15"/>
  <c r="F8" i="67"/>
  <c r="D3" i="73"/>
  <c r="M6" i="15"/>
  <c r="M23" i="80"/>
  <c r="AO12" i="1"/>
  <c r="M9" i="67"/>
  <c r="L47" i="67"/>
  <c r="F42" i="15"/>
  <c r="F37" i="80"/>
  <c r="AO10" i="1"/>
  <c r="F37" i="67"/>
  <c r="F20" i="31"/>
  <c r="F8" i="80"/>
  <c r="F38" i="15"/>
  <c r="M29" i="15"/>
  <c r="B7" i="76"/>
  <c r="L48" i="80"/>
  <c r="M27" i="15"/>
  <c r="D2" i="34"/>
  <c r="F6" i="80"/>
  <c r="E11" i="76"/>
  <c r="AO13" i="1"/>
  <c r="F26" i="15"/>
  <c r="M9" i="15"/>
  <c r="F9" i="67"/>
  <c r="F36" i="15"/>
  <c r="L47" i="80"/>
  <c r="M22" i="80"/>
  <c r="F16" i="15"/>
  <c r="F42" i="67"/>
  <c r="M24" i="80"/>
  <c r="M28" i="15"/>
  <c r="M26" i="67"/>
  <c r="F8" i="15"/>
  <c r="F5" i="73"/>
  <c r="D2" i="36"/>
  <c r="J15" i="67"/>
  <c r="F16" i="80"/>
  <c r="B11" i="76"/>
  <c r="J15" i="80"/>
  <c r="D4" i="73"/>
  <c r="F38" i="67"/>
  <c r="F26" i="67"/>
  <c r="F7" i="73"/>
  <c r="D2" i="35"/>
  <c r="F26" i="80"/>
  <c r="L47" i="15"/>
  <c r="B13" i="76"/>
  <c r="E8" i="76"/>
  <c r="E2" i="68"/>
  <c r="F36" i="80"/>
  <c r="M26" i="80"/>
  <c r="E10" i="76"/>
  <c r="B12" i="76"/>
  <c r="M8" i="15"/>
  <c r="M24" i="67"/>
  <c r="F42" i="80"/>
  <c r="F13" i="80"/>
  <c r="D5" i="73"/>
  <c r="M6" i="80"/>
  <c r="M27" i="80"/>
  <c r="E13" i="76"/>
  <c r="AC25" i="39" l="1"/>
  <c r="D23" i="67"/>
  <c r="AC11" i="39"/>
  <c r="D22" i="67"/>
  <c r="W33" i="21"/>
  <c r="H33" i="21"/>
  <c r="AB33" i="21" s="1"/>
  <c r="L56" i="80"/>
  <c r="I54" i="80"/>
  <c r="J59" i="80"/>
  <c r="L60" i="80"/>
  <c r="L57" i="80"/>
  <c r="J60" i="80"/>
  <c r="Q48" i="80" s="1"/>
  <c r="J57" i="80"/>
  <c r="J55" i="80" s="1"/>
  <c r="J58" i="80" s="1"/>
  <c r="Q50" i="80" s="1"/>
  <c r="L46" i="80"/>
  <c r="F64" i="80"/>
  <c r="C6" i="80"/>
  <c r="F51" i="80"/>
  <c r="F50" i="80"/>
  <c r="M7" i="80"/>
  <c r="F71" i="80"/>
  <c r="J6" i="80"/>
  <c r="C27" i="80"/>
  <c r="F68" i="80"/>
  <c r="F66" i="80"/>
  <c r="Q71" i="80"/>
  <c r="F65" i="80"/>
  <c r="N59" i="80"/>
  <c r="L58" i="80"/>
  <c r="O6" i="1"/>
  <c r="P6" i="1" s="1"/>
  <c r="S38" i="39"/>
  <c r="AB45" i="21"/>
  <c r="AA43" i="21"/>
  <c r="W42" i="21"/>
  <c r="S42" i="21"/>
  <c r="J39" i="21"/>
  <c r="F39" i="21"/>
  <c r="H39" i="21"/>
  <c r="U39" i="21" s="1"/>
  <c r="F117" i="21"/>
  <c r="G117" i="21" s="1"/>
  <c r="AA38" i="21"/>
  <c r="H37" i="21"/>
  <c r="U37" i="21" s="1"/>
  <c r="F37" i="21"/>
  <c r="AA37" i="21" s="1"/>
  <c r="J37" i="21"/>
  <c r="W37" i="21" s="1"/>
  <c r="H113" i="21"/>
  <c r="AB36" i="21"/>
  <c r="AC37" i="21"/>
  <c r="AB37" i="21"/>
  <c r="AB39" i="21"/>
  <c r="AB38" i="21"/>
  <c r="AA36" i="21"/>
  <c r="W36" i="21"/>
  <c r="S34" i="21"/>
  <c r="S35" i="21"/>
  <c r="U34" i="21"/>
  <c r="U33" i="21"/>
  <c r="S33" i="21"/>
  <c r="U32" i="21"/>
  <c r="AA32" i="21"/>
  <c r="W27" i="21"/>
  <c r="AC27" i="21"/>
  <c r="AC29" i="21"/>
  <c r="W29" i="21"/>
  <c r="AA29" i="21"/>
  <c r="AA25" i="21"/>
  <c r="AB23" i="21"/>
  <c r="AA23" i="21"/>
  <c r="S21" i="21"/>
  <c r="AB19" i="21"/>
  <c r="U19" i="21"/>
  <c r="AC19" i="21"/>
  <c r="F79" i="21"/>
  <c r="G79" i="21" s="1"/>
  <c r="F17" i="21"/>
  <c r="J17" i="21"/>
  <c r="H17" i="21"/>
  <c r="F77" i="21"/>
  <c r="G77" i="21" s="1"/>
  <c r="J15" i="21"/>
  <c r="W15" i="21" s="1"/>
  <c r="H15" i="21"/>
  <c r="U15" i="21" s="1"/>
  <c r="F15" i="21"/>
  <c r="AB15" i="21"/>
  <c r="H10" i="21"/>
  <c r="AB10" i="21" s="1"/>
  <c r="F10" i="21"/>
  <c r="G66" i="21"/>
  <c r="H66" i="21" s="1"/>
  <c r="I66" i="21" s="1"/>
  <c r="J10" i="21"/>
  <c r="AC10" i="21" s="1"/>
  <c r="AC9" i="21"/>
  <c r="F41" i="39"/>
  <c r="S41" i="39" s="1"/>
  <c r="J41" i="39"/>
  <c r="F124" i="39"/>
  <c r="G124" i="39" s="1"/>
  <c r="H124" i="39" s="1"/>
  <c r="I124" i="39" s="1"/>
  <c r="J124" i="39" s="1"/>
  <c r="K124" i="39" s="1"/>
  <c r="L124" i="39" s="1"/>
  <c r="M124" i="39" s="1"/>
  <c r="H41" i="39"/>
  <c r="AA41" i="39"/>
  <c r="U40" i="39"/>
  <c r="S40" i="39"/>
  <c r="W40" i="39"/>
  <c r="F29" i="39"/>
  <c r="AA29" i="39" s="1"/>
  <c r="H29" i="39"/>
  <c r="AB29" i="39" s="1"/>
  <c r="J29" i="39"/>
  <c r="AC29" i="39" s="1"/>
  <c r="F103" i="39"/>
  <c r="G103" i="39" s="1"/>
  <c r="W29" i="39"/>
  <c r="U29" i="39"/>
  <c r="S29" i="39"/>
  <c r="AA21" i="39"/>
  <c r="S15" i="39"/>
  <c r="AB27" i="39"/>
  <c r="AC27" i="39"/>
  <c r="U25" i="39"/>
  <c r="AB23" i="39"/>
  <c r="AB21" i="39"/>
  <c r="F19" i="39"/>
  <c r="G93" i="39"/>
  <c r="H19" i="39"/>
  <c r="J19" i="39"/>
  <c r="AC19" i="39" s="1"/>
  <c r="W19" i="39"/>
  <c r="F91" i="39"/>
  <c r="G91" i="39" s="1"/>
  <c r="H17" i="39"/>
  <c r="J17" i="39"/>
  <c r="F17" i="39"/>
  <c r="AA17" i="39" s="1"/>
  <c r="D5" i="43"/>
  <c r="C5" i="43"/>
  <c r="C65" i="40"/>
  <c r="D63" i="40"/>
  <c r="F31" i="15"/>
  <c r="S11" i="39"/>
  <c r="U9" i="39"/>
  <c r="C36" i="69"/>
  <c r="Q16" i="1"/>
  <c r="F27" i="69" s="1"/>
  <c r="C29" i="69" s="1"/>
  <c r="D27" i="69" s="1"/>
  <c r="C94" i="9"/>
  <c r="C92" i="9"/>
  <c r="F28" i="15"/>
  <c r="C28" i="15" s="1"/>
  <c r="D68" i="9"/>
  <c r="M18" i="67"/>
  <c r="F54" i="9"/>
  <c r="M18" i="15"/>
  <c r="F32" i="15"/>
  <c r="F60" i="15" s="1"/>
  <c r="F30" i="69"/>
  <c r="F32" i="67"/>
  <c r="F60" i="67" s="1"/>
  <c r="F31" i="12"/>
  <c r="F28" i="67"/>
  <c r="C28" i="67" s="1"/>
  <c r="F30" i="11"/>
  <c r="F30" i="68"/>
  <c r="C40" i="69"/>
  <c r="M7" i="1"/>
  <c r="O7" i="1" s="1"/>
  <c r="P7" i="1" s="1"/>
  <c r="H16" i="1"/>
  <c r="AZ15" i="3"/>
  <c r="G30" i="6"/>
  <c r="G31" i="6" s="1"/>
  <c r="E28" i="6"/>
  <c r="D19" i="12"/>
  <c r="C19" i="12" s="1"/>
  <c r="D9" i="68"/>
  <c r="C9" i="68" s="1"/>
  <c r="D9" i="69"/>
  <c r="C9" i="69" s="1"/>
  <c r="AZ5" i="3"/>
  <c r="E143" i="3"/>
  <c r="E285" i="3"/>
  <c r="E337" i="3"/>
  <c r="E359" i="3"/>
  <c r="E410" i="3"/>
  <c r="E574" i="3"/>
  <c r="E555" i="3"/>
  <c r="O6" i="3"/>
  <c r="E388" i="3"/>
  <c r="E535" i="3"/>
  <c r="E550" i="3"/>
  <c r="E445" i="3"/>
  <c r="E260" i="3"/>
  <c r="E172" i="3"/>
  <c r="E395" i="3"/>
  <c r="E563" i="3"/>
  <c r="E415" i="3"/>
  <c r="E278" i="3"/>
  <c r="E59" i="40"/>
  <c r="E13" i="6"/>
  <c r="E15" i="6"/>
  <c r="E12" i="6"/>
  <c r="F27" i="6"/>
  <c r="F31" i="6" s="1"/>
  <c r="E56" i="39"/>
  <c r="E51" i="40"/>
  <c r="AT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69" i="3"/>
  <c r="E237" i="3"/>
  <c r="O9" i="1"/>
  <c r="P9" i="1" s="1"/>
  <c r="O12" i="1"/>
  <c r="P12" i="1" s="1"/>
  <c r="O8" i="1"/>
  <c r="P8" i="1" s="1"/>
  <c r="AQ13"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G16" i="1"/>
  <c r="F10" i="40" s="1"/>
  <c r="D12" i="52"/>
  <c r="D127" i="9"/>
  <c r="D13" i="52" s="1"/>
  <c r="G52" i="33"/>
  <c r="H52" i="33" s="1"/>
  <c r="E48" i="33"/>
  <c r="R49" i="33"/>
  <c r="C70" i="39"/>
  <c r="D68" i="39"/>
  <c r="U7" i="33"/>
  <c r="AC7" i="33"/>
  <c r="V48" i="33" s="1"/>
  <c r="I48" i="33" s="1"/>
  <c r="G53" i="33" s="1"/>
  <c r="H53" i="33" s="1"/>
  <c r="J59" i="34"/>
  <c r="K59" i="34" s="1"/>
  <c r="L59" i="34" s="1"/>
  <c r="M59" i="34" s="1"/>
  <c r="N59" i="34" s="1"/>
  <c r="O59" i="34" s="1"/>
  <c r="F7" i="34"/>
  <c r="J7" i="34"/>
  <c r="H7" i="34"/>
  <c r="G48" i="35"/>
  <c r="H48" i="35" s="1"/>
  <c r="I48" i="35" s="1"/>
  <c r="J48" i="35" s="1"/>
  <c r="K48" i="35" s="1"/>
  <c r="L48" i="35" s="1"/>
  <c r="M48" i="35" s="1"/>
  <c r="N48" i="35" s="1"/>
  <c r="O48" i="35" s="1"/>
  <c r="H7" i="35"/>
  <c r="F7" i="35"/>
  <c r="J7" i="35"/>
  <c r="F52" i="37"/>
  <c r="G52" i="37" s="1"/>
  <c r="H52" i="37" s="1"/>
  <c r="I52" i="37" s="1"/>
  <c r="J52" i="37" s="1"/>
  <c r="K52" i="37" s="1"/>
  <c r="L52" i="37" s="1"/>
  <c r="M52" i="37" s="1"/>
  <c r="N52" i="37" s="1"/>
  <c r="O52" i="37" s="1"/>
  <c r="J7" i="37"/>
  <c r="H7" i="37"/>
  <c r="F7" i="37"/>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F6" i="71"/>
  <c r="F5" i="71" s="1"/>
  <c r="Y5" i="71"/>
  <c r="Z5" i="71" s="1"/>
  <c r="B7" i="49"/>
  <c r="E7" i="49"/>
  <c r="B15" i="49"/>
  <c r="AB3" i="71"/>
  <c r="X3" i="71"/>
  <c r="C6" i="71"/>
  <c r="E6" i="71"/>
  <c r="E5" i="71" s="1"/>
  <c r="E10" i="49"/>
  <c r="B6" i="49"/>
  <c r="E14" i="49"/>
  <c r="AF3" i="71"/>
  <c r="P24" i="43" s="1"/>
  <c r="B66" i="40" s="1"/>
  <c r="P23" i="43"/>
  <c r="B71" i="39" s="1"/>
  <c r="P21" i="43"/>
  <c r="P22" i="43"/>
  <c r="B13" i="49"/>
  <c r="B4" i="49"/>
  <c r="B9" i="49"/>
  <c r="C4" i="4" s="1"/>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N59" i="67"/>
  <c r="L58" i="67"/>
  <c r="F68" i="15"/>
  <c r="N59" i="15"/>
  <c r="L58" i="15"/>
  <c r="F65" i="15"/>
  <c r="C6" i="15"/>
  <c r="Q71" i="67"/>
  <c r="B13" i="70"/>
  <c r="E20" i="43"/>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67"/>
  <c r="M17" i="15"/>
  <c r="F59" i="67"/>
  <c r="F59" i="15"/>
  <c r="C16" i="15"/>
  <c r="C16" i="80"/>
  <c r="C16" i="67"/>
  <c r="G1" i="73"/>
  <c r="C17" i="80"/>
  <c r="Q73" i="80" l="1"/>
  <c r="Q60" i="80"/>
  <c r="C49" i="80"/>
  <c r="Q66" i="80"/>
  <c r="Q57" i="80"/>
  <c r="AA39" i="21"/>
  <c r="S39" i="21"/>
  <c r="AC39" i="21"/>
  <c r="W39" i="21"/>
  <c r="S37" i="21"/>
  <c r="AB17" i="21"/>
  <c r="U17" i="21"/>
  <c r="AA17" i="21"/>
  <c r="S17" i="21"/>
  <c r="W17" i="21"/>
  <c r="AC17" i="21"/>
  <c r="S15" i="21"/>
  <c r="AA15" i="21"/>
  <c r="AC15" i="21"/>
  <c r="W10" i="21"/>
  <c r="U10" i="21"/>
  <c r="S10" i="21"/>
  <c r="AA10" i="21"/>
  <c r="AB41" i="39"/>
  <c r="U41" i="39"/>
  <c r="W41" i="39"/>
  <c r="AC41" i="39"/>
  <c r="AB19" i="39"/>
  <c r="U19" i="39"/>
  <c r="AA19" i="39"/>
  <c r="S19" i="39"/>
  <c r="AB17" i="39"/>
  <c r="U17" i="39"/>
  <c r="S17" i="39"/>
  <c r="AC17" i="39"/>
  <c r="W17" i="39"/>
  <c r="F11" i="80"/>
  <c r="M11" i="80"/>
  <c r="J10" i="80" s="1"/>
  <c r="J5" i="80" s="1"/>
  <c r="K4" i="4"/>
  <c r="B46" i="48" s="1"/>
  <c r="B4" i="72" s="1"/>
  <c r="B4" i="62"/>
  <c r="B71" i="72" s="1"/>
  <c r="D65" i="40"/>
  <c r="E63" i="40"/>
  <c r="F28" i="12"/>
  <c r="F27" i="68"/>
  <c r="F27" i="11"/>
  <c r="C47" i="11" s="1"/>
  <c r="D45" i="11" s="1"/>
  <c r="C47" i="69"/>
  <c r="D45" i="69" s="1"/>
  <c r="C30" i="11"/>
  <c r="C48" i="11"/>
  <c r="C48" i="69"/>
  <c r="C30" i="69"/>
  <c r="C30" i="68"/>
  <c r="C48" i="68"/>
  <c r="E27" i="6"/>
  <c r="K24" i="6" s="1"/>
  <c r="M24" i="6" s="1"/>
  <c r="I24" i="6" s="1"/>
  <c r="S24" i="6" s="1"/>
  <c r="E30" i="6"/>
  <c r="K14" i="1"/>
  <c r="E16" i="6"/>
  <c r="AY6" i="3"/>
  <c r="E3" i="6"/>
  <c r="E58" i="40"/>
  <c r="E63" i="39"/>
  <c r="E60" i="40"/>
  <c r="E65" i="39"/>
  <c r="H6" i="3"/>
  <c r="AC6" i="3"/>
  <c r="E57" i="40"/>
  <c r="E62" i="39"/>
  <c r="H102" i="43"/>
  <c r="H103" i="43"/>
  <c r="H104" i="43"/>
  <c r="H109" i="43"/>
  <c r="H106" i="43"/>
  <c r="H107" i="43"/>
  <c r="H105"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N103" i="43"/>
  <c r="N106" i="43"/>
  <c r="N107" i="43"/>
  <c r="N102" i="43"/>
  <c r="N105" i="43"/>
  <c r="N104" i="43"/>
  <c r="N109" i="43"/>
  <c r="K107" i="43"/>
  <c r="K104" i="43"/>
  <c r="K106" i="43"/>
  <c r="K103" i="43"/>
  <c r="K102" i="43"/>
  <c r="K105" i="43"/>
  <c r="K109" i="43"/>
  <c r="C104" i="43"/>
  <c r="C106" i="43"/>
  <c r="C105" i="43"/>
  <c r="C102" i="43"/>
  <c r="C109" i="43"/>
  <c r="C107" i="43"/>
  <c r="C103" i="43"/>
  <c r="E102" i="43"/>
  <c r="E106" i="43"/>
  <c r="E103" i="43"/>
  <c r="E107" i="43"/>
  <c r="E104" i="43"/>
  <c r="E105" i="43"/>
  <c r="E109" i="43"/>
  <c r="M109" i="43"/>
  <c r="M102" i="43"/>
  <c r="M106" i="43"/>
  <c r="M103" i="43"/>
  <c r="M104" i="43"/>
  <c r="M105" i="43"/>
  <c r="M107"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2" i="43"/>
  <c r="I107" i="43"/>
  <c r="I105" i="43"/>
  <c r="I106" i="43"/>
  <c r="I103" i="43"/>
  <c r="D109" i="43"/>
  <c r="D105" i="43"/>
  <c r="D106" i="43"/>
  <c r="D102" i="43"/>
  <c r="D103" i="43"/>
  <c r="D104" i="43"/>
  <c r="D107" i="43"/>
  <c r="D22" i="43"/>
  <c r="F107" i="43"/>
  <c r="F106" i="43"/>
  <c r="F103" i="43"/>
  <c r="F104" i="43"/>
  <c r="F102" i="43"/>
  <c r="F105" i="43"/>
  <c r="F109" i="43"/>
  <c r="F10" i="39"/>
  <c r="S10" i="39" s="1"/>
  <c r="H10" i="39"/>
  <c r="U10" i="39" s="1"/>
  <c r="J10" i="39"/>
  <c r="W10" i="39" s="1"/>
  <c r="J10" i="40"/>
  <c r="AC10" i="40" s="1"/>
  <c r="H10" i="40"/>
  <c r="AB10" i="40" s="1"/>
  <c r="AB7" i="21"/>
  <c r="U7" i="21"/>
  <c r="S7" i="36"/>
  <c r="AA7" i="36"/>
  <c r="R36" i="36" s="1"/>
  <c r="U7" i="37"/>
  <c r="AB7" i="37"/>
  <c r="T42" i="37" s="1"/>
  <c r="G42" i="37" s="1"/>
  <c r="AA7" i="35"/>
  <c r="R38" i="35" s="1"/>
  <c r="S7" i="35"/>
  <c r="W7" i="34"/>
  <c r="AC7" i="34"/>
  <c r="V49" i="34" s="1"/>
  <c r="I49" i="34" s="1"/>
  <c r="AA10" i="40"/>
  <c r="S10" i="40"/>
  <c r="C49" i="33"/>
  <c r="C48" i="33"/>
  <c r="S7" i="21"/>
  <c r="AA7" i="21"/>
  <c r="R48" i="21" s="1"/>
  <c r="AC7" i="21"/>
  <c r="V48" i="21" s="1"/>
  <c r="I48" i="21" s="1"/>
  <c r="W7" i="21"/>
  <c r="W7" i="36"/>
  <c r="AC7" i="36"/>
  <c r="V36" i="36" s="1"/>
  <c r="I36" i="36" s="1"/>
  <c r="AB7" i="36"/>
  <c r="T36" i="36" s="1"/>
  <c r="G36" i="36" s="1"/>
  <c r="U7" i="36"/>
  <c r="S7" i="37"/>
  <c r="AA7" i="37"/>
  <c r="R42" i="37" s="1"/>
  <c r="W7" i="37"/>
  <c r="AC7" i="37"/>
  <c r="V42" i="37" s="1"/>
  <c r="I42" i="37" s="1"/>
  <c r="AC7" i="35"/>
  <c r="V38" i="35" s="1"/>
  <c r="I38" i="35" s="1"/>
  <c r="W7" i="35"/>
  <c r="AB7" i="35"/>
  <c r="T38" i="35" s="1"/>
  <c r="G38" i="35" s="1"/>
  <c r="U7" i="35"/>
  <c r="AB7" i="34"/>
  <c r="T49" i="34" s="1"/>
  <c r="G49" i="34" s="1"/>
  <c r="U7" i="34"/>
  <c r="S7" i="34"/>
  <c r="AA7" i="34"/>
  <c r="R49" i="34" s="1"/>
  <c r="I52" i="33"/>
  <c r="J52" i="33" s="1"/>
  <c r="I53" i="33"/>
  <c r="J53" i="33" s="1"/>
  <c r="AB10" i="39"/>
  <c r="E68" i="39"/>
  <c r="D70" i="39"/>
  <c r="E53" i="33"/>
  <c r="F53" i="33" s="1"/>
  <c r="E52" i="33"/>
  <c r="F52" i="33" s="1"/>
  <c r="C5" i="71"/>
  <c r="D6" i="71"/>
  <c r="P25" i="43"/>
  <c r="C49" i="67"/>
  <c r="C49" i="15"/>
  <c r="B40" i="1"/>
  <c r="F24" i="80" s="1"/>
  <c r="M11" i="15"/>
  <c r="J10" i="15" s="1"/>
  <c r="J5" i="15" s="1"/>
  <c r="F11" i="67"/>
  <c r="F11" i="15"/>
  <c r="M11" i="67"/>
  <c r="J10" i="67" s="1"/>
  <c r="J5" i="67" s="1"/>
  <c r="Q73" i="67"/>
  <c r="Q60" i="67"/>
  <c r="P17" i="43"/>
  <c r="M17" i="43"/>
  <c r="N17" i="43"/>
  <c r="O17" i="43"/>
  <c r="Q60" i="15"/>
  <c r="Q73" i="15"/>
  <c r="Q61" i="67"/>
  <c r="Q74" i="67"/>
  <c r="AE7" i="1"/>
  <c r="F41" i="67"/>
  <c r="F69" i="67" l="1"/>
  <c r="T48" i="21"/>
  <c r="G48" i="21" s="1"/>
  <c r="C53" i="80"/>
  <c r="C48" i="80" s="1"/>
  <c r="C10" i="80"/>
  <c r="C5" i="80" s="1"/>
  <c r="C24" i="80"/>
  <c r="J26" i="80"/>
  <c r="J24" i="80"/>
  <c r="J18" i="80"/>
  <c r="F63" i="40"/>
  <c r="E65" i="40"/>
  <c r="C47" i="68"/>
  <c r="D45" i="68" s="1"/>
  <c r="AA10" i="39"/>
  <c r="U10" i="40"/>
  <c r="W10" i="40"/>
  <c r="K21" i="6"/>
  <c r="M21" i="6" s="1"/>
  <c r="I21" i="6" s="1"/>
  <c r="S21" i="6" s="1"/>
  <c r="E31" i="6"/>
  <c r="K23" i="6"/>
  <c r="M23" i="6" s="1"/>
  <c r="I23" i="6" s="1"/>
  <c r="S23" i="6" s="1"/>
  <c r="K19" i="6"/>
  <c r="S6" i="1" s="1"/>
  <c r="K22" i="6"/>
  <c r="M22" i="6" s="1"/>
  <c r="I22" i="6" s="1"/>
  <c r="S22" i="6" s="1"/>
  <c r="K25" i="6"/>
  <c r="M25" i="6" s="1"/>
  <c r="I25" i="6" s="1"/>
  <c r="S25" i="6" s="1"/>
  <c r="K26" i="6"/>
  <c r="M26" i="6" s="1"/>
  <c r="I26" i="6" s="1"/>
  <c r="S26" i="6" s="1"/>
  <c r="K20" i="6"/>
  <c r="S8" i="1" s="1"/>
  <c r="M14" i="1"/>
  <c r="C34" i="69"/>
  <c r="K16" i="1"/>
  <c r="E6" i="3"/>
  <c r="E66" i="39"/>
  <c r="E6" i="6"/>
  <c r="M18" i="9"/>
  <c r="B118" i="9" s="1"/>
  <c r="B14" i="74" s="1"/>
  <c r="B1" i="74" s="1"/>
  <c r="D3" i="34"/>
  <c r="D37" i="11"/>
  <c r="D19" i="11"/>
  <c r="C19" i="11" s="1"/>
  <c r="C20" i="11" s="1"/>
  <c r="D3" i="37"/>
  <c r="C17" i="4"/>
  <c r="B4" i="52" s="1"/>
  <c r="B43" i="72" s="1"/>
  <c r="D3" i="21"/>
  <c r="L18" i="9"/>
  <c r="D14" i="12"/>
  <c r="D3" i="33"/>
  <c r="B2" i="33" s="1"/>
  <c r="B3" i="3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24" i="3"/>
  <c r="AY213" i="3"/>
  <c r="AY391" i="3"/>
  <c r="AY367" i="3"/>
  <c r="AY354" i="3"/>
  <c r="AY323" i="3"/>
  <c r="AY338" i="3"/>
  <c r="AY306" i="3"/>
  <c r="AY490" i="3"/>
  <c r="AY459" i="3"/>
  <c r="AY448" i="3"/>
  <c r="AY416" i="3"/>
  <c r="AY429" i="3"/>
  <c r="AY550" i="3"/>
  <c r="BD6" i="3"/>
  <c r="BC6" i="3"/>
  <c r="AY511" i="3"/>
  <c r="AY504" i="3"/>
  <c r="AY586" i="3"/>
  <c r="AY498"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C10" i="39"/>
  <c r="S3" i="43"/>
  <c r="S5" i="43"/>
  <c r="S4" i="43"/>
  <c r="S6" i="43"/>
  <c r="S2" i="43"/>
  <c r="C23" i="43"/>
  <c r="C21" i="43" s="1"/>
  <c r="S7" i="43"/>
  <c r="C115" i="43"/>
  <c r="D113" i="43" s="1"/>
  <c r="G42" i="35"/>
  <c r="H42" i="35" s="1"/>
  <c r="G43" i="35"/>
  <c r="H43" i="35" s="1"/>
  <c r="I42" i="35"/>
  <c r="J42" i="35" s="1"/>
  <c r="I52" i="21"/>
  <c r="J52" i="21" s="1"/>
  <c r="R50" i="34"/>
  <c r="E49" i="34"/>
  <c r="I46" i="37"/>
  <c r="J46" i="37" s="1"/>
  <c r="E42" i="37"/>
  <c r="R43" i="37"/>
  <c r="I40" i="36"/>
  <c r="J40" i="36" s="1"/>
  <c r="E48" i="21"/>
  <c r="I53" i="21" s="1"/>
  <c r="J53" i="21" s="1"/>
  <c r="R49" i="21"/>
  <c r="I53" i="34"/>
  <c r="J53" i="34" s="1"/>
  <c r="I54" i="34"/>
  <c r="J54" i="34" s="1"/>
  <c r="G46" i="37"/>
  <c r="H46" i="37" s="1"/>
  <c r="G47" i="37"/>
  <c r="H47" i="37" s="1"/>
  <c r="E36" i="36"/>
  <c r="R37" i="36"/>
  <c r="F68" i="39"/>
  <c r="E70" i="39"/>
  <c r="G53" i="34"/>
  <c r="H53" i="34" s="1"/>
  <c r="G54" i="34"/>
  <c r="H54" i="34" s="1"/>
  <c r="G40" i="36"/>
  <c r="H40" i="36" s="1"/>
  <c r="G41" i="36"/>
  <c r="H41" i="36" s="1"/>
  <c r="E38" i="35"/>
  <c r="R39" i="35"/>
  <c r="G52" i="21"/>
  <c r="H52" i="21" s="1"/>
  <c r="G53" i="21"/>
  <c r="H53" i="21" s="1"/>
  <c r="D5" i="71"/>
  <c r="M20" i="43" s="1"/>
  <c r="C19" i="43"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80"/>
  <c r="E6" i="70" l="1"/>
  <c r="F69" i="80"/>
  <c r="J29" i="80"/>
  <c r="C38" i="80"/>
  <c r="C32" i="80"/>
  <c r="C33" i="80"/>
  <c r="C66" i="80"/>
  <c r="C60" i="80"/>
  <c r="G63" i="40"/>
  <c r="F65" i="40"/>
  <c r="M19" i="6"/>
  <c r="K27" i="6"/>
  <c r="AR8" i="1"/>
  <c r="AQ8" i="1"/>
  <c r="T8" i="1"/>
  <c r="M20" i="6"/>
  <c r="I20" i="6" s="1"/>
  <c r="S20" i="6" s="1"/>
  <c r="S7" i="1"/>
  <c r="T6" i="1"/>
  <c r="AR6" i="1"/>
  <c r="AQ6" i="1"/>
  <c r="C38" i="69"/>
  <c r="C35" i="69"/>
  <c r="O14" i="1"/>
  <c r="M16" i="1"/>
  <c r="N16" i="1" s="1"/>
  <c r="I19" i="6"/>
  <c r="H19" i="6" s="1"/>
  <c r="D17" i="12"/>
  <c r="C17" i="12" s="1"/>
  <c r="C8" i="74"/>
  <c r="C7" i="74"/>
  <c r="D25" i="6"/>
  <c r="M19" i="9"/>
  <c r="C118" i="9" s="1"/>
  <c r="C14" i="74" s="1"/>
  <c r="B2" i="74" s="1"/>
  <c r="D26" i="6"/>
  <c r="D8" i="6"/>
  <c r="D14" i="6"/>
  <c r="D6" i="6"/>
  <c r="D19" i="6"/>
  <c r="C18" i="4"/>
  <c r="D23" i="6"/>
  <c r="D10" i="6"/>
  <c r="D29" i="6"/>
  <c r="L19" i="9"/>
  <c r="E61" i="40"/>
  <c r="D9" i="6"/>
  <c r="D20" i="6"/>
  <c r="D21" i="6"/>
  <c r="H23" i="6"/>
  <c r="R23" i="6" s="1"/>
  <c r="H24" i="6"/>
  <c r="D28" i="6"/>
  <c r="D30" i="6" s="1"/>
  <c r="D5" i="6"/>
  <c r="D24" i="6"/>
  <c r="D22" i="6"/>
  <c r="H22" i="6"/>
  <c r="H25" i="6"/>
  <c r="R25" i="6" s="1"/>
  <c r="H26" i="6"/>
  <c r="H21" i="6"/>
  <c r="D11" i="6"/>
  <c r="D13" i="6"/>
  <c r="D12" i="6"/>
  <c r="D15" i="6"/>
  <c r="D10" i="68"/>
  <c r="D10" i="11"/>
  <c r="C10" i="11" s="1"/>
  <c r="D10" i="69"/>
  <c r="D20" i="12"/>
  <c r="C20" i="12" s="1"/>
  <c r="E43" i="35"/>
  <c r="F43" i="35" s="1"/>
  <c r="E42" i="35"/>
  <c r="F42" i="35" s="1"/>
  <c r="C36" i="36"/>
  <c r="C37" i="36"/>
  <c r="B2" i="36" s="1"/>
  <c r="B3" i="36" s="1"/>
  <c r="C48" i="21"/>
  <c r="C49" i="21"/>
  <c r="B2" i="21" s="1"/>
  <c r="C42" i="37"/>
  <c r="C43" i="37"/>
  <c r="B2" i="37" s="1"/>
  <c r="B3" i="37" s="1"/>
  <c r="E54" i="34"/>
  <c r="F54" i="34" s="1"/>
  <c r="E53" i="34"/>
  <c r="F53" i="34" s="1"/>
  <c r="I43" i="35"/>
  <c r="J43" i="35" s="1"/>
  <c r="C38" i="35"/>
  <c r="C39" i="35"/>
  <c r="B2" i="35" s="1"/>
  <c r="B3" i="35" s="1"/>
  <c r="G68" i="39"/>
  <c r="F70" i="39"/>
  <c r="E40" i="36"/>
  <c r="F40" i="36" s="1"/>
  <c r="E41" i="36"/>
  <c r="F41" i="36" s="1"/>
  <c r="E52" i="21"/>
  <c r="F52" i="21" s="1"/>
  <c r="E53" i="21"/>
  <c r="F53" i="21" s="1"/>
  <c r="I41" i="36"/>
  <c r="J41" i="36" s="1"/>
  <c r="E47" i="37"/>
  <c r="F47" i="37" s="1"/>
  <c r="E46" i="37"/>
  <c r="F46" i="37" s="1"/>
  <c r="I47" i="37"/>
  <c r="J47" i="37" s="1"/>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44" i="68"/>
  <c r="D41" i="68" s="1"/>
  <c r="C38" i="15"/>
  <c r="C32" i="15"/>
  <c r="C44" i="11"/>
  <c r="D41" i="11" s="1"/>
  <c r="C66" i="15"/>
  <c r="C60" i="15"/>
  <c r="C60" i="67"/>
  <c r="C66" i="67"/>
  <c r="C44" i="69"/>
  <c r="D41" i="69" s="1"/>
  <c r="C26" i="69"/>
  <c r="D22" i="69" s="1"/>
  <c r="C38" i="67"/>
  <c r="C32" i="67"/>
  <c r="C14" i="67"/>
  <c r="C14" i="80"/>
  <c r="C17" i="15"/>
  <c r="C17" i="67"/>
  <c r="B24" i="1" l="1"/>
  <c r="F11" i="12" s="1"/>
  <c r="B23" i="1"/>
  <c r="C29" i="11"/>
  <c r="D27" i="11" s="1"/>
  <c r="C29" i="68"/>
  <c r="D27" i="68" s="1"/>
  <c r="C28" i="11"/>
  <c r="C27" i="11" s="1"/>
  <c r="C24" i="11"/>
  <c r="B3" i="21"/>
  <c r="D8" i="12"/>
  <c r="C18" i="67"/>
  <c r="C15" i="67"/>
  <c r="S16" i="1"/>
  <c r="E7" i="70"/>
  <c r="E2" i="70" s="1"/>
  <c r="C15" i="80"/>
  <c r="C18" i="80"/>
  <c r="H63" i="40"/>
  <c r="G65" i="40"/>
  <c r="M27" i="6"/>
  <c r="H20" i="6"/>
  <c r="R20" i="6" s="1"/>
  <c r="AR7" i="1"/>
  <c r="AQ7" i="1"/>
  <c r="T7" i="1"/>
  <c r="D16" i="6"/>
  <c r="R21" i="6"/>
  <c r="S19" i="6"/>
  <c r="S27" i="6" s="1"/>
  <c r="I27" i="6"/>
  <c r="L16" i="1"/>
  <c r="P14" i="1"/>
  <c r="P16" i="1" s="1"/>
  <c r="C11" i="12" s="1"/>
  <c r="O16" i="1"/>
  <c r="R26" i="6"/>
  <c r="R22" i="6"/>
  <c r="R24" i="6"/>
  <c r="C4" i="52"/>
  <c r="B45" i="72" s="1"/>
  <c r="A7" i="51"/>
  <c r="B7" i="72" s="1"/>
  <c r="A10" i="51"/>
  <c r="B9" i="72" s="1"/>
  <c r="D8" i="74"/>
  <c r="D7" i="74"/>
  <c r="C10" i="69"/>
  <c r="C8" i="69" s="1"/>
  <c r="C5" i="69" s="1"/>
  <c r="D19" i="69"/>
  <c r="C10" i="68"/>
  <c r="D19" i="68"/>
  <c r="D27" i="6"/>
  <c r="D31" i="6" s="1"/>
  <c r="R19" i="6"/>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14" i="15"/>
  <c r="F50" i="69" l="1"/>
  <c r="F34" i="11"/>
  <c r="F50" i="68"/>
  <c r="F50" i="11"/>
  <c r="F34" i="68"/>
  <c r="C36" i="68" s="1"/>
  <c r="C26" i="68"/>
  <c r="D22" i="68" s="1"/>
  <c r="C23" i="11"/>
  <c r="C26" i="11"/>
  <c r="D22" i="11" s="1"/>
  <c r="C25" i="11"/>
  <c r="J53" i="15"/>
  <c r="M59" i="15"/>
  <c r="L59" i="15" s="1"/>
  <c r="J53" i="80"/>
  <c r="M59" i="80"/>
  <c r="L59" i="80" s="1"/>
  <c r="M59" i="67"/>
  <c r="C29" i="12"/>
  <c r="D28" i="12" s="1"/>
  <c r="C26" i="12"/>
  <c r="D25" i="12" s="1"/>
  <c r="D6" i="12"/>
  <c r="C19" i="67"/>
  <c r="C20" i="67" s="1"/>
  <c r="C26" i="67" s="1"/>
  <c r="C19" i="80"/>
  <c r="C20" i="80" s="1"/>
  <c r="C26" i="80" s="1"/>
  <c r="B29" i="1"/>
  <c r="I63" i="40"/>
  <c r="H65" i="40"/>
  <c r="C15" i="15"/>
  <c r="C18" i="15"/>
  <c r="T16" i="1"/>
  <c r="C34" i="11"/>
  <c r="C35" i="11" s="1"/>
  <c r="C34" i="68"/>
  <c r="C38" i="68" s="1"/>
  <c r="H27" i="6"/>
  <c r="R7" i="1"/>
  <c r="R8" i="1"/>
  <c r="C14" i="12"/>
  <c r="C36" i="11"/>
  <c r="C37" i="11"/>
  <c r="R27" i="6"/>
  <c r="R6" i="1"/>
  <c r="C12" i="12"/>
  <c r="C15" i="12"/>
  <c r="I6" i="6"/>
  <c r="I5" i="6"/>
  <c r="C19" i="68"/>
  <c r="D37" i="68"/>
  <c r="C37" i="68" s="1"/>
  <c r="C19" i="69"/>
  <c r="C24" i="69" s="1"/>
  <c r="D37" i="69"/>
  <c r="C37" i="69" s="1"/>
  <c r="C33" i="69" s="1"/>
  <c r="C23" i="69"/>
  <c r="I68" i="39"/>
  <c r="H70" i="39"/>
  <c r="C26" i="43"/>
  <c r="B2" i="43" s="1"/>
  <c r="C27" i="43"/>
  <c r="Q48" i="15"/>
  <c r="F35" i="80"/>
  <c r="F35" i="15"/>
  <c r="M21" i="15"/>
  <c r="M21" i="67"/>
  <c r="E6" i="76"/>
  <c r="B6" i="76"/>
  <c r="M21" i="80"/>
  <c r="F35" i="67"/>
  <c r="C18" i="12" l="1"/>
  <c r="C8" i="68"/>
  <c r="Q61" i="80"/>
  <c r="Q74" i="80"/>
  <c r="Q61" i="15"/>
  <c r="Q74" i="15"/>
  <c r="C22" i="11"/>
  <c r="C31" i="11" s="1"/>
  <c r="F1" i="80"/>
  <c r="Q52" i="80"/>
  <c r="Q52" i="15"/>
  <c r="F1" i="15"/>
  <c r="C23" i="67"/>
  <c r="C29" i="67" s="1"/>
  <c r="J59" i="67" s="1"/>
  <c r="J60" i="67" s="1"/>
  <c r="Q48" i="67" s="1"/>
  <c r="J20" i="67"/>
  <c r="F63" i="67"/>
  <c r="C62" i="67" s="1"/>
  <c r="C34" i="67"/>
  <c r="C23" i="80"/>
  <c r="C29" i="80" s="1"/>
  <c r="F63" i="80"/>
  <c r="C62" i="80" s="1"/>
  <c r="C34" i="80"/>
  <c r="C31" i="80" s="1"/>
  <c r="J20" i="80"/>
  <c r="J63" i="40"/>
  <c r="I65" i="40"/>
  <c r="C35" i="68"/>
  <c r="C33" i="68" s="1"/>
  <c r="C39" i="68" s="1"/>
  <c r="C43" i="68" s="1"/>
  <c r="C19" i="15"/>
  <c r="C20" i="15" s="1"/>
  <c r="C26" i="15" s="1"/>
  <c r="J20" i="15"/>
  <c r="F63" i="15"/>
  <c r="C62" i="15" s="1"/>
  <c r="C34" i="15"/>
  <c r="C31" i="15" s="1"/>
  <c r="R16" i="1"/>
  <c r="C38" i="11"/>
  <c r="C33" i="11" s="1"/>
  <c r="C39" i="11" s="1"/>
  <c r="C43" i="11" s="1"/>
  <c r="C16" i="12"/>
  <c r="C21" i="12" s="1"/>
  <c r="C22" i="12" s="1"/>
  <c r="C20" i="69"/>
  <c r="C28" i="69" s="1"/>
  <c r="C27" i="69" s="1"/>
  <c r="C24" i="68"/>
  <c r="C39" i="69"/>
  <c r="C42" i="69"/>
  <c r="J68" i="39"/>
  <c r="I70" i="39"/>
  <c r="E2" i="76"/>
  <c r="B2" i="76"/>
  <c r="B3" i="43"/>
  <c r="AE6" i="1"/>
  <c r="J14" i="67" l="1"/>
  <c r="J22" i="67" s="1"/>
  <c r="C57" i="67"/>
  <c r="C61" i="67" s="1"/>
  <c r="C59" i="67" s="1"/>
  <c r="C36" i="67"/>
  <c r="Q49" i="67"/>
  <c r="J19" i="67"/>
  <c r="J17" i="67" s="1"/>
  <c r="C33" i="67"/>
  <c r="C31" i="67" s="1"/>
  <c r="C13" i="67"/>
  <c r="C75" i="67" s="1"/>
  <c r="C64" i="67"/>
  <c r="J13" i="67"/>
  <c r="J23" i="67" s="1"/>
  <c r="C57" i="80"/>
  <c r="J14" i="80"/>
  <c r="C36" i="80"/>
  <c r="J19" i="80"/>
  <c r="J17" i="80" s="1"/>
  <c r="Q49" i="80"/>
  <c r="C13" i="80"/>
  <c r="K63" i="40"/>
  <c r="J65" i="40"/>
  <c r="C23" i="15"/>
  <c r="C29" i="15" s="1"/>
  <c r="C42" i="11"/>
  <c r="C41" i="11" s="1"/>
  <c r="C25" i="69"/>
  <c r="C22" i="69" s="1"/>
  <c r="C31" i="69" s="1"/>
  <c r="C46" i="11"/>
  <c r="C45" i="11" s="1"/>
  <c r="C42" i="68"/>
  <c r="C41" i="68" s="1"/>
  <c r="C46" i="68"/>
  <c r="C45" i="68" s="1"/>
  <c r="C46" i="69"/>
  <c r="C45" i="69" s="1"/>
  <c r="C43" i="69"/>
  <c r="C41" i="69" s="1"/>
  <c r="K68" i="39"/>
  <c r="J70" i="39"/>
  <c r="B3" i="76"/>
  <c r="L57" i="15"/>
  <c r="L60" i="15" s="1"/>
  <c r="L46" i="15" s="1"/>
  <c r="F41" i="15"/>
  <c r="J29" i="15" l="1"/>
  <c r="F69" i="15"/>
  <c r="C56" i="67"/>
  <c r="C65" i="67" s="1"/>
  <c r="C58" i="67" s="1"/>
  <c r="C67" i="67" s="1"/>
  <c r="C68" i="67" s="1"/>
  <c r="Q70" i="67"/>
  <c r="C37" i="67"/>
  <c r="C30" i="67" s="1"/>
  <c r="C39" i="67" s="1"/>
  <c r="Q69" i="67" s="1"/>
  <c r="J16" i="67"/>
  <c r="J25" i="67" s="1"/>
  <c r="C61" i="80"/>
  <c r="C59" i="80" s="1"/>
  <c r="C64" i="80"/>
  <c r="Q70" i="80"/>
  <c r="C56" i="80"/>
  <c r="C65" i="80" s="1"/>
  <c r="C75" i="80"/>
  <c r="C37" i="80"/>
  <c r="C30" i="80" s="1"/>
  <c r="C39" i="80" s="1"/>
  <c r="J13" i="80"/>
  <c r="J23" i="80" s="1"/>
  <c r="J22" i="80"/>
  <c r="L63" i="40"/>
  <c r="K65" i="40"/>
  <c r="Q49" i="15"/>
  <c r="C36" i="15"/>
  <c r="J14" i="15"/>
  <c r="J19" i="15"/>
  <c r="J17" i="15" s="1"/>
  <c r="C57" i="15"/>
  <c r="C13" i="15"/>
  <c r="C49" i="11"/>
  <c r="C51" i="11" s="1"/>
  <c r="C52" i="11" s="1"/>
  <c r="B2" i="11" s="1"/>
  <c r="B3" i="11" s="1"/>
  <c r="C49" i="68"/>
  <c r="C51" i="68" s="1"/>
  <c r="C49" i="69"/>
  <c r="C51" i="69" s="1"/>
  <c r="C52" i="69" s="1"/>
  <c r="B2" i="69" s="1"/>
  <c r="B3" i="69" s="1"/>
  <c r="L68" i="39"/>
  <c r="K70" i="39"/>
  <c r="Q57" i="15"/>
  <c r="Q66" i="15"/>
  <c r="L51" i="80"/>
  <c r="Q68" i="67" l="1"/>
  <c r="C40" i="67"/>
  <c r="Q65" i="67" s="1"/>
  <c r="C80" i="67"/>
  <c r="C79" i="67" s="1"/>
  <c r="C71" i="67"/>
  <c r="J16" i="80"/>
  <c r="J25" i="80" s="1"/>
  <c r="C80" i="80"/>
  <c r="C79" i="80" s="1"/>
  <c r="C58" i="80"/>
  <c r="C67" i="80" s="1"/>
  <c r="C68" i="80" s="1"/>
  <c r="C71" i="80" s="1"/>
  <c r="Q67" i="80"/>
  <c r="Q69" i="80"/>
  <c r="Q68" i="80" s="1"/>
  <c r="C40" i="80"/>
  <c r="L65" i="40"/>
  <c r="M63" i="40"/>
  <c r="C64" i="15"/>
  <c r="C61" i="15"/>
  <c r="C59" i="15" s="1"/>
  <c r="J22" i="15"/>
  <c r="J13" i="15"/>
  <c r="J23" i="15" s="1"/>
  <c r="C56" i="15"/>
  <c r="C65" i="15" s="1"/>
  <c r="C75" i="15"/>
  <c r="Q70" i="15"/>
  <c r="C37" i="15"/>
  <c r="C30" i="15" s="1"/>
  <c r="C39" i="15" s="1"/>
  <c r="C56" i="11"/>
  <c r="C57" i="11" s="1"/>
  <c r="C57" i="69"/>
  <c r="C56" i="69" s="1"/>
  <c r="M68" i="39"/>
  <c r="L70" i="39"/>
  <c r="L51" i="15"/>
  <c r="L51" i="67"/>
  <c r="Q56" i="67" l="1"/>
  <c r="L57" i="67"/>
  <c r="L60" i="67" s="1"/>
  <c r="Q66" i="67" s="1"/>
  <c r="Q75" i="67" s="1"/>
  <c r="Q67" i="67"/>
  <c r="C45" i="67"/>
  <c r="C46" i="67" s="1"/>
  <c r="C83" i="67"/>
  <c r="C82" i="67" s="1"/>
  <c r="Q47" i="67"/>
  <c r="Q53" i="67" s="1"/>
  <c r="C43" i="67"/>
  <c r="L46" i="67"/>
  <c r="D2" i="67" s="1"/>
  <c r="B2" i="67" s="1"/>
  <c r="Q47" i="80"/>
  <c r="Q53" i="80" s="1"/>
  <c r="Q65" i="80"/>
  <c r="Q75" i="80" s="1"/>
  <c r="C43" i="80"/>
  <c r="B2" i="80"/>
  <c r="Q56" i="80"/>
  <c r="Q62" i="80" s="1"/>
  <c r="C83" i="80"/>
  <c r="C82" i="80" s="1"/>
  <c r="C46" i="80"/>
  <c r="N63" i="40"/>
  <c r="M65" i="40"/>
  <c r="J16" i="15"/>
  <c r="J25" i="15" s="1"/>
  <c r="Q67" i="15"/>
  <c r="C58" i="15"/>
  <c r="C67" i="15" s="1"/>
  <c r="C68" i="15" s="1"/>
  <c r="C40" i="15"/>
  <c r="Q69" i="15"/>
  <c r="Q68" i="15" s="1"/>
  <c r="C80" i="15"/>
  <c r="C79" i="15" s="1"/>
  <c r="N68" i="39"/>
  <c r="M70" i="39"/>
  <c r="Q57" i="67" l="1"/>
  <c r="Q62" i="67" s="1"/>
  <c r="B3" i="67"/>
  <c r="B3" i="80"/>
  <c r="N65" i="40"/>
  <c r="F7" i="40" s="1"/>
  <c r="O63" i="40"/>
  <c r="O65" i="40" s="1"/>
  <c r="Q65" i="15"/>
  <c r="Q75" i="15" s="1"/>
  <c r="C43" i="15"/>
  <c r="B2" i="15"/>
  <c r="C8" i="12" s="1"/>
  <c r="C83" i="15"/>
  <c r="C82" i="15" s="1"/>
  <c r="Q56" i="15"/>
  <c r="Q62" i="15" s="1"/>
  <c r="Q47" i="15"/>
  <c r="Q53" i="15" s="1"/>
  <c r="C71" i="15"/>
  <c r="C46" i="15"/>
  <c r="O68" i="39"/>
  <c r="O70" i="39" s="1"/>
  <c r="N70" i="39"/>
  <c r="AO6" i="1"/>
  <c r="AO7" i="1"/>
  <c r="B6" i="70" l="1"/>
  <c r="J7" i="40"/>
  <c r="H7" i="40"/>
  <c r="AA7" i="40"/>
  <c r="R42" i="40" s="1"/>
  <c r="S7" i="40"/>
  <c r="B7" i="70"/>
  <c r="B3" i="15"/>
  <c r="F7" i="39"/>
  <c r="H7" i="39"/>
  <c r="J7" i="39"/>
  <c r="B2" i="70" l="1"/>
  <c r="B3" i="70" s="1"/>
  <c r="C6" i="12"/>
  <c r="AB7" i="40"/>
  <c r="T42" i="40" s="1"/>
  <c r="G42" i="40" s="1"/>
  <c r="U7" i="40"/>
  <c r="E42" i="40"/>
  <c r="R43" i="40"/>
  <c r="W7" i="40"/>
  <c r="AC7" i="40"/>
  <c r="V42" i="40" s="1"/>
  <c r="I42" i="40" s="1"/>
  <c r="I46" i="40" s="1"/>
  <c r="J46" i="40" s="1"/>
  <c r="AC7" i="39"/>
  <c r="V47" i="39" s="1"/>
  <c r="I47" i="39" s="1"/>
  <c r="W7" i="39"/>
  <c r="AB7" i="39"/>
  <c r="T47" i="39" s="1"/>
  <c r="G47" i="39" s="1"/>
  <c r="U7" i="39"/>
  <c r="S7" i="39"/>
  <c r="AA7" i="39"/>
  <c r="R47" i="39" s="1"/>
  <c r="C4" i="12" l="1"/>
  <c r="C23" i="12" s="1"/>
  <c r="C30" i="12" s="1"/>
  <c r="C28" i="12" s="1"/>
  <c r="C42" i="40"/>
  <c r="C43" i="40"/>
  <c r="I47" i="40"/>
  <c r="J47" i="40" s="1"/>
  <c r="E46" i="40"/>
  <c r="F46" i="40" s="1"/>
  <c r="E47" i="40"/>
  <c r="F47" i="40" s="1"/>
  <c r="G46" i="40"/>
  <c r="H46" i="40" s="1"/>
  <c r="G47" i="40"/>
  <c r="H47" i="40" s="1"/>
  <c r="G52" i="39"/>
  <c r="H52" i="39" s="1"/>
  <c r="G51" i="39"/>
  <c r="H51" i="39" s="1"/>
  <c r="I51" i="39"/>
  <c r="J51" i="39" s="1"/>
  <c r="E47" i="39"/>
  <c r="R48" i="39"/>
  <c r="C27" i="12" l="1"/>
  <c r="C25" i="12" s="1"/>
  <c r="C31" i="12"/>
  <c r="B55" i="40"/>
  <c r="F55" i="40" s="1"/>
  <c r="B57" i="40"/>
  <c r="F57" i="40" s="1"/>
  <c r="B56" i="40"/>
  <c r="F56" i="40" s="1"/>
  <c r="B51" i="40"/>
  <c r="F51" i="40" s="1"/>
  <c r="F61" i="40"/>
  <c r="B2" i="40" s="1"/>
  <c r="B3" i="40" s="1"/>
  <c r="B52" i="40"/>
  <c r="F52" i="40" s="1"/>
  <c r="B60" i="40"/>
  <c r="F60" i="40" s="1"/>
  <c r="B59" i="40"/>
  <c r="F59" i="40" s="1"/>
  <c r="B54" i="40"/>
  <c r="F54" i="40" s="1"/>
  <c r="B53" i="40"/>
  <c r="F53" i="40" s="1"/>
  <c r="B58" i="40"/>
  <c r="F58" i="40" s="1"/>
  <c r="E51" i="39"/>
  <c r="F51" i="39" s="1"/>
  <c r="E52" i="39"/>
  <c r="F52" i="39" s="1"/>
  <c r="C48" i="39"/>
  <c r="C47" i="39"/>
  <c r="I52" i="39"/>
  <c r="J52" i="39" s="1"/>
  <c r="C32" i="12" l="1"/>
  <c r="B2" i="12" s="1"/>
  <c r="B3" i="12" s="1"/>
  <c r="B60" i="39"/>
  <c r="F60" i="39" s="1"/>
  <c r="B58" i="39"/>
  <c r="F58" i="39" s="1"/>
  <c r="B64" i="39"/>
  <c r="F64" i="39" s="1"/>
  <c r="B57" i="39"/>
  <c r="F57" i="39" s="1"/>
  <c r="B62" i="39"/>
  <c r="F62" i="39" s="1"/>
  <c r="B61" i="39"/>
  <c r="F61" i="39" s="1"/>
  <c r="B56" i="39"/>
  <c r="F56" i="39" s="1"/>
  <c r="B59" i="39"/>
  <c r="F59" i="39" s="1"/>
  <c r="B65" i="39"/>
  <c r="F65" i="39" s="1"/>
  <c r="B63" i="39"/>
  <c r="F63" i="39" s="1"/>
  <c r="D20" i="9"/>
  <c r="D19" i="9"/>
  <c r="D21" i="9" l="1"/>
  <c r="D102" i="9"/>
  <c r="D103" i="9"/>
  <c r="F66" i="39"/>
  <c r="B2" i="39" s="1"/>
  <c r="C6" i="68" s="1"/>
  <c r="B3" i="39" l="1"/>
  <c r="C7" i="68" l="1"/>
  <c r="C5" i="68" s="1"/>
  <c r="C23" i="68" l="1"/>
  <c r="C20" i="68"/>
  <c r="C25" i="68" s="1"/>
  <c r="C22" i="68" l="1"/>
  <c r="C28" i="68"/>
  <c r="C27" i="68" s="1"/>
  <c r="C31" i="68" l="1"/>
  <c r="C52" i="68" s="1"/>
  <c r="B2" i="68" s="1"/>
  <c r="C19" i="9"/>
  <c r="C57" i="68" l="1"/>
  <c r="C56" i="68" s="1"/>
  <c r="C102" i="9"/>
  <c r="C21" i="9"/>
  <c r="D22" i="9"/>
  <c r="G19" i="9"/>
  <c r="B3" i="68"/>
  <c r="C20" i="9"/>
  <c r="D35" i="9"/>
  <c r="D34" i="9"/>
  <c r="C103" i="9" l="1"/>
  <c r="G20" i="9"/>
  <c r="G21" i="9"/>
  <c r="C32" i="9"/>
  <c r="C35" i="9" l="1"/>
  <c r="F118" i="9" s="1"/>
  <c r="H118" i="9"/>
  <c r="C34" i="9" l="1"/>
  <c r="D118" i="9" s="1"/>
  <c r="D119" i="9" s="1"/>
  <c r="D5" i="52" s="1"/>
  <c r="B49" i="72" s="1"/>
  <c r="D14" i="74"/>
  <c r="H101" i="9"/>
  <c r="H119" i="9"/>
  <c r="H5" i="52" s="1"/>
  <c r="C104" i="9"/>
  <c r="H4" i="52"/>
  <c r="I118" i="9"/>
  <c r="F4" i="52"/>
  <c r="B51" i="72" s="1"/>
  <c r="F119" i="9"/>
  <c r="F5" i="52" s="1"/>
  <c r="B53" i="72" s="1"/>
  <c r="G118" i="9"/>
  <c r="G4" i="52" s="1"/>
  <c r="B52" i="72" s="1"/>
  <c r="D4" i="52" l="1"/>
  <c r="B47" i="72" s="1"/>
  <c r="C105" i="9"/>
  <c r="I4" i="52"/>
  <c r="H102" i="9"/>
  <c r="D7" i="53" s="1"/>
  <c r="B21" i="72" s="1"/>
  <c r="E118" i="9"/>
  <c r="E4" i="52" s="1"/>
  <c r="B48" i="72" s="1"/>
  <c r="D5" i="53"/>
  <c r="H107" i="9"/>
  <c r="D45" i="9"/>
  <c r="M48" i="9"/>
  <c r="E14" i="74"/>
  <c r="F14" i="74"/>
  <c r="M49" i="9" l="1"/>
  <c r="D122" i="9"/>
  <c r="D13" i="53"/>
  <c r="H108" i="9"/>
  <c r="D15" i="53" s="1"/>
  <c r="B31" i="72" s="1"/>
  <c r="C64" i="9"/>
  <c r="C63" i="9" s="1"/>
  <c r="C67" i="9" s="1"/>
  <c r="C68" i="9" s="1"/>
  <c r="D54" i="9" s="1"/>
  <c r="C93" i="9"/>
  <c r="C86" i="9" s="1"/>
  <c r="C78" i="9"/>
  <c r="C73" i="9" s="1"/>
  <c r="D53" i="9"/>
  <c r="D52" i="9"/>
  <c r="C85" i="9"/>
  <c r="C72" i="9"/>
  <c r="D55" i="9"/>
  <c r="M53" i="9" s="1"/>
  <c r="D6" i="53"/>
  <c r="B22" i="72" s="1"/>
  <c r="B20" i="72"/>
  <c r="C95" i="9" l="1"/>
  <c r="C96" i="9" s="1"/>
  <c r="E96" i="9" s="1"/>
  <c r="E97" i="9" s="1"/>
  <c r="C79" i="9"/>
  <c r="C80" i="9" s="1"/>
  <c r="E80" i="9" s="1"/>
  <c r="E81" i="9" s="1"/>
  <c r="D123" i="9"/>
  <c r="D9" i="52" s="1"/>
  <c r="D8" i="52"/>
  <c r="G14" i="74"/>
  <c r="K14" i="74" s="1"/>
  <c r="B30" i="72"/>
  <c r="D14" i="53"/>
  <c r="B32" i="72" s="1"/>
  <c r="L65" i="9"/>
  <c r="M65" i="9" s="1"/>
  <c r="L63" i="9"/>
  <c r="M63" i="9" s="1"/>
  <c r="L66" i="9"/>
  <c r="M66" i="9" s="1"/>
  <c r="L68" i="9"/>
  <c r="M68" i="9" s="1"/>
  <c r="L64" i="9"/>
  <c r="M64" i="9" s="1"/>
  <c r="L67" i="9"/>
  <c r="M67" i="9" s="1"/>
  <c r="C97" i="9" l="1"/>
  <c r="D58" i="9" s="1"/>
  <c r="D56" i="9" s="1"/>
  <c r="M54" i="9" s="1"/>
  <c r="N57" i="9" s="1"/>
  <c r="N59" i="9" s="1"/>
  <c r="N61" i="9" s="1"/>
  <c r="C81" i="9"/>
  <c r="M69" i="9"/>
  <c r="N69" i="9" s="1"/>
  <c r="P57" i="9" l="1"/>
  <c r="N60" i="9"/>
  <c r="N58" i="9"/>
  <c r="D15" i="74" l="1"/>
  <c r="E15" i="74" l="1"/>
  <c r="F15" i="74"/>
  <c r="G15" i="74" l="1"/>
  <c r="K15" i="74" l="1"/>
  <c r="D16" i="74" l="1"/>
  <c r="F16" i="74" l="1"/>
  <c r="E16" i="74"/>
  <c r="B5" i="74"/>
  <c r="C5" i="74" l="1"/>
  <c r="D5" i="74"/>
  <c r="G16" i="74"/>
  <c r="K16" i="74" l="1"/>
  <c r="B6" i="74"/>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D10" authorId="0">
      <text>
        <r>
          <rPr>
            <b/>
            <sz val="9"/>
            <rFont val="Tahoma"/>
            <family val="2"/>
          </rPr>
          <t>作者:</t>
        </r>
        <r>
          <rPr>
            <sz val="9"/>
            <rFont val="Tahoma"/>
            <family val="2"/>
          </rPr>
          <t xml:space="preserve">
招商文件：广场用地（划拨）
控规：参与容积率计算，退线用地</t>
        </r>
      </text>
    </comment>
    <comment ref="I10" authorId="0">
      <text>
        <r>
          <rPr>
            <b/>
            <sz val="9"/>
            <rFont val="Tahoma"/>
            <family val="2"/>
          </rPr>
          <t>作者:</t>
        </r>
        <r>
          <rPr>
            <sz val="9"/>
            <rFont val="Tahoma"/>
            <family val="2"/>
          </rPr>
          <t xml:space="preserve">
地上建面共计193291
其中计容187662
不计容5630</t>
        </r>
      </text>
    </comment>
  </commentList>
</comments>
</file>

<file path=xl/comments5.xml><?xml version="1.0" encoding="utf-8"?>
<comments xmlns="http://schemas.openxmlformats.org/spreadsheetml/2006/main">
  <authors>
    <author>作者</author>
  </authors>
  <commentList>
    <comment ref="C7" authorId="0">
      <text>
        <r>
          <rPr>
            <b/>
            <sz val="9"/>
            <rFont val="Tahoma"/>
            <family val="2"/>
          </rPr>
          <t>作者:</t>
        </r>
        <r>
          <rPr>
            <sz val="9"/>
            <rFont val="Tahoma"/>
            <family val="2"/>
          </rPr>
          <t xml:space="preserve">
地上建面共计193291
其中计容187662
不计容5630</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<sst xmlns="http://schemas.openxmlformats.org/spreadsheetml/2006/main" count="8517" uniqueCount="3273">
  <si>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</si>
  <si>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</si>
  <si>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</si>
  <si>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</si>
  <si>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</si>
  <si>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</si>
  <si>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</si>
  <si>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</si>
  <si>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</si>
  <si>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</si>
  <si>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</si>
  <si>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</si>
  <si>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</si>
  <si>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</si>
  <si>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</si>
  <si>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</si>
  <si>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</si>
  <si>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</si>
  <si>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</si>
  <si>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</si>
  <si>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</si>
  <si>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</si>
  <si>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</si>
  <si>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</si>
  <si>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</si>
  <si>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</si>
  <si>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</si>
  <si>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</si>
  <si>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</si>
  <si>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</si>
  <si>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</si>
  <si>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</si>
  <si>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</si>
  <si>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</si>
  <si>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</si>
  <si>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</si>
  <si>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</si>
  <si>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</si>
  <si>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</si>
  <si>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</si>
  <si>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</si>
  <si>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</si>
  <si>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</si>
  <si>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</si>
  <si>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</si>
  <si>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</si>
  <si>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</si>
  <si>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</si>
  <si>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</si>
  <si>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</si>
  <si>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</si>
  <si>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</si>
  <si>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</si>
  <si>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</si>
  <si>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</si>
  <si>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</si>
  <si>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</si>
  <si>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</si>
  <si>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</si>
  <si>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</si>
  <si>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</si>
  <si>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</si>
  <si>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</si>
  <si>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</si>
  <si>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</si>
  <si>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</si>
  <si>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</si>
  <si>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</si>
  <si>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</si>
  <si>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</si>
  <si>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</si>
  <si>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</si>
  <si>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</si>
  <si>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</si>
  <si>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</si>
  <si>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</si>
  <si>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</si>
  <si>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</si>
  <si>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</si>
  <si>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</si>
  <si>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</si>
  <si>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</si>
  <si>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</si>
  <si>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</si>
  <si>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</si>
  <si>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</si>
  <si>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</si>
  <si>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</si>
  <si>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</si>
  <si>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</si>
  <si>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</si>
  <si>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</si>
  <si>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</si>
  <si>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</si>
  <si>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</si>
  <si>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</si>
  <si>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</si>
  <si>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</si>
  <si>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</si>
  <si>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</si>
  <si>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</si>
  <si>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</si>
  <si>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</si>
  <si>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</si>
  <si>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</si>
  <si>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</si>
  <si>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</si>
  <si>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</si>
  <si>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</si>
  <si>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</si>
  <si>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</si>
  <si>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</si>
  <si>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</si>
  <si>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</si>
  <si>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</si>
  <si>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</si>
  <si>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</si>
  <si>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</si>
  <si>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</si>
  <si>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</si>
  <si>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</si>
  <si>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</si>
  <si>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</si>
  <si>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</si>
  <si>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</si>
  <si>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</si>
  <si>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</si>
  <si>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</si>
  <si>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</si>
  <si>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</si>
  <si>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</si>
  <si>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</si>
  <si>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</si>
  <si>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</si>
  <si>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</si>
  <si>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</si>
  <si>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</si>
  <si>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</si>
  <si>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</si>
  <si>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</si>
  <si>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</si>
  <si>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</si>
  <si>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</si>
  <si>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</si>
  <si>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</si>
  <si>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</si>
  <si>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</si>
  <si>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</si>
  <si>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</si>
  <si>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</si>
  <si>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</si>
  <si>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</si>
  <si>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</si>
  <si>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</si>
  <si>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</si>
  <si>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</si>
  <si>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</si>
  <si>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</si>
  <si>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</si>
  <si>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</si>
  <si>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</si>
  <si>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</si>
  <si>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</si>
  <si>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</si>
  <si>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</si>
  <si>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</si>
  <si>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</si>
  <si>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</si>
  <si>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</si>
  <si>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</si>
  <si>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</si>
  <si>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</si>
  <si>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</si>
  <si>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</si>
  <si>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</si>
  <si>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</si>
  <si>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</si>
  <si>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</si>
  <si>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</si>
  <si>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</si>
  <si>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</si>
  <si>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</si>
  <si>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</si>
  <si>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</si>
  <si>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</si>
  <si>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</si>
  <si>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</si>
  <si>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</si>
  <si>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</si>
  <si>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</si>
  <si>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</si>
  <si>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</si>
  <si>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</si>
  <si>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</si>
  <si>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</si>
  <si>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</si>
  <si>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</si>
  <si>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</si>
  <si>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</si>
  <si>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</si>
  <si>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</si>
  <si>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</si>
  <si>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</si>
  <si>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</si>
  <si>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</si>
  <si>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</si>
  <si>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</si>
  <si>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</si>
  <si>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</si>
  <si>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</si>
  <si>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</si>
  <si>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</si>
  <si>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</si>
  <si>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</si>
  <si>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</si>
  <si>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</si>
  <si>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</si>
  <si>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</si>
  <si>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</si>
  <si>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</si>
  <si>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</si>
  <si>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</si>
  <si>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</si>
  <si>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</si>
  <si>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</si>
  <si>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</si>
  <si>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</si>
  <si>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</si>
  <si>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</si>
  <si>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</si>
  <si>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</si>
  <si>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</si>
  <si>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</si>
  <si>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</si>
  <si>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</si>
  <si>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</si>
  <si>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</si>
  <si>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</si>
  <si>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</si>
  <si>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</si>
  <si>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</si>
  <si>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</si>
  <si>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</si>
  <si>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</si>
  <si>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</si>
  <si>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</si>
  <si>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</si>
  <si>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</si>
  <si>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</si>
  <si>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</si>
  <si>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</si>
  <si>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</si>
  <si>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</si>
  <si>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</si>
  <si>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</si>
  <si>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</si>
  <si>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</si>
  <si>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</si>
  <si>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</si>
  <si>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</si>
  <si>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</si>
  <si>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</si>
  <si>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</si>
  <si>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</si>
  <si>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</si>
  <si>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</si>
  <si>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</si>
  <si>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</si>
  <si>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</si>
  <si>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</si>
  <si>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</si>
  <si>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</si>
  <si>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</si>
  <si>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</si>
  <si>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</si>
  <si>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</si>
  <si>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</si>
  <si>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</si>
  <si>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</si>
  <si>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</si>
  <si>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</si>
  <si>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</si>
  <si>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</si>
  <si>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</si>
  <si>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</si>
  <si>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</si>
  <si>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</si>
  <si>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</si>
  <si>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</si>
  <si>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</si>
  <si>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</si>
  <si>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</si>
  <si>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</si>
  <si>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</si>
  <si>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</si>
  <si>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</si>
  <si>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</si>
  <si>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</si>
  <si>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</si>
  <si>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</si>
  <si>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</si>
  <si>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</si>
  <si>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</si>
  <si>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</si>
  <si>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</si>
  <si>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</si>
  <si>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</si>
  <si>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</si>
  <si>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</si>
  <si>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</si>
  <si>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</si>
  <si>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</si>
  <si>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</si>
  <si>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</si>
  <si>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</si>
  <si>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</si>
  <si>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</si>
  <si>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</si>
  <si>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</si>
  <si>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</si>
  <si>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</si>
  <si>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</si>
  <si>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</si>
  <si>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</si>
  <si>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</si>
  <si>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</si>
  <si>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</si>
  <si>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</si>
  <si>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</si>
  <si>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</si>
  <si>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</si>
  <si>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</si>
  <si>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</si>
  <si>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</si>
  <si>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</si>
  <si>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</si>
  <si>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</si>
  <si>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</si>
  <si>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</si>
  <si>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</si>
  <si>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</si>
  <si>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</si>
  <si>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</si>
  <si>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</si>
  <si>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</si>
  <si>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</si>
  <si>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</si>
  <si>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</si>
  <si>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</si>
  <si>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</si>
  <si>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</si>
  <si>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</si>
  <si>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</si>
  <si>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</si>
  <si>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</si>
  <si>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</si>
  <si>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</si>
  <si>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</si>
  <si>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</si>
  <si>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</si>
  <si>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</si>
  <si>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</si>
  <si>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</si>
  <si>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</si>
  <si>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</si>
  <si>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</si>
  <si>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</si>
  <si>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</si>
  <si>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</si>
  <si>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</si>
  <si>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</si>
  <si>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</si>
  <si>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</si>
  <si>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</si>
  <si>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</si>
  <si>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</si>
  <si>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</si>
  <si>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</si>
  <si>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</si>
  <si>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</si>
  <si>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</si>
  <si>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</si>
  <si>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</si>
  <si>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</si>
  <si>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</si>
  <si>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</si>
  <si>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</si>
  <si>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</si>
  <si>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</si>
  <si>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</si>
  <si>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</si>
  <si>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</si>
  <si>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</si>
  <si>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</si>
  <si>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</si>
  <si>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</si>
  <si>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</si>
  <si>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</si>
  <si>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</si>
  <si>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</si>
  <si>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</si>
  <si>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</si>
  <si>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</si>
  <si>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</si>
  <si>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</si>
  <si>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</si>
  <si>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</si>
  <si>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</si>
  <si>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</si>
  <si>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</si>
  <si>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</si>
  <si>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</si>
  <si>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</si>
  <si>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</si>
  <si>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</si>
  <si>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</si>
  <si>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</si>
  <si>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</si>
  <si>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</si>
  <si>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</si>
  <si>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</si>
  <si>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</si>
  <si>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</si>
  <si>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</si>
  <si>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</si>
  <si>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</si>
  <si>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</si>
  <si>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</si>
  <si>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</si>
  <si>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</si>
  <si>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</si>
  <si>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</si>
  <si>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</si>
  <si>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</si>
  <si>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</si>
  <si>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</si>
  <si>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</si>
  <si>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</si>
  <si>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</si>
  <si>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</si>
  <si>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</si>
  <si>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</si>
  <si>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</si>
  <si>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</si>
  <si>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</si>
  <si>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</si>
  <si>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</si>
  <si>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</si>
  <si>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</si>
  <si>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</si>
  <si>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</si>
  <si>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</si>
  <si>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</si>
  <si>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</si>
  <si>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</si>
  <si>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</si>
  <si>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</si>
  <si>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</si>
  <si>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</si>
  <si>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</si>
  <si>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</si>
  <si>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</si>
  <si>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</si>
  <si>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</si>
  <si>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</si>
  <si>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</si>
  <si>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</si>
  <si>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</si>
  <si>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</si>
  <si>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</si>
  <si>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</si>
  <si>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</si>
  <si>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</si>
  <si>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</si>
  <si>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</si>
  <si>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</si>
  <si>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</si>
  <si>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</si>
  <si>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</si>
  <si>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</si>
  <si>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</si>
  <si>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</si>
  <si>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</si>
  <si>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</si>
  <si>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</si>
  <si>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</si>
  <si>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</si>
  <si>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</si>
  <si>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</si>
  <si>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</si>
  <si>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</si>
  <si>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</si>
  <si>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</si>
  <si>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</si>
  <si>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</si>
  <si>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</si>
  <si>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</si>
  <si>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</si>
  <si>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</si>
  <si>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</si>
  <si>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</si>
  <si>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</si>
  <si>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</si>
  <si>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</si>
  <si>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</si>
  <si>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</si>
  <si>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</si>
  <si>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</si>
  <si>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</si>
  <si>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</si>
  <si>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</si>
  <si>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</si>
  <si>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</si>
  <si>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</si>
  <si>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</si>
  <si>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</si>
  <si>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</si>
  <si>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</si>
  <si>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</si>
  <si>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</si>
  <si>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</si>
  <si>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</si>
  <si>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</si>
  <si>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</si>
  <si>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</si>
  <si>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</si>
  <si>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</si>
  <si>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</si>
  <si>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</si>
  <si>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</si>
  <si>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</si>
  <si>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</si>
  <si>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</si>
  <si>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</si>
  <si>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</si>
  <si>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</si>
  <si>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</si>
  <si>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</si>
  <si>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</si>
  <si>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</si>
  <si>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</si>
  <si>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</si>
  <si>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</si>
  <si>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</si>
  <si>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</si>
  <si>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</si>
  <si>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</si>
  <si>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</si>
  <si>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</si>
  <si>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</si>
  <si>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</si>
  <si>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</si>
  <si>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</si>
  <si>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</si>
  <si>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</si>
  <si>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</si>
  <si>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</si>
  <si>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</si>
  <si>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</si>
  <si>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</si>
  <si>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</si>
  <si>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</si>
  <si>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</si>
  <si>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</si>
  <si>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</si>
  <si>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</si>
  <si>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</si>
  <si>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</si>
  <si>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</si>
  <si>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</si>
  <si>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</si>
  <si>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</si>
  <si>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</si>
  <si>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</si>
  <si>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</si>
  <si>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</si>
  <si>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</si>
  <si>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</si>
  <si>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</si>
  <si>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</si>
  <si>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</si>
  <si>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</si>
  <si>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</si>
  <si>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</si>
  <si>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</si>
  <si>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</si>
  <si>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</si>
  <si>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</si>
  <si>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</si>
  <si>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</si>
  <si>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</si>
  <si>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</si>
  <si>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</si>
  <si>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</si>
  <si>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</si>
  <si>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</si>
  <si>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</si>
  <si>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</si>
  <si>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</si>
  <si>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</si>
  <si>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</si>
  <si>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</si>
  <si>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</si>
  <si>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</si>
  <si>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</si>
  <si>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</si>
  <si>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</si>
  <si>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</si>
  <si>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</si>
  <si>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</si>
  <si>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</si>
  <si>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</si>
  <si>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</si>
  <si>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</si>
  <si>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</si>
  <si>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</si>
  <si>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</si>
  <si>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</si>
  <si>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</si>
  <si>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</si>
  <si>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</si>
  <si>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</si>
  <si>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</si>
  <si>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</si>
  <si>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</si>
  <si>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</si>
  <si>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</si>
  <si>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</si>
  <si>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</si>
  <si>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</si>
  <si>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</si>
  <si>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</si>
  <si>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</si>
  <si>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</si>
  <si>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</si>
  <si>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</si>
  <si>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</si>
  <si>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</si>
  <si>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</si>
  <si>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</si>
  <si>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</si>
  <si>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</si>
  <si>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</si>
  <si>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</si>
  <si>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</si>
  <si>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</si>
  <si>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</si>
  <si>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</si>
  <si>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</si>
  <si>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</si>
  <si>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</si>
  <si>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</si>
  <si>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</si>
  <si>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</si>
  <si>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</si>
  <si>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</si>
  <si>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</si>
  <si>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</si>
  <si>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</si>
  <si>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</si>
  <si>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</si>
  <si>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</si>
  <si>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</si>
  <si>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</si>
  <si>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</si>
  <si>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</si>
  <si>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</si>
  <si>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</si>
  <si>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</si>
  <si>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</si>
  <si>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</si>
  <si>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</si>
  <si>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</si>
  <si>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</si>
  <si>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</si>
  <si>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</si>
  <si>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</si>
  <si>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</si>
  <si>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</si>
  <si>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</si>
  <si>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</si>
  <si>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</si>
  <si>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</si>
  <si>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</si>
  <si>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</si>
  <si>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</si>
  <si>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</si>
  <si>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</si>
  <si>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</si>
  <si>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</si>
  <si>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</si>
  <si>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</si>
  <si>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</si>
  <si>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</si>
  <si>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</si>
  <si>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</si>
  <si>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</si>
  <si>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</si>
  <si>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</si>
  <si>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</si>
  <si>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</si>
  <si>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</si>
  <si>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</si>
  <si>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</si>
  <si>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</si>
  <si>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</si>
  <si>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</si>
  <si>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</si>
  <si>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</si>
  <si>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</si>
  <si>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</si>
  <si>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</si>
  <si>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</si>
  <si>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</si>
  <si>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</si>
  <si>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</si>
  <si>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</si>
  <si>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</si>
  <si>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</si>
  <si>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</si>
  <si>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</si>
  <si>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</si>
  <si>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</si>
  <si>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</si>
  <si>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</si>
  <si>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</si>
  <si>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</si>
  <si>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</si>
  <si>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</si>
  <si>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</si>
  <si>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</si>
  <si>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</si>
  <si>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</si>
  <si>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</si>
  <si>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</si>
  <si>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</si>
  <si>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</si>
  <si>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</si>
  <si>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</si>
  <si>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</si>
  <si>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</si>
  <si>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</si>
  <si>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</si>
  <si>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</si>
  <si>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</si>
  <si>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</si>
  <si>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</si>
  <si>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</si>
  <si>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</si>
  <si>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</si>
  <si>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</si>
  <si>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</si>
  <si>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</si>
  <si>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</si>
  <si>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</si>
  <si>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</si>
  <si>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</si>
  <si>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</si>
  <si>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</si>
  <si>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</si>
  <si>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</si>
  <si>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</si>
  <si>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</si>
  <si>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</si>
  <si>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</si>
  <si>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</si>
  <si>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</si>
  <si>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</si>
  <si>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</si>
  <si>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</si>
  <si>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</si>
  <si>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</si>
  <si>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</si>
  <si>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</si>
  <si>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</si>
  <si>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</si>
  <si>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</si>
  <si>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</si>
  <si>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</si>
  <si>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</si>
  <si>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</si>
  <si>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</si>
  <si>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</si>
  <si>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</si>
  <si>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</si>
  <si>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</si>
  <si>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</si>
  <si>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</si>
  <si>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</si>
  <si>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</si>
  <si>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</si>
  <si>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</si>
  <si>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</si>
  <si>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</si>
  <si>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</si>
  <si>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</si>
  <si>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</si>
  <si>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</si>
  <si>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</si>
  <si>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</si>
  <si>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</si>
  <si>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</si>
  <si>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</si>
  <si>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</si>
  <si>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</si>
  <si>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</si>
  <si>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</si>
  <si>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</si>
  <si>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</si>
  <si>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</si>
  <si>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</si>
  <si>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</si>
  <si>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</si>
  <si>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</si>
  <si>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</si>
  <si>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</si>
  <si>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</si>
  <si>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</si>
  <si>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</si>
  <si>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</si>
  <si>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</si>
  <si>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</si>
  <si>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</si>
  <si>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</si>
  <si>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</si>
  <si>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</si>
  <si>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</si>
  <si>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</si>
  <si>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</si>
  <si>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</si>
  <si>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</si>
  <si>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</si>
  <si>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</si>
  <si>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</si>
  <si>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</si>
  <si>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</si>
  <si>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</si>
  <si>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</si>
  <si>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</si>
  <si>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</si>
  <si>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</si>
  <si>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</si>
  <si>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</si>
  <si>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</si>
  <si>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</si>
  <si>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</si>
  <si>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</si>
  <si>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</si>
  <si>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</si>
  <si>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</si>
  <si>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</si>
  <si>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</si>
  <si>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</si>
  <si>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</si>
  <si>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</si>
  <si>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</si>
  <si>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</si>
  <si>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</si>
  <si>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</si>
  <si>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</si>
  <si>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</si>
  <si>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</si>
  <si>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</si>
  <si>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</si>
  <si>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</si>
  <si>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</si>
  <si>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</si>
  <si>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</si>
  <si>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</si>
  <si>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</si>
  <si>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</si>
  <si>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</si>
  <si>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</si>
  <si>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</si>
  <si>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</si>
  <si>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</si>
  <si>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</si>
  <si>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</si>
  <si>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</si>
  <si>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</si>
  <si>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</si>
  <si>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</si>
  <si>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</si>
  <si>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</si>
  <si>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</si>
  <si>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</si>
  <si>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</si>
  <si>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</si>
  <si>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</si>
  <si>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</si>
  <si>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</si>
  <si>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</si>
  <si>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</si>
  <si>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</si>
  <si>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</si>
  <si>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</si>
  <si>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</si>
  <si>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</si>
  <si>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</si>
  <si>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</si>
  <si>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</si>
  <si>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</si>
  <si>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</si>
  <si>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</si>
  <si>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</si>
  <si>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</si>
  <si>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</si>
  <si>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</si>
  <si>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</si>
  <si>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</si>
  <si>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</si>
  <si>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</si>
  <si>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</si>
  <si>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</si>
  <si>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</si>
  <si>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</si>
  <si>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</si>
  <si>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</si>
  <si>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</si>
  <si>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</si>
  <si>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</si>
  <si>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</si>
  <si>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</si>
  <si>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</si>
  <si>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</si>
  <si>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</si>
  <si>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</si>
  <si>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</si>
  <si>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</si>
  <si>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</si>
  <si>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</si>
  <si>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</si>
  <si>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</si>
  <si>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</si>
  <si>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</si>
  <si>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</si>
  <si>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</si>
  <si>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</si>
  <si>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</si>
  <si>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</si>
  <si>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</si>
  <si>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</si>
  <si>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</si>
  <si>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</si>
  <si>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</si>
  <si>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</si>
  <si>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</si>
  <si>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</si>
  <si>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</si>
  <si>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</si>
  <si>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</si>
  <si>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</si>
  <si>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</si>
  <si>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</si>
  <si>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</si>
  <si>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</si>
  <si>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</si>
  <si>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</si>
  <si>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</si>
  <si>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</si>
  <si>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</si>
  <si>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</si>
  <si>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</si>
  <si>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</si>
  <si>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</si>
  <si>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</si>
  <si>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</si>
  <si>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</si>
  <si>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</si>
  <si>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</si>
  <si>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</si>
  <si>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</si>
  <si>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</si>
  <si>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</si>
  <si>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</si>
  <si>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</si>
  <si>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</si>
  <si>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</si>
  <si>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</si>
  <si>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</si>
  <si>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</si>
  <si>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</si>
  <si>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</si>
  <si>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</si>
  <si>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</si>
  <si>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</si>
  <si>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</si>
  <si>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</si>
  <si>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</si>
  <si>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</si>
  <si>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</si>
  <si>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</si>
  <si>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</si>
  <si>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</si>
  <si>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</si>
  <si>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</si>
  <si>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</si>
  <si>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</si>
  <si>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</si>
  <si>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</si>
  <si>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</si>
  <si>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</si>
  <si>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</si>
  <si>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</si>
  <si>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</si>
  <si>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</si>
  <si>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</si>
  <si>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</si>
  <si>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</si>
  <si>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</si>
  <si>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</si>
  <si>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</si>
  <si>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</si>
  <si>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</si>
  <si>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</si>
  <si>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</si>
  <si>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</si>
  <si>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</si>
  <si>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</si>
  <si>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</si>
  <si>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</si>
  <si>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</si>
  <si>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</si>
  <si>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</si>
  <si>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</si>
  <si>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</si>
  <si>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</si>
  <si>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</si>
  <si>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</si>
  <si>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</si>
  <si>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</si>
  <si>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</si>
  <si>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</si>
  <si>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</si>
  <si>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</si>
  <si>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</si>
  <si>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</si>
  <si>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</si>
  <si>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</si>
  <si>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</si>
  <si>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</si>
  <si>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</si>
  <si>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</si>
  <si>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</si>
  <si>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</si>
  <si>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</si>
  <si>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</si>
  <si>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</si>
  <si>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</si>
  <si>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</si>
  <si>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</si>
  <si>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</si>
  <si>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</si>
  <si>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</si>
  <si>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</si>
  <si>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</si>
  <si>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</si>
  <si>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</si>
  <si>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</si>
  <si>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</si>
  <si>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</si>
  <si>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</si>
  <si>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</si>
  <si>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</si>
  <si>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</si>
  <si>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</si>
  <si>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</si>
  <si>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</si>
  <si>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</si>
  <si>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</si>
  <si>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</si>
  <si>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</si>
  <si>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</si>
  <si>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</si>
  <si>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</si>
  <si>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</si>
  <si>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</si>
  <si>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</si>
  <si>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</si>
  <si>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</si>
  <si>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</si>
  <si>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</si>
  <si>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</si>
  <si>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</si>
  <si>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</si>
  <si>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</si>
  <si>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</si>
  <si>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</si>
  <si>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</si>
  <si>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</si>
  <si>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</si>
  <si>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</si>
  <si>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</si>
  <si>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</si>
  <si>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</si>
  <si>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</si>
  <si>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</si>
  <si>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</si>
  <si>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</si>
  <si>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</si>
  <si>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</si>
  <si>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</si>
  <si>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</si>
  <si>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</si>
  <si>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</si>
  <si>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</si>
  <si>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</si>
  <si>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</si>
  <si>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</si>
  <si>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</si>
  <si>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</si>
  <si>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</si>
  <si>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</si>
  <si>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</si>
  <si>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</si>
  <si>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</si>
  <si>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</si>
  <si>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</si>
  <si>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</si>
  <si>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</si>
  <si>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</si>
  <si>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</si>
  <si>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</si>
  <si>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</si>
  <si>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</si>
  <si>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</si>
  <si>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</si>
  <si>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</si>
  <si>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</si>
  <si>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</si>
  <si>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</si>
  <si>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</si>
  <si>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</si>
  <si>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</si>
  <si>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</si>
  <si>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</si>
  <si>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</si>
  <si>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</si>
  <si>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</si>
  <si>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</si>
  <si>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</si>
  <si>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</si>
  <si>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</si>
  <si>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</si>
  <si>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</si>
  <si>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</si>
  <si>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</si>
  <si>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</si>
  <si>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</si>
  <si>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</si>
  <si>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</si>
  <si>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</si>
  <si>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</si>
  <si>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</si>
  <si>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</si>
  <si>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</si>
  <si>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</si>
  <si>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</si>
  <si>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</si>
  <si>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</si>
  <si>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</si>
  <si>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</si>
  <si>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</si>
  <si>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</si>
  <si>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</si>
  <si>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</si>
  <si>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</si>
  <si>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</si>
  <si>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</si>
  <si>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</si>
  <si>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</si>
  <si>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</si>
  <si>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</si>
  <si>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</si>
  <si>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</si>
  <si>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</si>
  <si>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</si>
  <si>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</si>
  <si>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</si>
  <si>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</si>
  <si>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</si>
  <si>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</si>
  <si>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</si>
  <si>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</si>
  <si>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</si>
  <si>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</si>
  <si>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</si>
  <si>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</si>
  <si>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</si>
  <si>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</si>
  <si>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</si>
  <si>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</si>
  <si>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</si>
  <si>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</si>
  <si>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</si>
  <si>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</si>
  <si>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</si>
  <si>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</si>
  <si>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</si>
  <si>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</si>
  <si>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</si>
  <si>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</si>
  <si>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</si>
  <si>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</si>
  <si>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</si>
  <si>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</si>
  <si>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</si>
  <si>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</si>
  <si>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</si>
  <si>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</si>
  <si>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</si>
  <si>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</si>
  <si>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</si>
  <si>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</si>
  <si>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</si>
  <si>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</si>
  <si>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</si>
  <si>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</si>
  <si>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</si>
  <si>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</si>
  <si>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</si>
  <si>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</si>
  <si>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</si>
  <si>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</si>
  <si>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</si>
  <si>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</si>
  <si>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</si>
  <si>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</si>
  <si>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</si>
  <si>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</si>
  <si>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</si>
  <si>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</si>
  <si>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</si>
  <si>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</si>
  <si>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</si>
  <si>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</si>
  <si>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</si>
  <si>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</si>
  <si>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</si>
  <si>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</si>
  <si>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</si>
  <si>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</si>
  <si>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</si>
  <si>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</si>
  <si>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</si>
  <si>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</si>
  <si>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</si>
  <si>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</si>
  <si>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</si>
  <si>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</si>
  <si>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</si>
  <si>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</si>
  <si>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</si>
  <si>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</si>
  <si>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</si>
  <si>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</si>
  <si>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</si>
  <si>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</si>
  <si>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</si>
  <si>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</si>
  <si>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</si>
  <si>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</si>
  <si>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</si>
  <si>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</si>
  <si>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</si>
  <si>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</si>
  <si>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</si>
  <si>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</si>
  <si>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</si>
  <si>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</si>
  <si>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</si>
  <si>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</si>
  <si>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</si>
  <si>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</si>
  <si>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</si>
  <si>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</si>
  <si>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</si>
  <si>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</si>
  <si>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</si>
  <si>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</si>
  <si>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</si>
  <si>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</si>
  <si>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</si>
  <si>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</si>
  <si>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</si>
  <si>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</si>
  <si>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</si>
  <si>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</si>
  <si>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</si>
  <si>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</si>
  <si>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</si>
  <si>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</si>
  <si>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</si>
  <si>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</si>
  <si>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</si>
  <si>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</si>
  <si>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</si>
  <si>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</si>
  <si>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</si>
  <si>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</si>
  <si>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</si>
  <si>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</si>
  <si>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</si>
  <si>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</si>
  <si>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</si>
  <si>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</si>
  <si>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</si>
  <si>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</si>
  <si>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</si>
  <si>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</si>
  <si>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</si>
  <si>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</si>
  <si>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</si>
  <si>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</si>
  <si>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</si>
  <si>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</si>
  <si>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</si>
  <si>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</si>
  <si>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</si>
  <si>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</si>
  <si>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</si>
  <si>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</si>
  <si>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</si>
  <si>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</si>
  <si>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</si>
  <si>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</si>
  <si>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</si>
  <si>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</si>
  <si>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</si>
  <si>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</si>
  <si>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</si>
  <si>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</si>
  <si>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</si>
  <si>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</si>
  <si>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</si>
  <si>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</si>
  <si>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</si>
  <si>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</si>
  <si>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</si>
  <si>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</si>
  <si>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</si>
  <si>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</si>
  <si>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</si>
  <si>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</si>
  <si>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</si>
  <si>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</si>
  <si>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</si>
  <si>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</si>
  <si>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</si>
  <si>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</si>
  <si>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</si>
  <si>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</si>
  <si>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</si>
  <si>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</si>
  <si>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</si>
  <si>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</si>
  <si>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</si>
  <si>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</si>
  <si>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</si>
  <si>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</si>
  <si>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</si>
  <si>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</si>
  <si>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</si>
  <si>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</si>
  <si>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</si>
  <si>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</si>
  <si>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</si>
  <si>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</si>
  <si>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</si>
  <si>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</si>
  <si>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</si>
  <si>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</si>
  <si>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</si>
  <si>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</si>
  <si>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</si>
  <si>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</si>
  <si>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</si>
  <si>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</si>
  <si>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</si>
  <si>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</si>
  <si>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</si>
  <si>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</si>
  <si>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</si>
  <si>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</si>
  <si>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</si>
  <si>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</si>
  <si>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</si>
  <si>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</si>
  <si>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</si>
  <si>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</si>
  <si>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</si>
  <si>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</si>
  <si>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</si>
  <si>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</si>
  <si>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</si>
  <si>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</si>
  <si>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</si>
  <si>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</si>
  <si>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</si>
  <si>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</si>
  <si>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</si>
  <si>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</si>
  <si>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</si>
  <si>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</si>
  <si>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</si>
  <si>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</si>
  <si>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</si>
  <si>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</si>
  <si>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</si>
  <si>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</si>
  <si>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</si>
  <si>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</si>
  <si>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</si>
  <si>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</si>
  <si>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</si>
  <si>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</si>
  <si>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</si>
  <si>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</si>
  <si>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</si>
  <si>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</si>
  <si>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</si>
  <si>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</si>
  <si>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</si>
  <si>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</si>
  <si>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</si>
  <si>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</si>
  <si>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</si>
  <si>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</si>
  <si>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</si>
  <si>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</si>
  <si>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</si>
  <si>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</si>
  <si>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</si>
  <si>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</si>
  <si>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</si>
  <si>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</si>
  <si>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</si>
  <si>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</si>
  <si>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</si>
  <si>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</si>
  <si>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</si>
  <si>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</si>
  <si>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</si>
  <si>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</si>
  <si>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</si>
  <si>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</si>
  <si>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</si>
  <si>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</si>
  <si>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</si>
  <si>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</si>
  <si>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</si>
  <si>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</si>
  <si>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</si>
  <si>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</si>
  <si>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</si>
  <si>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</si>
  <si>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</si>
  <si>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</si>
  <si>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</si>
  <si>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</si>
  <si>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</si>
  <si>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</si>
  <si>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</si>
  <si>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</si>
  <si>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</si>
  <si>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</si>
  <si>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</si>
  <si>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</si>
  <si>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</si>
  <si>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</si>
  <si>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</si>
  <si>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</si>
  <si>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</si>
  <si>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</si>
  <si>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</si>
  <si>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</si>
  <si>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</si>
  <si>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</si>
  <si>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</si>
  <si>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</si>
  <si>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</si>
  <si>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</si>
  <si>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</si>
  <si>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</si>
  <si>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</si>
  <si>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</si>
  <si>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</si>
  <si>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</si>
  <si>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</si>
  <si>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</si>
  <si>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</si>
  <si>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</si>
  <si>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</si>
  <si>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</si>
  <si>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</si>
  <si>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</si>
  <si>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</si>
  <si>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</si>
  <si>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</si>
  <si>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</si>
  <si>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</si>
  <si>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</si>
  <si>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</si>
  <si>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</si>
  <si>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</si>
  <si>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</si>
  <si>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</si>
  <si>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</si>
  <si>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</si>
  <si>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</si>
  <si>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</si>
  <si>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</si>
  <si>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</si>
  <si>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</si>
  <si>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</si>
  <si>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</si>
  <si>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</si>
  <si>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</si>
  <si>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</si>
  <si>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</si>
  <si>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</si>
  <si>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</si>
  <si>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</si>
  <si>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</si>
  <si>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</si>
  <si>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</si>
  <si>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</si>
  <si>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</si>
  <si>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</si>
  <si>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</si>
  <si>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</si>
  <si>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</si>
  <si>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</si>
  <si>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</si>
  <si>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</si>
  <si>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</si>
  <si>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</si>
  <si>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</si>
  <si>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</si>
  <si>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</si>
  <si>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</si>
  <si>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</si>
  <si>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</si>
  <si>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</si>
  <si>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</si>
  <si>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</si>
  <si>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</si>
  <si>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</si>
  <si>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</si>
  <si>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</si>
  <si>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</si>
  <si>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</si>
  <si>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</si>
  <si>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</si>
  <si>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</si>
  <si>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</si>
  <si>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</si>
  <si>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</si>
  <si>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</si>
  <si>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</si>
  <si>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</si>
  <si>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</si>
  <si>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</si>
  <si>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</si>
  <si>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</si>
  <si>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</si>
  <si>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</si>
  <si>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</si>
  <si>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</si>
  <si>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</si>
  <si>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</si>
  <si>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</si>
  <si>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</si>
  <si>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</si>
  <si>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</si>
  <si>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</si>
  <si>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</si>
  <si>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</si>
  <si>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</si>
  <si>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</si>
  <si>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</si>
  <si>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</si>
  <si>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</si>
  <si>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</si>
  <si>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</si>
  <si>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</si>
  <si>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</si>
  <si>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</si>
  <si>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</si>
  <si>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</si>
  <si>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</si>
  <si>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</si>
  <si>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</si>
  <si>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</si>
  <si>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</si>
  <si>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</si>
  <si>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</si>
  <si>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</si>
  <si>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</si>
  <si>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</si>
  <si>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</si>
  <si>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</si>
  <si>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</si>
  <si>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</si>
  <si>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</si>
  <si>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</si>
  <si>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</si>
  <si>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</si>
  <si>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</si>
  <si>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</si>
  <si>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</si>
  <si>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</si>
  <si>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</si>
  <si>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</si>
  <si>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</si>
  <si>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</si>
  <si>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</si>
  <si>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</si>
  <si>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</si>
  <si>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</si>
  <si>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</si>
  <si>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</si>
  <si>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</si>
  <si>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</si>
  <si>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</si>
  <si>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</si>
  <si>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</si>
  <si>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</si>
  <si>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</si>
  <si>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</si>
  <si>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</si>
  <si>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</si>
  <si>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</si>
  <si>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</si>
  <si>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</si>
  <si>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</si>
  <si>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</si>
  <si>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</si>
  <si>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</si>
  <si>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</si>
  <si>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</si>
  <si>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</si>
  <si>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</si>
  <si>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</si>
  <si>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</si>
  <si>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</si>
  <si>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</si>
  <si>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</si>
  <si>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</si>
  <si>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</si>
  <si>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</si>
  <si>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</si>
  <si>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</si>
  <si>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</si>
  <si>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</si>
  <si>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</si>
  <si>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</si>
  <si>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</si>
  <si>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</si>
  <si>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</si>
  <si>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</si>
  <si>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</si>
  <si>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</si>
  <si>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</si>
  <si>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</si>
  <si>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</si>
  <si>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</si>
  <si>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</si>
  <si>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</si>
  <si>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</si>
  <si>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</si>
  <si>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</si>
  <si>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</si>
  <si>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</si>
  <si>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</si>
  <si>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</si>
  <si>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</si>
  <si>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</si>
  <si>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</si>
  <si>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</si>
  <si>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</si>
  <si>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</si>
  <si>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</si>
  <si>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</si>
  <si>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</si>
  <si>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</si>
  <si>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</si>
  <si>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</si>
  <si>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</si>
  <si>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</si>
  <si>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</si>
  <si>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</si>
  <si>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</si>
  <si>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</si>
  <si>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</si>
  <si>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</si>
  <si>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</si>
  <si>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</si>
  <si>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</si>
  <si>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</si>
  <si>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</si>
  <si>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</si>
  <si>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</si>
  <si>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</si>
  <si>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</si>
  <si>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</si>
  <si>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</si>
  <si>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</si>
  <si>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</si>
  <si>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</si>
  <si>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</si>
  <si>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</si>
  <si>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</si>
  <si>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</si>
  <si>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</si>
  <si>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</si>
  <si>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</si>
  <si>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</si>
  <si>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</si>
  <si>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</si>
  <si>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</si>
  <si>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</si>
  <si>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</si>
  <si>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</si>
  <si>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</si>
  <si>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</si>
  <si>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</si>
  <si>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</si>
  <si>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</si>
  <si>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</si>
  <si>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</si>
  <si>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</si>
  <si>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</si>
  <si>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</si>
  <si>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</si>
  <si>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</si>
  <si>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</si>
  <si>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</si>
  <si>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</si>
  <si>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</si>
  <si>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</si>
  <si>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</si>
  <si>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</si>
  <si>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</si>
  <si>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</si>
  <si>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</si>
  <si>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</si>
  <si>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</si>
  <si>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</si>
  <si>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</si>
  <si>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</si>
  <si>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</si>
  <si>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</si>
  <si>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</si>
  <si>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</si>
  <si>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</si>
  <si>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</si>
  <si>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</si>
  <si>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</si>
  <si>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</si>
  <si>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</si>
  <si>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</si>
  <si>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</si>
  <si>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</si>
  <si>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</si>
  <si>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</si>
  <si>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</si>
  <si>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</si>
  <si>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</si>
  <si>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</si>
  <si>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</si>
  <si>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</si>
  <si>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</si>
  <si>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</si>
  <si>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</si>
  <si>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</si>
  <si>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</si>
  <si>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</si>
  <si>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</si>
  <si>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</si>
  <si>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</si>
  <si>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</si>
  <si>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</si>
  <si>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</si>
  <si>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</si>
  <si>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</si>
  <si>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</si>
  <si>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</si>
  <si>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</si>
  <si>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</si>
  <si>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</si>
  <si>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</si>
  <si>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</si>
  <si>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</si>
  <si>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</si>
  <si>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</si>
  <si>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</si>
  <si>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</si>
  <si>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</si>
  <si>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</si>
  <si>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</si>
  <si>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</si>
  <si>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</si>
  <si>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</si>
  <si>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</si>
  <si>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</si>
  <si>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</si>
  <si>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</si>
  <si>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</si>
  <si>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</si>
  <si>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</si>
  <si>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</si>
  <si>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</si>
  <si>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</si>
  <si>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</si>
  <si>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</si>
  <si>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</si>
  <si>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</si>
  <si>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</si>
  <si>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</si>
  <si>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</si>
  <si>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</si>
  <si>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</si>
  <si>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</si>
  <si>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</si>
  <si>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</si>
  <si>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</si>
  <si>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</si>
  <si>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</si>
  <si>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</si>
  <si>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</si>
  <si>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</si>
  <si>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</si>
  <si>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</si>
  <si>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</si>
  <si>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</si>
  <si>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</si>
  <si>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</si>
  <si>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</si>
  <si>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</si>
  <si>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</si>
  <si>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</si>
  <si>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</si>
  <si>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</si>
  <si>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</si>
  <si>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</si>
  <si>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</si>
  <si>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</si>
  <si>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</si>
  <si>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</si>
  <si>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</si>
  <si>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</si>
  <si>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</si>
  <si>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</si>
  <si>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</si>
  <si>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</si>
  <si>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</si>
  <si>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</si>
  <si>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</si>
  <si>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</si>
  <si>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</si>
  <si>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</si>
  <si>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</si>
  <si>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</si>
  <si>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</si>
  <si>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</si>
  <si>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</si>
  <si>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</si>
  <si>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</si>
  <si>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</si>
  <si>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</si>
  <si>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</si>
  <si>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</si>
  <si>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</si>
  <si>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</si>
  <si>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</si>
  <si>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</si>
  <si>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</si>
  <si>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</si>
  <si>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</si>
  <si>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</si>
  <si>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</si>
  <si>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</si>
  <si>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</si>
  <si>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</si>
  <si>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</si>
  <si>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</si>
  <si>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</si>
  <si>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</si>
  <si>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</si>
  <si>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</si>
  <si>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</si>
  <si>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</si>
  <si>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</si>
  <si>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</si>
  <si>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</si>
  <si>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</si>
  <si>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</si>
  <si>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</si>
  <si>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</si>
  <si>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</si>
  <si>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</si>
  <si>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</si>
  <si>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</si>
  <si>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</si>
  <si>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</si>
  <si>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</si>
  <si>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</si>
  <si>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</si>
  <si>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</si>
  <si>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</si>
  <si>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</si>
  <si>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</si>
  <si>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</si>
  <si>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</si>
  <si>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</si>
  <si>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</si>
  <si>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</si>
  <si>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</si>
  <si>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</si>
  <si>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</si>
  <si>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</si>
  <si>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</si>
  <si>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</si>
  <si>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</si>
  <si>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</si>
  <si>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</si>
  <si>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</si>
  <si>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</si>
  <si>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</si>
  <si>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</si>
  <si>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</si>
  <si>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</si>
  <si>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</si>
  <si>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</si>
  <si>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</si>
  <si>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</si>
  <si>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</si>
  <si>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</si>
  <si>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</si>
  <si>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</si>
  <si>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</si>
  <si>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</si>
  <si>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</si>
  <si>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</si>
  <si>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</si>
  <si>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</si>
  <si>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</si>
  <si>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</si>
  <si>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</si>
  <si>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</si>
  <si>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</si>
  <si>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</si>
  <si>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</si>
  <si>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</si>
  <si>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</si>
  <si>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</si>
  <si>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</si>
  <si>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</si>
  <si>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</si>
  <si>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</si>
  <si>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</si>
  <si>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</si>
  <si>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</si>
  <si>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</si>
  <si>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</si>
  <si>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</si>
  <si>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</si>
  <si>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</si>
  <si>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</si>
  <si>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</si>
  <si>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</si>
  <si>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</si>
  <si>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</si>
  <si>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</si>
  <si>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</si>
  <si>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</si>
  <si>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</si>
  <si>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</si>
  <si>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</si>
  <si>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</si>
  <si>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</si>
  <si>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</si>
  <si>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</si>
  <si>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</si>
  <si>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</si>
  <si>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</si>
  <si>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</si>
  <si>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</si>
  <si>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</si>
  <si>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</si>
  <si>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</si>
  <si>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</si>
  <si>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</si>
  <si>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</si>
  <si>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</si>
  <si>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</si>
  <si>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</si>
  <si>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</si>
  <si>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</si>
  <si>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</si>
  <si>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</si>
  <si>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</si>
  <si>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</si>
  <si>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</si>
  <si>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</si>
  <si>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</si>
  <si>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</si>
  <si>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</si>
  <si>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</si>
  <si>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</si>
  <si>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</si>
  <si>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</si>
  <si>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</si>
  <si>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</si>
  <si>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</si>
  <si>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</si>
  <si>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</si>
  <si>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</si>
  <si>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</si>
  <si>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</si>
  <si>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</si>
  <si>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</si>
  <si>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</si>
  <si>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</si>
  <si>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</si>
  <si>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</si>
  <si>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</si>
  <si>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</si>
  <si>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</si>
  <si>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</si>
  <si>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</si>
  <si>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</si>
  <si>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</si>
  <si>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</si>
  <si>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</si>
  <si>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</si>
  <si>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</si>
  <si>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</si>
  <si>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</si>
  <si>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</si>
  <si>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</si>
  <si>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</si>
  <si>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</si>
  <si>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</si>
  <si>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</si>
  <si>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</si>
  <si>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</si>
  <si>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</si>
  <si>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</si>
  <si>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</si>
  <si>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</si>
  <si>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</si>
  <si>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</si>
  <si>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</si>
  <si>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</si>
  <si>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</si>
  <si>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</si>
  <si>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</si>
  <si>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</si>
  <si>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</si>
  <si>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</si>
  <si>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</si>
  <si>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</si>
  <si>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</si>
  <si>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</si>
  <si>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</si>
  <si>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</si>
  <si>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</si>
  <si>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</si>
  <si>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</si>
  <si>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</si>
  <si>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</si>
  <si>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</si>
  <si>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</si>
  <si>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</si>
  <si>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</si>
  <si>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</si>
  <si>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</si>
  <si>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</si>
  <si>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</si>
  <si>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</si>
  <si>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</si>
  <si>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</si>
  <si>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</si>
  <si>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</si>
  <si>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</si>
  <si>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</si>
  <si>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</si>
  <si>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</si>
  <si>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</si>
  <si>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</si>
  <si>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</si>
  <si>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</si>
  <si>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</si>
  <si>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</si>
  <si>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</si>
  <si>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</si>
  <si>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</si>
  <si>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</si>
  <si>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</si>
  <si>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</si>
  <si>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</si>
  <si>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</si>
  <si>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</si>
  <si>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</si>
  <si>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</si>
  <si>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</si>
  <si>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</si>
  <si>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</si>
  <si>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</si>
  <si>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</si>
  <si>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</si>
  <si>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</si>
  <si>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</si>
  <si>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</si>
  <si>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</si>
  <si>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</si>
  <si>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</si>
  <si>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</si>
  <si>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</si>
  <si>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</si>
  <si>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</si>
  <si>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</si>
  <si>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</si>
  <si>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</si>
  <si>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</si>
  <si>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</si>
  <si>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</si>
  <si>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</si>
  <si>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</si>
  <si>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</si>
  <si>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</si>
  <si>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</si>
  <si>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</si>
  <si>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</si>
  <si>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</si>
  <si>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</si>
  <si>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</si>
  <si>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</si>
  <si>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</si>
  <si>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</si>
  <si>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</si>
  <si>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</si>
  <si>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</si>
  <si>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</si>
  <si>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</si>
  <si>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</si>
  <si>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</si>
  <si>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</si>
  <si>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</si>
  <si>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</si>
  <si>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</si>
  <si>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</si>
  <si>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</si>
  <si>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</si>
  <si>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</si>
  <si>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</si>
  <si>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</si>
  <si>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</si>
  <si>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</si>
  <si>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</si>
  <si>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</si>
  <si>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</si>
  <si>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</si>
  <si>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</si>
  <si>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</si>
  <si>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</si>
  <si>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</si>
  <si>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</si>
  <si>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</si>
  <si>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</si>
  <si>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</si>
  <si>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</si>
  <si>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</si>
  <si>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</si>
  <si>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</si>
  <si>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</si>
  <si>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</si>
  <si>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</si>
  <si>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</si>
  <si>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</si>
  <si>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</si>
  <si>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</si>
  <si>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</si>
  <si>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</si>
  <si>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</si>
  <si>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</si>
  <si>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</si>
  <si>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</si>
  <si>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</si>
  <si>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</si>
  <si>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</si>
  <si>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</si>
  <si>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</si>
  <si>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</si>
  <si>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</si>
  <si>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</si>
  <si>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</si>
  <si>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</si>
  <si>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</si>
  <si>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</si>
  <si>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</si>
  <si>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</si>
  <si>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</si>
  <si>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</si>
  <si>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</si>
  <si>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</si>
  <si>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</si>
  <si>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</si>
  <si>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</si>
  <si>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</si>
  <si>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</si>
  <si>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</si>
  <si>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</si>
  <si>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</si>
  <si>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</si>
  <si>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</si>
  <si>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</si>
  <si>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</si>
  <si>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</si>
  <si>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</si>
  <si>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</si>
  <si>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</si>
  <si>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</si>
  <si>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</si>
  <si>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</si>
  <si>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</si>
  <si>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</si>
  <si>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</si>
  <si>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</si>
  <si>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</si>
  <si>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</si>
  <si>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</si>
  <si>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</si>
  <si>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</si>
  <si>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</si>
  <si>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</si>
  <si>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</si>
  <si>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</si>
  <si>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</si>
  <si>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</si>
  <si>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</si>
  <si>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</si>
  <si>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</si>
  <si>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</si>
  <si>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</si>
  <si>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</si>
  <si>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</si>
  <si>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</si>
  <si>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</si>
  <si>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</si>
  <si>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</si>
  <si>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</si>
  <si>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</si>
  <si>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</si>
  <si>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</si>
  <si>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</si>
  <si>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</si>
  <si>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</si>
  <si>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</si>
  <si>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</si>
  <si>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</si>
  <si>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</si>
  <si>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</si>
  <si>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</si>
  <si>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</si>
  <si>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</si>
  <si>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</si>
  <si>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</si>
  <si>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</si>
  <si>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</si>
  <si>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</si>
  <si>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</si>
  <si>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</si>
  <si>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</si>
  <si>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</si>
  <si>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</si>
  <si>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</si>
  <si>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</si>
  <si>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</si>
  <si>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</si>
  <si>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</si>
  <si>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</si>
  <si>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</si>
  <si>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</si>
  <si>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</si>
  <si>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</si>
  <si>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</si>
  <si>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</si>
  <si>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</si>
  <si>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</si>
  <si>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</si>
  <si>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</si>
  <si>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</si>
  <si>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</si>
  <si>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</si>
  <si>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</si>
  <si>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</si>
  <si>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</si>
  <si>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</si>
  <si>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</si>
  <si>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</si>
  <si>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</si>
  <si>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</si>
  <si>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</si>
  <si>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</si>
  <si>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</si>
  <si>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</si>
  <si>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</si>
  <si>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</si>
  <si>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</si>
  <si>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</si>
  <si>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</si>
  <si>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</si>
  <si>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</si>
  <si>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</si>
  <si>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</si>
  <si>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</si>
  <si>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</si>
  <si>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</si>
  <si>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</si>
  <si>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</si>
  <si>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</si>
  <si>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</si>
  <si>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</si>
  <si>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</si>
  <si>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</si>
  <si>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</si>
  <si>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</si>
  <si>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</si>
  <si>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</si>
  <si>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</si>
  <si>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</si>
  <si>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</si>
  <si>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</si>
  <si>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</si>
  <si>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</si>
  <si>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</si>
  <si>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</si>
  <si>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</si>
  <si>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</si>
  <si>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</si>
  <si>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</si>
  <si>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</si>
  <si>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</si>
  <si>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</si>
  <si>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</si>
  <si>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</si>
  <si>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</si>
  <si>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</si>
  <si>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</si>
  <si>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</si>
  <si>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</si>
  <si>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</si>
  <si>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</si>
  <si>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</si>
  <si>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</si>
  <si>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</si>
  <si>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</si>
  <si>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</si>
  <si>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</si>
  <si>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</si>
  <si>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</si>
  <si>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</si>
  <si>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</si>
  <si>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</si>
  <si>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</si>
  <si>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</si>
  <si>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</si>
  <si>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</si>
  <si>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</si>
  <si>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</si>
  <si>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</si>
  <si>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</si>
  <si>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</si>
  <si>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</si>
  <si>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</si>
  <si>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</si>
  <si>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</si>
  <si>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</si>
  <si>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</si>
  <si>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</si>
  <si>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</si>
  <si>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</si>
  <si>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</si>
  <si>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</si>
  <si>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</si>
  <si>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</si>
  <si>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</si>
  <si>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</si>
  <si>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</si>
  <si>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</si>
  <si>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</si>
  <si>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</si>
  <si>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</si>
  <si>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</si>
  <si>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</si>
  <si>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</si>
  <si>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</si>
  <si>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</si>
  <si>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</si>
  <si>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</si>
  <si>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</si>
  <si>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</si>
  <si>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</si>
  <si>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</si>
  <si>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</si>
  <si>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</si>
  <si>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</si>
  <si>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</si>
  <si>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</si>
  <si>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</si>
  <si>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</si>
  <si>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</si>
  <si>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</si>
  <si>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</si>
  <si>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</si>
  <si>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</si>
  <si>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</si>
  <si>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</si>
  <si>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</si>
  <si>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</si>
  <si>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</si>
  <si>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</si>
  <si>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</si>
  <si>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</si>
  <si>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</si>
  <si>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</si>
  <si>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</si>
  <si>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</si>
  <si>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</si>
  <si>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</si>
  <si>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</si>
  <si>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</si>
  <si>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</si>
  <si>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</si>
  <si>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</si>
  <si>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</si>
  <si>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</si>
  <si>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</si>
  <si>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</si>
  <si>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</si>
  <si>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</si>
  <si>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</si>
  <si>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</si>
  <si>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</si>
  <si>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</si>
  <si>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</si>
  <si>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</si>
  <si>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</si>
  <si>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</si>
  <si>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</si>
  <si>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</si>
  <si>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</si>
  <si>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</si>
  <si>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</si>
  <si>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</si>
  <si>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</si>
  <si>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</si>
  <si>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</si>
  <si>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</si>
  <si>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</si>
  <si>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</si>
  <si>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</si>
  <si>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</si>
  <si>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</si>
  <si>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</si>
  <si>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</si>
  <si>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</si>
  <si>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</si>
  <si>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</si>
  <si>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</si>
  <si>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</si>
  <si>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</si>
  <si>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</si>
  <si>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</si>
  <si>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</si>
  <si>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</si>
  <si>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</si>
  <si>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</si>
  <si>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</si>
  <si>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</si>
  <si>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</si>
  <si>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</si>
  <si>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</si>
  <si>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</si>
  <si>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</si>
  <si>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</si>
  <si>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</si>
  <si>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</si>
  <si>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</si>
  <si>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</si>
  <si>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</si>
  <si>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</si>
  <si>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</si>
  <si>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</si>
  <si>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</si>
  <si>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</si>
  <si>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</si>
  <si>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</si>
  <si>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</si>
  <si>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</si>
  <si>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</si>
  <si>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</si>
  <si>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</si>
  <si>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</si>
  <si>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</si>
  <si>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</si>
  <si>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</si>
  <si>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</si>
  <si>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</si>
  <si>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</si>
  <si>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</si>
  <si>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</si>
  <si>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</si>
  <si>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</si>
  <si>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</si>
  <si>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</si>
  <si>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</si>
  <si>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</si>
  <si>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</si>
  <si>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</si>
  <si>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</si>
  <si>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</si>
  <si>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</si>
  <si>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</si>
  <si>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</si>
  <si>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</si>
  <si>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</si>
  <si>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</si>
  <si>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</si>
  <si>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</si>
  <si>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</si>
  <si>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</si>
  <si>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</si>
  <si>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</si>
  <si>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</si>
  <si>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</si>
  <si>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</si>
  <si>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</si>
  <si>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</si>
  <si>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</si>
  <si>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</si>
  <si>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</si>
  <si>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</si>
  <si>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</si>
  <si>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</si>
  <si>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</si>
  <si>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</si>
  <si>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</si>
  <si>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</si>
  <si>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</si>
  <si>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</si>
  <si>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</si>
  <si>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</si>
  <si>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</si>
  <si>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</si>
  <si>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</si>
  <si>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</si>
  <si>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</si>
  <si>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</si>
  <si>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</si>
  <si>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</si>
  <si>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</si>
  <si>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</si>
  <si>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</si>
  <si>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</si>
  <si>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</si>
  <si>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</si>
  <si>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</si>
  <si>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</si>
  <si>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</si>
  <si>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</si>
  <si>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</si>
  <si>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</si>
  <si>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</si>
  <si>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</si>
  <si>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</si>
  <si>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</si>
  <si>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</si>
  <si>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</si>
  <si>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</si>
  <si>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</si>
  <si>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</si>
  <si>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</si>
  <si>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</si>
  <si>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</si>
  <si>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</si>
  <si>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</si>
  <si>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</si>
  <si>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</si>
  <si>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</si>
  <si>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</si>
  <si>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</si>
  <si>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</si>
  <si>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</si>
  <si>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</si>
  <si>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</si>
  <si>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</si>
  <si>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</si>
  <si>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</si>
  <si>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</si>
  <si>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</si>
  <si>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</si>
  <si>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</si>
  <si>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</si>
  <si>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</si>
  <si>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</si>
  <si>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</si>
  <si>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</si>
  <si>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</si>
  <si>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</si>
  <si>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</si>
  <si>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</si>
  <si>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</si>
  <si>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</si>
  <si>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</si>
  <si>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</si>
  <si>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</si>
  <si>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</si>
  <si>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</si>
  <si>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</si>
  <si>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</si>
  <si>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</si>
  <si>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</si>
  <si>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</si>
  <si>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</si>
  <si>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</si>
  <si>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</si>
  <si>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</si>
  <si>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</si>
  <si>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</si>
  <si>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</si>
  <si>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</si>
  <si>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</si>
  <si>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</si>
  <si>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</si>
  <si>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</si>
  <si>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</si>
  <si>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</si>
  <si>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</si>
  <si>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</si>
  <si>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</si>
  <si>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</si>
  <si>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</si>
  <si>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</si>
  <si>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</si>
  <si>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</si>
  <si>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</si>
  <si>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</si>
  <si>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</si>
  <si>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</si>
  <si>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</si>
  <si>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</si>
  <si>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</si>
  <si>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</si>
  <si>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</si>
  <si>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</si>
  <si>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</si>
  <si>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</si>
  <si>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</si>
  <si>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</si>
  <si>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</si>
  <si>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</si>
  <si>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</si>
  <si>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</si>
  <si>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</si>
  <si>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</si>
  <si>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</si>
  <si>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</si>
  <si>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</si>
  <si>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</si>
  <si>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</si>
  <si>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</si>
  <si>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</si>
  <si>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</si>
  <si>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</si>
  <si>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</si>
  <si>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</si>
  <si>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</si>
  <si>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</si>
  <si>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</si>
  <si>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</si>
  <si>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</si>
  <si>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</si>
  <si>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</si>
  <si>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</si>
  <si>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</si>
  <si>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</si>
  <si>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</si>
  <si>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</si>
  <si>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</si>
  <si>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</si>
  <si>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</si>
  <si>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</si>
  <si>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</si>
  <si>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</si>
  <si>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</si>
  <si>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</si>
  <si>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</si>
  <si>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</si>
  <si>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</si>
  <si>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</si>
  <si>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</si>
  <si>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</si>
  <si>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</si>
  <si>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</si>
  <si>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</si>
  <si>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</si>
  <si>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</si>
  <si>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</si>
  <si>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</si>
  <si>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</si>
  <si>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</si>
  <si>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</si>
  <si>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</si>
  <si>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</si>
  <si>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</si>
  <si>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</si>
  <si>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</si>
  <si>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</si>
  <si>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</si>
  <si>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</si>
  <si>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</si>
  <si>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</si>
  <si>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</si>
  <si>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</si>
  <si>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</si>
  <si>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</si>
  <si>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</si>
  <si>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</si>
  <si>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</si>
  <si>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</si>
  <si>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</si>
  <si>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</si>
  <si>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</si>
  <si>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</si>
  <si>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</si>
  <si>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</si>
  <si>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</si>
  <si>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</si>
  <si>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</si>
  <si>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</si>
  <si>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</si>
  <si>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</si>
  <si>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</si>
  <si>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</si>
  <si>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</si>
  <si>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</si>
  <si>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</si>
  <si>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</si>
  <si>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</si>
  <si>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</si>
  <si>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</si>
  <si>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</si>
  <si>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</si>
  <si>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</si>
  <si>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</si>
  <si>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</si>
  <si>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</si>
  <si>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</si>
  <si>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</si>
  <si>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</si>
  <si>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</si>
  <si>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</si>
  <si>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</si>
  <si>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</si>
  <si>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</si>
  <si>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</si>
  <si>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</si>
  <si>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</si>
  <si>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</si>
  <si>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</si>
  <si>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</si>
  <si>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</si>
  <si>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</si>
  <si>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</si>
  <si>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</si>
  <si>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</si>
  <si>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</si>
  <si>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</si>
  <si>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</si>
  <si>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</si>
  <si>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</si>
  <si>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</si>
  <si>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</si>
  <si>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</si>
  <si>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</si>
  <si>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</si>
  <si>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</si>
  <si>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</si>
  <si>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</si>
  <si>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</si>
  <si>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</si>
  <si>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</si>
  <si>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</si>
  <si>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</si>
  <si>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</si>
  <si>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</si>
  <si>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</si>
  <si>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</si>
  <si>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</si>
  <si>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</si>
  <si>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</si>
  <si>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</si>
  <si>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</si>
  <si>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</si>
  <si>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</si>
  <si>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</si>
  <si>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</si>
  <si>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</si>
  <si>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</si>
  <si>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</si>
  <si>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</si>
  <si>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</si>
  <si>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</si>
  <si>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</si>
  <si>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</si>
  <si>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</si>
  <si>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</si>
  <si>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</si>
  <si>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</si>
  <si>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</si>
  <si>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</si>
  <si>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</si>
  <si>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</si>
  <si>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</si>
  <si>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</si>
  <si>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</si>
  <si>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</si>
  <si>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</si>
  <si>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</si>
  <si>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</si>
  <si>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</si>
  <si>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</si>
  <si>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</si>
  <si>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</si>
  <si>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</si>
  <si>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</si>
  <si>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</si>
  <si>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</si>
  <si>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</si>
  <si>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</si>
  <si>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</si>
  <si>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</si>
  <si>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</si>
  <si>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</si>
  <si>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</si>
  <si>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</si>
  <si>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</si>
  <si>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</si>
  <si>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</si>
  <si>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</si>
  <si>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</si>
  <si>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</si>
  <si>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</si>
  <si>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</si>
  <si>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</si>
  <si>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</si>
  <si>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</si>
  <si>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</si>
  <si>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</si>
  <si>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</si>
  <si>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</si>
  <si>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</si>
  <si>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</si>
  <si>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</si>
  <si>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</si>
  <si>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</si>
  <si>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</si>
  <si>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</si>
  <si>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</si>
  <si>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</si>
  <si>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</si>
  <si>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</si>
  <si>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</si>
  <si>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</si>
  <si>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</si>
  <si>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</si>
  <si>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</si>
  <si>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</si>
  <si>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</si>
  <si>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</si>
  <si>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</si>
  <si>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</si>
  <si>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</si>
  <si>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</si>
  <si>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</si>
  <si>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</si>
  <si>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</si>
  <si>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</si>
  <si>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</si>
  <si>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</si>
  <si>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</si>
  <si>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</si>
  <si>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</si>
  <si>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</si>
  <si>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</si>
  <si>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</si>
  <si>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</si>
  <si>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</si>
  <si>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</si>
  <si>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</si>
  <si>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</si>
  <si>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</si>
  <si>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</si>
  <si>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</si>
  <si>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</si>
  <si>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</si>
  <si>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</si>
  <si>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</si>
  <si>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</si>
  <si>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</si>
  <si>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</si>
  <si>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</si>
  <si>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</si>
  <si>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</si>
  <si>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</si>
  <si>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</si>
  <si>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</si>
  <si>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</si>
  <si>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</si>
  <si>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</si>
  <si>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</si>
  <si>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</si>
  <si>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</si>
  <si>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</si>
  <si>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</si>
  <si>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</si>
  <si>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</si>
  <si>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</si>
  <si>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</si>
  <si>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</si>
  <si>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</si>
  <si>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</si>
  <si>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</si>
  <si>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</si>
  <si>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</si>
  <si>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</si>
  <si>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</si>
  <si>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</si>
  <si>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</si>
  <si>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</si>
  <si>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</si>
  <si>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</si>
  <si>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</si>
  <si>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</si>
  <si>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</si>
  <si>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</si>
  <si>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</si>
  <si>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</si>
  <si>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</si>
  <si>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</si>
  <si>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</si>
  <si>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</si>
  <si>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</si>
  <si>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</si>
  <si>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</si>
  <si>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</si>
  <si>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</si>
  <si>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</si>
  <si>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</si>
  <si>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</si>
  <si>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</si>
  <si>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</si>
  <si>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</si>
  <si>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</si>
  <si>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</si>
  <si>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</si>
  <si>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</si>
  <si>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</si>
  <si>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</si>
  <si>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</si>
  <si>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</si>
  <si>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</si>
  <si>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</si>
  <si>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</si>
  <si>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</si>
  <si>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</si>
  <si>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</si>
  <si>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</si>
  <si>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</si>
  <si>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</si>
  <si>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</si>
  <si>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</si>
  <si>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</si>
  <si>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</si>
  <si>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</si>
  <si>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</si>
  <si>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</si>
  <si>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</si>
  <si>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</si>
  <si>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</si>
  <si>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</si>
  <si>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</si>
  <si>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</si>
  <si>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</si>
  <si>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</si>
  <si>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</si>
  <si>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</si>
  <si>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</si>
  <si>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</si>
  <si>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</si>
  <si>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</si>
  <si>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</si>
  <si>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</si>
  <si>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</si>
  <si>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</si>
  <si>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</si>
  <si>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</si>
  <si>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</si>
  <si>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</si>
  <si>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</si>
  <si>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</si>
  <si>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</si>
  <si>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</si>
  <si>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</si>
  <si>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</si>
  <si>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</si>
  <si>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</si>
  <si>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</si>
  <si>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</si>
  <si>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</si>
  <si>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</si>
  <si>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</si>
  <si>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</si>
  <si>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</si>
  <si>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</si>
  <si>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</si>
  <si>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</si>
  <si>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</si>
  <si>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</si>
  <si>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</si>
  <si>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</si>
  <si>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</si>
  <si>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</si>
  <si>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</si>
  <si>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</si>
  <si>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</si>
  <si>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</si>
  <si>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</si>
  <si>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</si>
  <si>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</si>
  <si>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</si>
  <si>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</si>
  <si>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</si>
  <si>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</si>
  <si>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</si>
  <si>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</si>
  <si>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</si>
  <si>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</si>
  <si>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</si>
  <si>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</si>
  <si>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</si>
  <si>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</si>
  <si>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河北省</t>
    <phoneticPr fontId="6" type="noConversion"/>
  </si>
  <si>
    <t>崇礼县太子城</t>
    <phoneticPr fontId="6" type="noConversion"/>
  </si>
  <si>
    <t>企业</t>
  </si>
  <si>
    <t>中赫</t>
    <phoneticPr fontId="6" type="noConversion"/>
  </si>
  <si>
    <t>出让</t>
  </si>
  <si>
    <r>
      <rPr>
        <sz val="12"/>
        <color theme="9" tint="-0.249977111117893"/>
        <rFont val="宋体"/>
        <family val="3"/>
        <charset val="134"/>
      </rPr>
      <t>商业</t>
    </r>
    <r>
      <rPr>
        <sz val="12"/>
        <color theme="9" tint="-0.249977111117893"/>
        <rFont val="Arial"/>
        <family val="2"/>
      </rPr>
      <t>40</t>
    </r>
    <r>
      <rPr>
        <sz val="12"/>
        <color theme="9" tint="-0.249977111117893"/>
        <rFont val="宋体"/>
        <family val="3"/>
        <charset val="134"/>
      </rPr>
      <t>年</t>
    </r>
    <phoneticPr fontId="6" type="noConversion"/>
  </si>
  <si>
    <t>商业项目</t>
  </si>
  <si>
    <t>无</t>
  </si>
  <si>
    <t>在建</t>
  </si>
  <si>
    <t>通路</t>
  </si>
  <si>
    <t>通电</t>
  </si>
  <si>
    <t>通讯</t>
  </si>
  <si>
    <t>通上水</t>
  </si>
  <si>
    <t>通下水</t>
  </si>
  <si>
    <t>亩</t>
  </si>
  <si>
    <t>㎡</t>
  </si>
  <si>
    <t>组团名称</t>
  </si>
  <si>
    <t>用地性质
（不含广场用地）</t>
  </si>
  <si>
    <t>占地面积</t>
  </si>
  <si>
    <t>容积率</t>
  </si>
  <si>
    <t>功能</t>
  </si>
  <si>
    <t>建筑面积</t>
  </si>
  <si>
    <t>性质
（内部）</t>
  </si>
  <si>
    <t>自持</t>
  </si>
  <si>
    <t>销售</t>
  </si>
  <si>
    <t>其中：地上</t>
  </si>
  <si>
    <t>地下</t>
  </si>
  <si>
    <t>招标文件
（指导）</t>
  </si>
  <si>
    <t>控规
容积率</t>
  </si>
  <si>
    <t>选用容积率</t>
  </si>
  <si>
    <t>地上建面</t>
  </si>
  <si>
    <t>地下建面</t>
  </si>
  <si>
    <t>总建面</t>
  </si>
  <si>
    <t>文创商街</t>
  </si>
  <si>
    <t>1.0-1.5</t>
  </si>
  <si>
    <t>20%自持运营，80%可分割产权销售</t>
  </si>
  <si>
    <t>一期评估范围</t>
  </si>
  <si>
    <t>商业用地</t>
  </si>
  <si>
    <t>名品街区</t>
  </si>
  <si>
    <t>民宿-自持</t>
  </si>
  <si>
    <t>主题公寓组团</t>
  </si>
  <si>
    <t>商街</t>
  </si>
  <si>
    <t>停车场CP（含设备用房等）</t>
  </si>
  <si>
    <t>会展中心</t>
  </si>
  <si>
    <t>文化设施用地</t>
  </si>
  <si>
    <t>会展会议</t>
  </si>
  <si>
    <t>全部自持</t>
  </si>
  <si>
    <t>地下暖街</t>
  </si>
  <si>
    <t>停车场CP</t>
  </si>
  <si>
    <t>酒店</t>
  </si>
  <si>
    <t>自持/销售</t>
  </si>
  <si>
    <t>可销售</t>
  </si>
  <si>
    <t>国宾山庄</t>
  </si>
  <si>
    <t>0-0.5</t>
  </si>
  <si>
    <t>整栋销售，不可分割</t>
  </si>
  <si>
    <t>国宾接待</t>
  </si>
  <si>
    <t>五星级酒店</t>
  </si>
  <si>
    <t>酒店公寓</t>
  </si>
  <si>
    <t>庄园</t>
  </si>
  <si>
    <t>冰雪特色配套</t>
  </si>
  <si>
    <t>医院和学校需自持运营，具体规模可与政府协调，其余商业用地可分割产权销售</t>
  </si>
  <si>
    <t>商业用地（学校）</t>
  </si>
  <si>
    <t>学校</t>
  </si>
  <si>
    <t>商业用地（医院）</t>
  </si>
  <si>
    <t>医院</t>
  </si>
  <si>
    <t>绿色农业生态示范区
(西区)</t>
  </si>
  <si>
    <t>二类居住（住宅）</t>
  </si>
  <si>
    <t>住宅House</t>
  </si>
  <si>
    <t>可分割产权销售</t>
  </si>
  <si>
    <t>绿色农业生态示范区
(东区)</t>
  </si>
  <si>
    <t>东区商业</t>
  </si>
  <si>
    <t>0.5-1.0</t>
  </si>
  <si>
    <t>东区配套</t>
  </si>
  <si>
    <t>占总建面：</t>
  </si>
  <si>
    <t>地上占比</t>
  </si>
  <si>
    <t>地下占比</t>
  </si>
  <si>
    <t>是</t>
  </si>
  <si>
    <t>地上</t>
  </si>
  <si>
    <t>公寓</t>
  </si>
  <si>
    <t>公寓</t>
    <phoneticPr fontId="143" type="noConversion"/>
  </si>
  <si>
    <t>停车场</t>
    <phoneticPr fontId="143" type="noConversion"/>
  </si>
  <si>
    <t>商业出售</t>
  </si>
  <si>
    <t>商业出售</t>
    <phoneticPr fontId="143" type="noConversion"/>
  </si>
  <si>
    <t>商业自持</t>
    <phoneticPr fontId="143" type="noConversion"/>
  </si>
  <si>
    <t>项目全部</t>
  </si>
  <si>
    <t>成本法</t>
  </si>
  <si>
    <t>假设开发法</t>
  </si>
  <si>
    <t>已全部缴纳</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</si>
  <si>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</si>
  <si>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</si>
  <si>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</si>
  <si>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</si>
  <si>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</si>
  <si>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</si>
  <si>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</si>
  <si>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</si>
  <si>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</si>
  <si>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</si>
  <si>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</si>
  <si>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</si>
  <si>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</si>
  <si>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四台嘴乡太子城村</t>
  </si>
  <si>
    <t>张家口市</t>
  </si>
  <si>
    <t>商业/办公用地</t>
  </si>
  <si>
    <t>小于或等于1.3</t>
  </si>
  <si>
    <t>挂牌</t>
  </si>
  <si>
    <t>2019-01-15</t>
  </si>
  <si>
    <t>中赫太舞(张家口崇礼)文化旅游有限公司</t>
  </si>
  <si>
    <t>0星</t>
  </si>
  <si>
    <t>张家口奥体建设开发有限公司</t>
  </si>
  <si>
    <t>2019-01-14</t>
  </si>
  <si>
    <t>密苑(张家口)旅游胜地有限公司</t>
  </si>
  <si>
    <t>西湾子镇大夹道沟村</t>
  </si>
  <si>
    <t>小于或等于1.5</t>
  </si>
  <si>
    <t>张家口崇礼山水旅游房地产开发有限公司</t>
  </si>
  <si>
    <t>清水河中路地块</t>
  </si>
  <si>
    <t>大于1并且小于或等于4.5</t>
  </si>
  <si>
    <t>2018-12-26</t>
  </si>
  <si>
    <t>张家口市太星房地产开发经营有限公司</t>
  </si>
  <si>
    <t>江家屯乡太平寨村</t>
  </si>
  <si>
    <t>小于或等于0.8</t>
  </si>
  <si>
    <t>2018-12-17</t>
  </si>
  <si>
    <t>李亚东</t>
  </si>
  <si>
    <t>2018-12-10</t>
  </si>
  <si>
    <t>小于或等于0.5</t>
  </si>
  <si>
    <t>2018-11-07</t>
  </si>
  <si>
    <t>小于或等于1.8</t>
  </si>
  <si>
    <t>小于或等于0.4</t>
  </si>
  <si>
    <t>崇礼区四台嘴乡太子城村</t>
  </si>
  <si>
    <t>小于或等于2</t>
  </si>
  <si>
    <t>2018-10-29</t>
  </si>
  <si>
    <t>崇礼区西湾子镇炭窑沟村</t>
  </si>
  <si>
    <t>等于1.8</t>
  </si>
  <si>
    <t>张家口瀚海梁房地产开发有限公司</t>
  </si>
  <si>
    <t>2018-09-03</t>
  </si>
  <si>
    <t>西湾子镇东村、东沟门村</t>
  </si>
  <si>
    <t>张家口融创基业房地产开发有限公司</t>
  </si>
  <si>
    <t>崇礼区四台嘴乡转枝莲村</t>
  </si>
  <si>
    <t>小于1.1</t>
  </si>
  <si>
    <t>2018-06-01</t>
  </si>
  <si>
    <t>张家口崇礼区亚龙湾房地产开发有限公司</t>
  </si>
  <si>
    <t>崇礼区四台嘴乡窑子湾村</t>
  </si>
  <si>
    <t>张家口多乐房地产开发有限公司</t>
  </si>
  <si>
    <t>四台嘴乡营岔村</t>
  </si>
  <si>
    <t>小于或等于1</t>
  </si>
  <si>
    <t>2017-12-21</t>
  </si>
  <si>
    <t>张家口崇礼太舞旅游度假有限公司</t>
  </si>
  <si>
    <t>四台嘴乡营岔村、水泉子村</t>
  </si>
  <si>
    <t>2017-10-11</t>
  </si>
  <si>
    <t>2017-07-31</t>
  </si>
  <si>
    <t>四台嘴乡太子城村、转枝莲村</t>
  </si>
  <si>
    <t>2017-06-12</t>
  </si>
  <si>
    <t>西湾子镇东村万龙路北张承高速公路东侧</t>
  </si>
  <si>
    <t>2016-09-02</t>
  </si>
  <si>
    <t>张家口长越风情房地产开发有限公司</t>
  </si>
  <si>
    <t>2016-08-15</t>
  </si>
  <si>
    <t>三道沟(张家口)旅游胜地有限公司</t>
  </si>
  <si>
    <t>西湾子镇四道沟村</t>
  </si>
  <si>
    <t>小于0.5</t>
  </si>
  <si>
    <t>2016-08-11</t>
  </si>
  <si>
    <t>张家口云景旅游开发有限公司</t>
  </si>
  <si>
    <t>大于或等于1并且小于或等于2</t>
  </si>
  <si>
    <t>大于或等于1.5并且小于或等于2</t>
  </si>
  <si>
    <t>2016-04-25</t>
  </si>
  <si>
    <t>商业</t>
    <phoneticPr fontId="31" type="noConversion"/>
  </si>
  <si>
    <t>楼面地价</t>
  </si>
  <si>
    <t>在建（套用方法）</t>
  </si>
  <si>
    <t>按租金收入计税</t>
  </si>
  <si>
    <t>钢混</t>
  </si>
  <si>
    <t>非生产用房</t>
  </si>
  <si>
    <t>收益法</t>
  </si>
  <si>
    <t>成本比率</t>
  </si>
  <si>
    <t>吴薇</t>
  </si>
  <si>
    <t>崔锴</t>
  </si>
  <si>
    <t>押三</t>
  </si>
  <si>
    <t>收益法 (2)</t>
    <phoneticPr fontId="16" type="noConversion"/>
  </si>
  <si>
    <t>一般</t>
  </si>
  <si>
    <t>较差</t>
  </si>
  <si>
    <t>较好</t>
  </si>
  <si>
    <t>五通</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</si>
  <si>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</si>
  <si>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</si>
  <si>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</si>
  <si>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</si>
  <si>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</si>
  <si>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</si>
  <si>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</si>
  <si>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</si>
  <si>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</si>
  <si>
    <t>六通</t>
  </si>
  <si>
    <t>四通</t>
  </si>
  <si>
    <t>三通</t>
  </si>
  <si>
    <t>好</t>
  </si>
  <si>
    <t>差</t>
  </si>
  <si>
    <t>较规则</t>
  </si>
  <si>
    <t>较适宜</t>
  </si>
  <si>
    <t>太舞滑雪小镇</t>
    <phoneticPr fontId="3" type="noConversion"/>
  </si>
  <si>
    <t>云顶丽苑</t>
    <phoneticPr fontId="3" type="noConversion"/>
  </si>
  <si>
    <t>密苑太子滑雪小镇</t>
    <phoneticPr fontId="3" type="noConversion"/>
  </si>
  <si>
    <t>公寓</t>
    <phoneticPr fontId="25" type="noConversion"/>
  </si>
  <si>
    <t>30-40（含）</t>
  </si>
  <si>
    <t>酒店式公寓</t>
  </si>
  <si>
    <t>酒店式公寓</t>
    <phoneticPr fontId="25" type="noConversion"/>
  </si>
  <si>
    <t>钢混</t>
    <phoneticPr fontId="25" type="noConversion"/>
  </si>
  <si>
    <t>高档</t>
  </si>
  <si>
    <t>高档</t>
    <phoneticPr fontId="25"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</si>
  <si>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</si>
  <si>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</si>
  <si>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</si>
  <si>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</si>
  <si>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</si>
  <si>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精装修</t>
  </si>
  <si>
    <t>专业物业管理</t>
  </si>
  <si>
    <t>商业</t>
    <phoneticPr fontId="7" type="noConversion"/>
  </si>
  <si>
    <t>公寓</t>
    <phoneticPr fontId="7" type="noConversion"/>
  </si>
  <si>
    <t>商业</t>
    <phoneticPr fontId="143"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</si>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</sst>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000_);[Red]\(#,##0.0000\)"/>
    <numFmt numFmtId="199" formatCode="#,##0.0_);[Red]\(#,##0.0\)"/>
    <numFmt numFmtId="200" formatCode="_ * #,##0.00_ ;_ * \-#,##0.00_ ;_ * &quot;-&quot;??_ ;_ @_ "/>
    <numFmt numFmtId="201" formatCode="#,##0.00_);[Red]\(#,##0.00\)"/>
    <numFmt numFmtId="202" formatCode="_ * #,##0_ ;_ * \-#,##0_ ;_ * &quot;-&quot;??_ ;_ @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9"/>
      <color indexed="2"/>
      <name val="微软雅黑"/>
      <family val="2"/>
      <charset val="134"/>
    </font>
    <font>
      <sz val="9"/>
      <name val="微软雅黑"/>
      <family val="2"/>
      <charset val="134"/>
    </font>
    <font>
      <b/>
      <sz val="10"/>
      <color theme="0"/>
      <name val="微软雅黑"/>
      <family val="2"/>
      <charset val="134"/>
    </font>
    <font>
      <b/>
      <sz val="10"/>
      <color indexed="5"/>
      <name val="微软雅黑"/>
      <family val="2"/>
      <charset val="134"/>
    </font>
    <font>
      <sz val="12"/>
      <color theme="0"/>
      <name val="宋体"/>
      <family val="3"/>
      <charset val="134"/>
    </font>
    <font>
      <b/>
      <sz val="9"/>
      <color theme="1"/>
      <name val="微软雅黑"/>
      <family val="2"/>
      <charset val="134"/>
    </font>
    <font>
      <b/>
      <sz val="9"/>
      <color indexed="64"/>
      <name val="微软雅黑"/>
      <family val="2"/>
      <charset val="134"/>
    </font>
    <font>
      <b/>
      <sz val="9"/>
      <name val="微软雅黑"/>
      <family val="2"/>
      <charset val="134"/>
    </font>
    <font>
      <b/>
      <sz val="9"/>
      <color indexed="4"/>
      <name val="微软雅黑"/>
      <family val="2"/>
      <charset val="134"/>
    </font>
    <font>
      <sz val="9"/>
      <color indexed="64"/>
      <name val="微软雅黑"/>
      <family val="2"/>
      <charset val="134"/>
    </font>
    <font>
      <sz val="9"/>
      <color indexed="4"/>
      <name val="微软雅黑"/>
      <family val="2"/>
      <charset val="134"/>
    </font>
    <font>
      <b/>
      <sz val="9"/>
      <color indexed="2"/>
      <name val="微软雅黑"/>
      <family val="2"/>
      <charset val="134"/>
    </font>
    <font>
      <sz val="12"/>
      <color indexed="2"/>
      <name val="宋体"/>
      <family val="3"/>
      <charset val="134"/>
    </font>
    <font>
      <b/>
      <sz val="9"/>
      <name val="Tahoma"/>
      <family val="2"/>
    </font>
    <font>
      <sz val="9"/>
      <name val="Tahom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749992370372631"/>
        <bgColor theme="2" tint="-0.749992370372631"/>
      </patternFill>
    </fill>
    <fill>
      <patternFill patternType="solid">
        <fgColor theme="5" tint="0.79998168889431442"/>
        <bgColor theme="5" tint="0.79998168889431442"/>
      </patternFill>
    </fill>
    <fill>
      <patternFill patternType="solid">
        <fgColor indexed="5"/>
        <bgColor indexed="5"/>
      </patternFill>
    </fill>
    <fill>
      <patternFill patternType="solid">
        <fgColor theme="8" tint="0.79998168889431442"/>
        <bgColor theme="8" tint="0.79998168889431442"/>
      </patternFill>
    </fill>
    <fill>
      <patternFill patternType="solid">
        <fgColor theme="9"/>
        <bgColor theme="9"/>
      </patternFill>
    </fill>
    <fill>
      <patternFill patternType="solid">
        <fgColor theme="4" tint="0.79998168889431442"/>
        <bgColor theme="4" tint="0.79998168889431442"/>
      </patternFill>
    </fill>
  </fills>
  <borders count="2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indexed="64"/>
      </right>
      <top/>
      <bottom style="thin">
        <color theme="1"/>
      </bottom>
      <diagonal/>
    </border>
    <border>
      <left style="thin">
        <color theme="1"/>
      </left>
      <right style="thin">
        <color theme="1"/>
      </right>
      <top style="thin">
        <color theme="1"/>
      </top>
      <bottom/>
      <diagonal/>
    </border>
    <border>
      <left/>
      <right style="thin">
        <color theme="0" tint="-0.499984740745262"/>
      </right>
      <top style="thin">
        <color indexed="64"/>
      </top>
      <bottom/>
      <diagonal/>
    </border>
    <border>
      <left style="thin">
        <color theme="0" tint="-0.499984740745262"/>
      </left>
      <right/>
      <top style="thin">
        <color indexed="64"/>
      </top>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indexed="64"/>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right style="thin">
        <color indexed="64"/>
      </right>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indexed="64"/>
      </right>
      <top style="thin">
        <color indexed="64"/>
      </top>
      <bottom/>
      <diagonal/>
    </border>
    <border>
      <left style="thin">
        <color theme="0" tint="-0.499984740745262"/>
      </left>
      <right style="thin">
        <color indexed="64"/>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indexed="64"/>
      </right>
      <top/>
      <bottom/>
      <diagonal/>
    </border>
    <border>
      <left style="thin">
        <color theme="1"/>
      </left>
      <right style="thin">
        <color theme="1"/>
      </right>
      <top/>
      <bottom style="thin">
        <color theme="1"/>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theme="0" tint="-0.499984740745262"/>
      </left>
      <right/>
      <top style="thin">
        <color theme="1"/>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right/>
      <top style="thin">
        <color theme="0" tint="-0.499984740745262"/>
      </top>
      <bottom/>
      <diagonal/>
    </border>
    <border>
      <left/>
      <right style="thin">
        <color indexed="64"/>
      </right>
      <top style="thin">
        <color theme="0" tint="-0.499984740745262"/>
      </top>
      <bottom/>
      <diagonal/>
    </border>
    <border>
      <left style="thin">
        <color indexed="64"/>
      </left>
      <right style="thin">
        <color indexed="64"/>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theme="0" tint="-0.499984740745262"/>
      </top>
      <bottom/>
      <diagonal/>
    </border>
    <border>
      <left style="thin">
        <color indexed="64"/>
      </left>
      <right style="thin">
        <color indexed="64"/>
      </right>
      <top/>
      <bottom style="thin">
        <color theme="0" tint="-0.499984740745262"/>
      </bottom>
      <diagonal/>
    </border>
    <border>
      <left style="thin">
        <color theme="1"/>
      </left>
      <right style="thin">
        <color theme="1"/>
      </right>
      <top style="thin">
        <color theme="1"/>
      </top>
      <bottom style="thin">
        <color theme="1"/>
      </bottom>
      <diagonal/>
    </border>
    <border>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0" fontId="37" fillId="0" borderId="0">
      <alignment vertical="center"/>
    </xf>
    <xf numFmtId="200" fontId="37" fillId="0" borderId="0">
      <alignment vertical="center"/>
    </xf>
    <xf numFmtId="9" fontId="37"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197" fontId="254" fillId="0" borderId="0" xfId="17" applyNumberFormat="1" applyFont="1" applyAlignment="1">
      <alignment horizontal="left" vertical="center" wrapText="1"/>
    </xf>
    <xf numFmtId="197" fontId="254" fillId="0" borderId="0" xfId="17" applyNumberFormat="1" applyFont="1" applyAlignment="1">
      <alignment horizontal="center" vertical="center"/>
    </xf>
    <xf numFmtId="197" fontId="255" fillId="0" borderId="0" xfId="17" applyNumberFormat="1" applyFont="1" applyAlignment="1">
      <alignment horizontal="center" vertical="center"/>
    </xf>
    <xf numFmtId="197" fontId="254" fillId="0" borderId="0" xfId="17" applyNumberFormat="1" applyFont="1" applyAlignment="1">
      <alignment horizontal="center" vertical="center" wrapText="1"/>
    </xf>
    <xf numFmtId="0" fontId="37" fillId="0" borderId="0" xfId="18" applyFont="1" applyAlignment="1">
      <alignment vertical="center"/>
    </xf>
    <xf numFmtId="197" fontId="254" fillId="0" borderId="156" xfId="17" applyNumberFormat="1" applyFont="1" applyBorder="1" applyAlignment="1">
      <alignment horizontal="center" vertical="center"/>
    </xf>
    <xf numFmtId="197" fontId="256" fillId="0" borderId="36" xfId="17" applyNumberFormat="1" applyFont="1" applyBorder="1" applyAlignment="1">
      <alignment horizontal="center" vertical="center"/>
    </xf>
    <xf numFmtId="198" fontId="254" fillId="0" borderId="36" xfId="17" applyNumberFormat="1" applyFont="1" applyBorder="1" applyAlignment="1">
      <alignment horizontal="center" vertical="center"/>
    </xf>
    <xf numFmtId="197" fontId="254" fillId="0" borderId="157" xfId="17" applyNumberFormat="1" applyFont="1" applyBorder="1" applyAlignment="1">
      <alignment horizontal="center" vertical="center"/>
    </xf>
    <xf numFmtId="197" fontId="254" fillId="0" borderId="158" xfId="17" applyNumberFormat="1" applyFont="1" applyBorder="1" applyAlignment="1">
      <alignment horizontal="center" vertical="center"/>
    </xf>
    <xf numFmtId="197" fontId="256" fillId="0" borderId="159" xfId="17" applyNumberFormat="1" applyFont="1" applyBorder="1" applyAlignment="1">
      <alignment horizontal="center" vertical="center"/>
    </xf>
    <xf numFmtId="197" fontId="254" fillId="0" borderId="159" xfId="17" applyNumberFormat="1" applyFont="1" applyBorder="1" applyAlignment="1">
      <alignment horizontal="center" vertical="center"/>
    </xf>
    <xf numFmtId="197" fontId="254" fillId="0" borderId="160" xfId="17" applyNumberFormat="1" applyFont="1" applyBorder="1" applyAlignment="1">
      <alignment horizontal="center" vertical="center"/>
    </xf>
    <xf numFmtId="199" fontId="254" fillId="0" borderId="0" xfId="17" applyNumberFormat="1" applyFont="1" applyAlignment="1">
      <alignment horizontal="center" vertical="center"/>
    </xf>
    <xf numFmtId="0" fontId="259" fillId="0" borderId="0" xfId="18" applyFont="1" applyAlignment="1">
      <alignment vertical="center"/>
    </xf>
    <xf numFmtId="197" fontId="257" fillId="17" borderId="174" xfId="17" applyNumberFormat="1" applyFont="1" applyFill="1" applyBorder="1" applyAlignment="1">
      <alignment horizontal="center" vertical="center" wrapText="1"/>
    </xf>
    <xf numFmtId="197" fontId="257" fillId="17" borderId="177" xfId="17" applyNumberFormat="1" applyFont="1" applyFill="1" applyBorder="1" applyAlignment="1">
      <alignment horizontal="center" vertical="center" wrapText="1"/>
    </xf>
    <xf numFmtId="197" fontId="257" fillId="17" borderId="170" xfId="17" applyNumberFormat="1" applyFont="1" applyFill="1" applyBorder="1" applyAlignment="1">
      <alignment horizontal="center" vertical="center" wrapText="1"/>
    </xf>
    <xf numFmtId="197" fontId="257" fillId="17" borderId="171" xfId="17" applyNumberFormat="1" applyFont="1" applyFill="1" applyBorder="1" applyAlignment="1">
      <alignment horizontal="center" vertical="center" wrapText="1"/>
    </xf>
    <xf numFmtId="197" fontId="257" fillId="17" borderId="180" xfId="17" applyNumberFormat="1" applyFont="1" applyFill="1" applyBorder="1" applyAlignment="1">
      <alignment horizontal="center" vertical="center" wrapText="1"/>
    </xf>
    <xf numFmtId="197" fontId="257" fillId="17" borderId="182" xfId="17" applyNumberFormat="1" applyFont="1" applyFill="1" applyBorder="1" applyAlignment="1">
      <alignment horizontal="center" vertical="center"/>
    </xf>
    <xf numFmtId="197" fontId="257" fillId="17" borderId="183" xfId="17" applyNumberFormat="1" applyFont="1" applyFill="1" applyBorder="1" applyAlignment="1">
      <alignment horizontal="center" vertical="center"/>
    </xf>
    <xf numFmtId="197" fontId="257" fillId="17" borderId="183" xfId="17" applyNumberFormat="1" applyFont="1" applyFill="1" applyBorder="1" applyAlignment="1">
      <alignment vertical="center" wrapText="1"/>
    </xf>
    <xf numFmtId="197" fontId="257" fillId="17" borderId="184" xfId="17" applyNumberFormat="1" applyFont="1" applyFill="1" applyBorder="1" applyAlignment="1">
      <alignment vertical="center" wrapText="1"/>
    </xf>
    <xf numFmtId="197" fontId="257" fillId="17" borderId="185" xfId="17" applyNumberFormat="1" applyFont="1" applyFill="1" applyBorder="1" applyAlignment="1">
      <alignment horizontal="center" vertical="center"/>
    </xf>
    <xf numFmtId="197" fontId="257" fillId="17" borderId="186" xfId="17" applyNumberFormat="1" applyFont="1" applyFill="1" applyBorder="1" applyAlignment="1">
      <alignment horizontal="center" vertical="center"/>
    </xf>
    <xf numFmtId="197" fontId="257" fillId="17" borderId="187" xfId="17" applyNumberFormat="1" applyFont="1" applyFill="1" applyBorder="1" applyAlignment="1">
      <alignment horizontal="center" vertical="center"/>
    </xf>
    <xf numFmtId="197" fontId="257" fillId="17" borderId="188" xfId="17" applyNumberFormat="1" applyFont="1" applyFill="1" applyBorder="1" applyAlignment="1">
      <alignment horizontal="center" vertical="center"/>
    </xf>
    <xf numFmtId="197" fontId="257" fillId="17" borderId="189" xfId="17" applyNumberFormat="1" applyFont="1" applyFill="1" applyBorder="1" applyAlignment="1">
      <alignment horizontal="center" vertical="center"/>
    </xf>
    <xf numFmtId="197" fontId="260" fillId="18" borderId="188" xfId="17" applyNumberFormat="1" applyFont="1" applyFill="1" applyBorder="1" applyAlignment="1">
      <alignment horizontal="left" vertical="center" wrapText="1"/>
    </xf>
    <xf numFmtId="197" fontId="261" fillId="18" borderId="188" xfId="19" applyNumberFormat="1" applyFont="1" applyFill="1" applyBorder="1" applyAlignment="1">
      <alignment horizontal="center" vertical="center" wrapText="1"/>
    </xf>
    <xf numFmtId="197" fontId="262" fillId="18" borderId="188" xfId="19" applyNumberFormat="1" applyFont="1" applyFill="1" applyBorder="1" applyAlignment="1">
      <alignment horizontal="center" vertical="center" wrapText="1"/>
    </xf>
    <xf numFmtId="197" fontId="261" fillId="18" borderId="188" xfId="17" applyNumberFormat="1" applyFont="1" applyFill="1" applyBorder="1" applyAlignment="1">
      <alignment horizontal="center" vertical="center" wrapText="1"/>
    </xf>
    <xf numFmtId="201" fontId="262" fillId="18" borderId="190" xfId="0" applyNumberFormat="1" applyFont="1" applyFill="1" applyBorder="1" applyAlignment="1">
      <alignment horizontal="center" vertical="center"/>
    </xf>
    <xf numFmtId="197" fontId="260" fillId="18" borderId="191" xfId="19" applyNumberFormat="1" applyFont="1" applyFill="1" applyBorder="1" applyAlignment="1">
      <alignment horizontal="center" vertical="center"/>
    </xf>
    <xf numFmtId="202" fontId="260" fillId="18" borderId="192" xfId="19" applyNumberFormat="1" applyFont="1" applyFill="1" applyBorder="1" applyAlignment="1">
      <alignment horizontal="center" vertical="center"/>
    </xf>
    <xf numFmtId="202" fontId="260" fillId="18" borderId="193" xfId="19" applyNumberFormat="1" applyFont="1" applyFill="1" applyBorder="1" applyAlignment="1">
      <alignment horizontal="center" vertical="center"/>
    </xf>
    <xf numFmtId="202" fontId="262" fillId="18" borderId="193" xfId="19" applyNumberFormat="1" applyFont="1" applyFill="1" applyBorder="1" applyAlignment="1">
      <alignment horizontal="center" vertical="center"/>
    </xf>
    <xf numFmtId="197" fontId="263" fillId="18" borderId="194" xfId="19" applyNumberFormat="1" applyFont="1" applyFill="1" applyBorder="1" applyAlignment="1">
      <alignment horizontal="center" vertical="center"/>
    </xf>
    <xf numFmtId="202" fontId="260" fillId="18" borderId="195" xfId="19" applyNumberFormat="1" applyFont="1" applyFill="1" applyBorder="1" applyAlignment="1">
      <alignment horizontal="center" vertical="center"/>
    </xf>
    <xf numFmtId="202" fontId="260" fillId="18" borderId="196" xfId="19" applyNumberFormat="1" applyFont="1" applyFill="1" applyBorder="1" applyAlignment="1">
      <alignment horizontal="center" vertical="center"/>
    </xf>
    <xf numFmtId="202" fontId="260" fillId="18" borderId="197" xfId="19" applyNumberFormat="1" applyFont="1" applyFill="1" applyBorder="1" applyAlignment="1">
      <alignment horizontal="center" vertical="center"/>
    </xf>
    <xf numFmtId="197" fontId="263" fillId="18" borderId="194" xfId="19" applyNumberFormat="1" applyFont="1" applyFill="1" applyBorder="1" applyAlignment="1">
      <alignment horizontal="center" vertical="center" wrapText="1"/>
    </xf>
    <xf numFmtId="197" fontId="264" fillId="18" borderId="175" xfId="19" applyNumberFormat="1" applyFont="1" applyFill="1" applyBorder="1" applyAlignment="1">
      <alignment vertical="center" wrapText="1"/>
    </xf>
    <xf numFmtId="197" fontId="256" fillId="18" borderId="198" xfId="19" applyNumberFormat="1" applyFont="1" applyFill="1" applyBorder="1" applyAlignment="1">
      <alignment vertical="center" wrapText="1"/>
    </xf>
    <xf numFmtId="197" fontId="264" fillId="18" borderId="198" xfId="17" applyNumberFormat="1" applyFont="1" applyFill="1" applyBorder="1" applyAlignment="1">
      <alignment vertical="center" wrapText="1"/>
    </xf>
    <xf numFmtId="199" fontId="265" fillId="18" borderId="199" xfId="17" applyNumberFormat="1" applyFont="1" applyFill="1" applyBorder="1" applyAlignment="1">
      <alignment vertical="center"/>
    </xf>
    <xf numFmtId="197" fontId="254" fillId="18" borderId="200" xfId="17" applyNumberFormat="1" applyFont="1" applyFill="1" applyBorder="1" applyAlignment="1">
      <alignment horizontal="left" vertical="center"/>
    </xf>
    <xf numFmtId="202" fontId="265" fillId="18" borderId="201" xfId="19" applyNumberFormat="1" applyFont="1" applyFill="1" applyBorder="1" applyAlignment="1">
      <alignment horizontal="center" vertical="center"/>
    </xf>
    <xf numFmtId="202" fontId="265" fillId="18" borderId="196" xfId="19" applyNumberFormat="1" applyFont="1" applyFill="1" applyBorder="1" applyAlignment="1">
      <alignment horizontal="center" vertical="center"/>
    </xf>
    <xf numFmtId="202" fontId="256" fillId="18" borderId="196" xfId="19" applyNumberFormat="1" applyFont="1" applyFill="1" applyBorder="1" applyAlignment="1">
      <alignment horizontal="center" vertical="center"/>
    </xf>
    <xf numFmtId="197" fontId="265" fillId="18" borderId="197" xfId="19" applyNumberFormat="1" applyFont="1" applyFill="1" applyBorder="1" applyAlignment="1">
      <alignment horizontal="center" vertical="center"/>
    </xf>
    <xf numFmtId="202" fontId="254" fillId="18" borderId="195" xfId="19" applyNumberFormat="1" applyFont="1" applyFill="1" applyBorder="1" applyAlignment="1">
      <alignment horizontal="center" vertical="center"/>
    </xf>
    <xf numFmtId="202" fontId="254" fillId="18" borderId="196" xfId="19" applyNumberFormat="1" applyFont="1" applyFill="1" applyBorder="1" applyAlignment="1">
      <alignment horizontal="center" vertical="center"/>
    </xf>
    <xf numFmtId="202" fontId="254" fillId="18" borderId="197" xfId="19" applyNumberFormat="1" applyFont="1" applyFill="1" applyBorder="1" applyAlignment="1">
      <alignment horizontal="center" vertical="center"/>
    </xf>
    <xf numFmtId="197" fontId="265" fillId="18" borderId="197" xfId="19" applyNumberFormat="1" applyFont="1" applyFill="1" applyBorder="1" applyAlignment="1">
      <alignment horizontal="center" vertical="center" wrapText="1"/>
    </xf>
    <xf numFmtId="197" fontId="264" fillId="18" borderId="178" xfId="19" applyNumberFormat="1" applyFont="1" applyFill="1" applyBorder="1" applyAlignment="1">
      <alignment vertical="center" wrapText="1"/>
    </xf>
    <xf numFmtId="197" fontId="256" fillId="18" borderId="0" xfId="19" applyNumberFormat="1" applyFont="1" applyFill="1" applyAlignment="1">
      <alignment vertical="center" wrapText="1"/>
    </xf>
    <xf numFmtId="197" fontId="264" fillId="18" borderId="0" xfId="17" applyNumberFormat="1" applyFont="1" applyFill="1" applyAlignment="1">
      <alignment vertical="center" wrapText="1"/>
    </xf>
    <xf numFmtId="199" fontId="265" fillId="18" borderId="35" xfId="17" applyNumberFormat="1" applyFont="1" applyFill="1" applyBorder="1" applyAlignment="1">
      <alignment vertical="center"/>
    </xf>
    <xf numFmtId="197" fontId="264" fillId="18" borderId="168" xfId="19" applyNumberFormat="1" applyFont="1" applyFill="1" applyBorder="1" applyAlignment="1">
      <alignment vertical="center" wrapText="1"/>
    </xf>
    <xf numFmtId="197" fontId="256" fillId="18" borderId="169" xfId="19" applyNumberFormat="1" applyFont="1" applyFill="1" applyBorder="1" applyAlignment="1">
      <alignment vertical="center" wrapText="1"/>
    </xf>
    <xf numFmtId="197" fontId="264" fillId="18" borderId="169" xfId="17" applyNumberFormat="1" applyFont="1" applyFill="1" applyBorder="1" applyAlignment="1">
      <alignment vertical="center" wrapText="1"/>
    </xf>
    <xf numFmtId="199" fontId="265" fillId="18" borderId="172" xfId="17" applyNumberFormat="1" applyFont="1" applyFill="1" applyBorder="1" applyAlignment="1">
      <alignment vertical="center"/>
    </xf>
    <xf numFmtId="197" fontId="254" fillId="18" borderId="197" xfId="0" applyNumberFormat="1" applyFont="1" applyFill="1" applyBorder="1" applyAlignment="1">
      <alignment horizontal="left" vertical="center"/>
    </xf>
    <xf numFmtId="197" fontId="260" fillId="20" borderId="196" xfId="17" applyNumberFormat="1" applyFont="1" applyFill="1" applyBorder="1" applyAlignment="1">
      <alignment horizontal="left" vertical="center" wrapText="1"/>
    </xf>
    <xf numFmtId="197" fontId="261" fillId="20" borderId="196" xfId="19" applyNumberFormat="1" applyFont="1" applyFill="1" applyBorder="1" applyAlignment="1">
      <alignment horizontal="center" vertical="center" wrapText="1"/>
    </xf>
    <xf numFmtId="197" fontId="262" fillId="20" borderId="196" xfId="19" applyNumberFormat="1" applyFont="1" applyFill="1" applyBorder="1" applyAlignment="1">
      <alignment horizontal="center" vertical="center" wrapText="1"/>
    </xf>
    <xf numFmtId="197" fontId="261" fillId="20" borderId="196" xfId="17" applyNumberFormat="1" applyFont="1" applyFill="1" applyBorder="1" applyAlignment="1">
      <alignment horizontal="center" vertical="center" wrapText="1"/>
    </xf>
    <xf numFmtId="201" fontId="262" fillId="20" borderId="202" xfId="17" applyNumberFormat="1" applyFont="1" applyFill="1" applyBorder="1" applyAlignment="1">
      <alignment horizontal="center" vertical="center"/>
    </xf>
    <xf numFmtId="197" fontId="260" fillId="20" borderId="200" xfId="19" applyNumberFormat="1" applyFont="1" applyFill="1" applyBorder="1" applyAlignment="1">
      <alignment horizontal="left" vertical="center"/>
    </xf>
    <xf numFmtId="202" fontId="262" fillId="20" borderId="201" xfId="19" applyNumberFormat="1" applyFont="1" applyFill="1" applyBorder="1" applyAlignment="1">
      <alignment horizontal="center" vertical="center"/>
    </xf>
    <xf numFmtId="202" fontId="262" fillId="20" borderId="196" xfId="19" applyNumberFormat="1" applyFont="1" applyFill="1" applyBorder="1" applyAlignment="1">
      <alignment horizontal="center" vertical="center"/>
    </xf>
    <xf numFmtId="197" fontId="263" fillId="20" borderId="197" xfId="19" applyNumberFormat="1" applyFont="1" applyFill="1" applyBorder="1" applyAlignment="1">
      <alignment horizontal="center" vertical="center"/>
    </xf>
    <xf numFmtId="202" fontId="260" fillId="20" borderId="195" xfId="19" applyNumberFormat="1" applyFont="1" applyFill="1" applyBorder="1" applyAlignment="1">
      <alignment horizontal="center" vertical="center"/>
    </xf>
    <xf numFmtId="202" fontId="260" fillId="20" borderId="196" xfId="19" applyNumberFormat="1" applyFont="1" applyFill="1" applyBorder="1" applyAlignment="1">
      <alignment horizontal="center" vertical="center"/>
    </xf>
    <xf numFmtId="202" fontId="260" fillId="20" borderId="197" xfId="19" applyNumberFormat="1" applyFont="1" applyFill="1" applyBorder="1" applyAlignment="1">
      <alignment horizontal="center" vertical="center"/>
    </xf>
    <xf numFmtId="197" fontId="263" fillId="20" borderId="197" xfId="19" applyNumberFormat="1" applyFont="1" applyFill="1" applyBorder="1" applyAlignment="1">
      <alignment horizontal="center" vertical="center" wrapText="1"/>
    </xf>
    <xf numFmtId="197" fontId="254" fillId="20" borderId="200" xfId="19" applyNumberFormat="1" applyFont="1" applyFill="1" applyBorder="1" applyAlignment="1">
      <alignment horizontal="left" vertical="center"/>
    </xf>
    <xf numFmtId="202" fontId="265" fillId="20" borderId="201" xfId="19" applyNumberFormat="1" applyFont="1" applyFill="1" applyBorder="1" applyAlignment="1">
      <alignment horizontal="center" vertical="center"/>
    </xf>
    <xf numFmtId="202" fontId="265" fillId="20" borderId="196" xfId="19" applyNumberFormat="1" applyFont="1" applyFill="1" applyBorder="1" applyAlignment="1">
      <alignment horizontal="center" vertical="center"/>
    </xf>
    <xf numFmtId="202" fontId="256" fillId="20" borderId="196" xfId="19" applyNumberFormat="1" applyFont="1" applyFill="1" applyBorder="1" applyAlignment="1">
      <alignment horizontal="center" vertical="center"/>
    </xf>
    <xf numFmtId="197" fontId="265" fillId="20" borderId="197" xfId="19" applyNumberFormat="1" applyFont="1" applyFill="1" applyBorder="1" applyAlignment="1">
      <alignment horizontal="center" vertical="center"/>
    </xf>
    <xf numFmtId="202" fontId="254" fillId="20" borderId="195" xfId="19" applyNumberFormat="1" applyFont="1" applyFill="1" applyBorder="1" applyAlignment="1">
      <alignment horizontal="center" vertical="center"/>
    </xf>
    <xf numFmtId="202" fontId="254" fillId="20" borderId="196" xfId="19" applyNumberFormat="1" applyFont="1" applyFill="1" applyBorder="1" applyAlignment="1">
      <alignment horizontal="center" vertical="center"/>
    </xf>
    <xf numFmtId="202" fontId="254" fillId="20" borderId="197" xfId="19" applyNumberFormat="1" applyFont="1" applyFill="1" applyBorder="1" applyAlignment="1">
      <alignment horizontal="center" vertical="center"/>
    </xf>
    <xf numFmtId="197" fontId="254" fillId="20" borderId="174" xfId="17" applyNumberFormat="1" applyFont="1" applyFill="1" applyBorder="1" applyAlignment="1">
      <alignment horizontal="left" vertical="center" wrapText="1"/>
    </xf>
    <xf numFmtId="197" fontId="264" fillId="20" borderId="174" xfId="19" applyNumberFormat="1" applyFont="1" applyFill="1" applyBorder="1" applyAlignment="1">
      <alignment horizontal="center" vertical="center" wrapText="1"/>
    </xf>
    <xf numFmtId="197" fontId="256" fillId="20" borderId="174" xfId="19" applyNumberFormat="1" applyFont="1" applyFill="1" applyBorder="1" applyAlignment="1">
      <alignment horizontal="center" vertical="center" wrapText="1"/>
    </xf>
    <xf numFmtId="197" fontId="264" fillId="20" borderId="174" xfId="17" applyNumberFormat="1" applyFont="1" applyFill="1" applyBorder="1" applyAlignment="1">
      <alignment horizontal="center" vertical="center" wrapText="1"/>
    </xf>
    <xf numFmtId="201" fontId="256" fillId="20" borderId="175" xfId="17" applyNumberFormat="1" applyFont="1" applyFill="1" applyBorder="1" applyAlignment="1">
      <alignment horizontal="center" vertical="center"/>
    </xf>
    <xf numFmtId="197" fontId="260" fillId="18" borderId="196" xfId="17" applyNumberFormat="1" applyFont="1" applyFill="1" applyBorder="1" applyAlignment="1">
      <alignment horizontal="left" vertical="center" wrapText="1"/>
    </xf>
    <xf numFmtId="197" fontId="261" fillId="18" borderId="174" xfId="19" applyNumberFormat="1" applyFont="1" applyFill="1" applyBorder="1" applyAlignment="1">
      <alignment horizontal="center" vertical="center" wrapText="1"/>
    </xf>
    <xf numFmtId="197" fontId="262" fillId="18" borderId="174" xfId="19" applyNumberFormat="1" applyFont="1" applyFill="1" applyBorder="1" applyAlignment="1">
      <alignment horizontal="center" vertical="center" wrapText="1"/>
    </xf>
    <xf numFmtId="197" fontId="261" fillId="18" borderId="174" xfId="17" applyNumberFormat="1" applyFont="1" applyFill="1" applyBorder="1" applyAlignment="1">
      <alignment horizontal="center" vertical="center" wrapText="1"/>
    </xf>
    <xf numFmtId="201" fontId="262" fillId="18" borderId="175" xfId="17" applyNumberFormat="1" applyFont="1" applyFill="1" applyBorder="1" applyAlignment="1">
      <alignment horizontal="center" vertical="center"/>
    </xf>
    <xf numFmtId="197" fontId="260" fillId="18" borderId="200" xfId="19" applyNumberFormat="1" applyFont="1" applyFill="1" applyBorder="1" applyAlignment="1">
      <alignment horizontal="left" vertical="center"/>
    </xf>
    <xf numFmtId="202" fontId="262" fillId="18" borderId="201" xfId="19" applyNumberFormat="1" applyFont="1" applyFill="1" applyBorder="1" applyAlignment="1">
      <alignment horizontal="center" vertical="center"/>
    </xf>
    <xf numFmtId="202" fontId="262" fillId="18" borderId="196" xfId="19" applyNumberFormat="1" applyFont="1" applyFill="1" applyBorder="1" applyAlignment="1">
      <alignment horizontal="center" vertical="center"/>
    </xf>
    <xf numFmtId="197" fontId="263" fillId="18" borderId="197" xfId="19" applyNumberFormat="1" applyFont="1" applyFill="1" applyBorder="1" applyAlignment="1">
      <alignment horizontal="center" vertical="center"/>
    </xf>
    <xf numFmtId="197" fontId="263" fillId="18" borderId="197" xfId="19" applyNumberFormat="1" applyFont="1" applyFill="1" applyBorder="1" applyAlignment="1">
      <alignment horizontal="center" vertical="center" wrapText="1"/>
    </xf>
    <xf numFmtId="197" fontId="264" fillId="18" borderId="205" xfId="19" applyNumberFormat="1" applyFont="1" applyFill="1" applyBorder="1" applyAlignment="1">
      <alignment vertical="center" wrapText="1"/>
    </xf>
    <xf numFmtId="197" fontId="256" fillId="18" borderId="205" xfId="19" applyNumberFormat="1" applyFont="1" applyFill="1" applyBorder="1" applyAlignment="1">
      <alignment vertical="center" wrapText="1"/>
    </xf>
    <xf numFmtId="197" fontId="264" fillId="18" borderId="205" xfId="17" applyNumberFormat="1" applyFont="1" applyFill="1" applyBorder="1" applyAlignment="1">
      <alignment vertical="center" wrapText="1"/>
    </xf>
    <xf numFmtId="199" fontId="265" fillId="18" borderId="205" xfId="17" applyNumberFormat="1" applyFont="1" applyFill="1" applyBorder="1" applyAlignment="1">
      <alignment vertical="center"/>
    </xf>
    <xf numFmtId="197" fontId="254" fillId="18" borderId="206" xfId="19" applyNumberFormat="1" applyFont="1" applyFill="1" applyBorder="1" applyAlignment="1">
      <alignment horizontal="left" vertical="center"/>
    </xf>
    <xf numFmtId="197" fontId="254" fillId="18" borderId="200" xfId="19" applyNumberFormat="1" applyFont="1" applyFill="1" applyBorder="1" applyAlignment="1">
      <alignment horizontal="left" vertical="center"/>
    </xf>
    <xf numFmtId="199" fontId="262" fillId="20" borderId="202" xfId="17" applyNumberFormat="1" applyFont="1" applyFill="1" applyBorder="1" applyAlignment="1">
      <alignment horizontal="center" vertical="center"/>
    </xf>
    <xf numFmtId="197" fontId="254" fillId="20" borderId="196" xfId="17" applyNumberFormat="1" applyFont="1" applyFill="1" applyBorder="1" applyAlignment="1">
      <alignment horizontal="left" vertical="center" wrapText="1"/>
    </xf>
    <xf numFmtId="197" fontId="264" fillId="20" borderId="196" xfId="19" applyNumberFormat="1" applyFont="1" applyFill="1" applyBorder="1" applyAlignment="1">
      <alignment horizontal="center" vertical="center" wrapText="1"/>
    </xf>
    <xf numFmtId="197" fontId="256" fillId="20" borderId="196" xfId="19" applyNumberFormat="1" applyFont="1" applyFill="1" applyBorder="1" applyAlignment="1">
      <alignment horizontal="center" vertical="center" wrapText="1"/>
    </xf>
    <xf numFmtId="197" fontId="264" fillId="20" borderId="196" xfId="17" applyNumberFormat="1" applyFont="1" applyFill="1" applyBorder="1" applyAlignment="1">
      <alignment horizontal="center" vertical="center" wrapText="1"/>
    </xf>
    <xf numFmtId="199" fontId="265" fillId="20" borderId="202" xfId="17" applyNumberFormat="1" applyFont="1" applyFill="1" applyBorder="1" applyAlignment="1">
      <alignment horizontal="center" vertical="center"/>
    </xf>
    <xf numFmtId="197" fontId="265" fillId="20" borderId="197" xfId="19" applyNumberFormat="1" applyFont="1" applyFill="1" applyBorder="1" applyAlignment="1">
      <alignment horizontal="center" vertical="center" wrapText="1"/>
    </xf>
    <xf numFmtId="197" fontId="260" fillId="18" borderId="195" xfId="17" applyNumberFormat="1" applyFont="1" applyFill="1" applyBorder="1" applyAlignment="1">
      <alignment horizontal="left" vertical="center" wrapText="1"/>
    </xf>
    <xf numFmtId="197" fontId="254" fillId="18" borderId="196" xfId="17" applyNumberFormat="1" applyFont="1" applyFill="1" applyBorder="1" applyAlignment="1">
      <alignment horizontal="left" vertical="center" wrapText="1"/>
    </xf>
    <xf numFmtId="197" fontId="261" fillId="18" borderId="196" xfId="19" applyNumberFormat="1" applyFont="1" applyFill="1" applyBorder="1" applyAlignment="1">
      <alignment horizontal="center" vertical="center" wrapText="1"/>
    </xf>
    <xf numFmtId="197" fontId="262" fillId="18" borderId="196" xfId="19" applyNumberFormat="1" applyFont="1" applyFill="1" applyBorder="1" applyAlignment="1">
      <alignment horizontal="center" vertical="center" wrapText="1"/>
    </xf>
    <xf numFmtId="197" fontId="264" fillId="18" borderId="196" xfId="17" applyNumberFormat="1" applyFont="1" applyFill="1" applyBorder="1" applyAlignment="1">
      <alignment horizontal="center" vertical="center" wrapText="1"/>
    </xf>
    <xf numFmtId="199" fontId="263" fillId="18" borderId="202" xfId="17" applyNumberFormat="1" applyFont="1" applyFill="1" applyBorder="1" applyAlignment="1">
      <alignment horizontal="center" vertical="center"/>
    </xf>
    <xf numFmtId="202" fontId="263" fillId="18" borderId="196" xfId="19" applyNumberFormat="1" applyFont="1" applyFill="1" applyBorder="1" applyAlignment="1">
      <alignment horizontal="center" vertical="center"/>
    </xf>
    <xf numFmtId="197" fontId="260" fillId="18" borderId="207" xfId="17" applyNumberFormat="1" applyFont="1" applyFill="1" applyBorder="1" applyAlignment="1">
      <alignment horizontal="left" vertical="center" wrapText="1"/>
    </xf>
    <xf numFmtId="197" fontId="260" fillId="18" borderId="208" xfId="17" applyNumberFormat="1" applyFont="1" applyFill="1" applyBorder="1" applyAlignment="1">
      <alignment horizontal="left" vertical="center" wrapText="1"/>
    </xf>
    <xf numFmtId="197" fontId="254" fillId="18" borderId="209" xfId="17" applyNumberFormat="1" applyFont="1" applyFill="1" applyBorder="1" applyAlignment="1">
      <alignment horizontal="left" vertical="center" wrapText="1"/>
    </xf>
    <xf numFmtId="197" fontId="261" fillId="18" borderId="209" xfId="19" applyNumberFormat="1" applyFont="1" applyFill="1" applyBorder="1" applyAlignment="1">
      <alignment horizontal="center" vertical="center" wrapText="1"/>
    </xf>
    <xf numFmtId="197" fontId="262" fillId="18" borderId="209" xfId="19" applyNumberFormat="1" applyFont="1" applyFill="1" applyBorder="1" applyAlignment="1">
      <alignment horizontal="center" vertical="center" wrapText="1"/>
    </xf>
    <xf numFmtId="197" fontId="264" fillId="18" borderId="209" xfId="17" applyNumberFormat="1" applyFont="1" applyFill="1" applyBorder="1" applyAlignment="1">
      <alignment horizontal="center" vertical="center" wrapText="1"/>
    </xf>
    <xf numFmtId="199" fontId="263" fillId="18" borderId="210" xfId="17" applyNumberFormat="1" applyFont="1" applyFill="1" applyBorder="1" applyAlignment="1">
      <alignment horizontal="center" vertical="center"/>
    </xf>
    <xf numFmtId="197" fontId="254" fillId="18" borderId="211" xfId="19" applyNumberFormat="1" applyFont="1" applyFill="1" applyBorder="1" applyAlignment="1">
      <alignment horizontal="left" vertical="center"/>
    </xf>
    <xf numFmtId="202" fontId="262" fillId="18" borderId="212" xfId="19" applyNumberFormat="1" applyFont="1" applyFill="1" applyBorder="1" applyAlignment="1">
      <alignment horizontal="center" vertical="center"/>
    </xf>
    <xf numFmtId="202" fontId="263" fillId="18" borderId="209" xfId="19" applyNumberFormat="1" applyFont="1" applyFill="1" applyBorder="1" applyAlignment="1">
      <alignment horizontal="center" vertical="center"/>
    </xf>
    <xf numFmtId="202" fontId="262" fillId="18" borderId="209" xfId="19" applyNumberFormat="1" applyFont="1" applyFill="1" applyBorder="1" applyAlignment="1">
      <alignment horizontal="center" vertical="center"/>
    </xf>
    <xf numFmtId="197" fontId="265" fillId="18" borderId="213" xfId="19" applyNumberFormat="1" applyFont="1" applyFill="1" applyBorder="1" applyAlignment="1">
      <alignment horizontal="center" vertical="center"/>
    </xf>
    <xf numFmtId="202" fontId="254" fillId="18" borderId="214" xfId="19" applyNumberFormat="1" applyFont="1" applyFill="1" applyBorder="1" applyAlignment="1">
      <alignment horizontal="center" vertical="center"/>
    </xf>
    <xf numFmtId="202" fontId="254" fillId="18" borderId="209" xfId="19" applyNumberFormat="1" applyFont="1" applyFill="1" applyBorder="1" applyAlignment="1">
      <alignment horizontal="center" vertical="center"/>
    </xf>
    <xf numFmtId="202" fontId="254" fillId="18" borderId="213" xfId="19" applyNumberFormat="1" applyFont="1" applyFill="1" applyBorder="1" applyAlignment="1">
      <alignment horizontal="center" vertical="center"/>
    </xf>
    <xf numFmtId="197" fontId="260" fillId="21" borderId="215" xfId="17" applyNumberFormat="1" applyFont="1" applyFill="1" applyBorder="1" applyAlignment="1">
      <alignment horizontal="left" vertical="center" wrapText="1"/>
    </xf>
    <xf numFmtId="197" fontId="260" fillId="21" borderId="216" xfId="17" applyNumberFormat="1" applyFont="1" applyFill="1" applyBorder="1" applyAlignment="1">
      <alignment horizontal="left" vertical="center" wrapText="1"/>
    </xf>
    <xf numFmtId="197" fontId="261" fillId="21" borderId="216" xfId="19" applyNumberFormat="1" applyFont="1" applyFill="1" applyBorder="1" applyAlignment="1">
      <alignment horizontal="center" vertical="center" wrapText="1"/>
    </xf>
    <xf numFmtId="197" fontId="262" fillId="21" borderId="216" xfId="19" applyNumberFormat="1" applyFont="1" applyFill="1" applyBorder="1" applyAlignment="1">
      <alignment horizontal="center" vertical="center" wrapText="1"/>
    </xf>
    <xf numFmtId="197" fontId="261" fillId="21" borderId="216" xfId="17" applyNumberFormat="1" applyFont="1" applyFill="1" applyBorder="1" applyAlignment="1">
      <alignment horizontal="center" vertical="center" wrapText="1"/>
    </xf>
    <xf numFmtId="201" fontId="262" fillId="21" borderId="217" xfId="17" applyNumberFormat="1" applyFont="1" applyFill="1" applyBorder="1" applyAlignment="1">
      <alignment horizontal="center" vertical="center"/>
    </xf>
    <xf numFmtId="197" fontId="260" fillId="21" borderId="205" xfId="19" applyNumberFormat="1" applyFont="1" applyFill="1" applyBorder="1" applyAlignment="1">
      <alignment horizontal="left" vertical="center"/>
    </xf>
    <xf numFmtId="202" fontId="261" fillId="21" borderId="218" xfId="19" applyNumberFormat="1" applyFont="1" applyFill="1" applyBorder="1" applyAlignment="1">
      <alignment horizontal="center" vertical="center" wrapText="1"/>
    </xf>
    <xf numFmtId="202" fontId="261" fillId="21" borderId="216" xfId="19" applyNumberFormat="1" applyFont="1" applyFill="1" applyBorder="1" applyAlignment="1">
      <alignment horizontal="center" vertical="center" wrapText="1"/>
    </xf>
    <xf numFmtId="202" fontId="262" fillId="21" borderId="216" xfId="19" applyNumberFormat="1" applyFont="1" applyFill="1" applyBorder="1" applyAlignment="1">
      <alignment horizontal="center" vertical="center" wrapText="1"/>
    </xf>
    <xf numFmtId="197" fontId="260" fillId="21" borderId="216" xfId="19" applyNumberFormat="1" applyFont="1" applyFill="1" applyBorder="1" applyAlignment="1">
      <alignment horizontal="center" vertical="center"/>
    </xf>
    <xf numFmtId="202" fontId="264" fillId="21" borderId="216" xfId="19" applyNumberFormat="1" applyFont="1" applyFill="1" applyBorder="1" applyAlignment="1">
      <alignment horizontal="center" vertical="center" wrapText="1"/>
    </xf>
    <xf numFmtId="202" fontId="264" fillId="21" borderId="219" xfId="19" applyNumberFormat="1" applyFont="1" applyFill="1" applyBorder="1" applyAlignment="1">
      <alignment horizontal="center" vertical="center" wrapText="1"/>
    </xf>
    <xf numFmtId="197" fontId="260" fillId="21" borderId="216" xfId="19" applyNumberFormat="1" applyFont="1" applyFill="1" applyBorder="1" applyAlignment="1">
      <alignment horizontal="center" vertical="center" wrapText="1"/>
    </xf>
    <xf numFmtId="9" fontId="260" fillId="0" borderId="36" xfId="20" applyNumberFormat="1" applyFont="1" applyBorder="1" applyAlignment="1">
      <alignment horizontal="left" vertical="center" wrapText="1"/>
    </xf>
    <xf numFmtId="9" fontId="266" fillId="0" borderId="36" xfId="20" applyNumberFormat="1" applyFont="1" applyBorder="1" applyAlignment="1">
      <alignment horizontal="left" vertical="center" wrapText="1"/>
    </xf>
    <xf numFmtId="192" fontId="262" fillId="22" borderId="156" xfId="17" applyNumberFormat="1" applyFont="1" applyFill="1" applyBorder="1" applyAlignment="1">
      <alignment horizontal="left"/>
    </xf>
    <xf numFmtId="192" fontId="262" fillId="22" borderId="36" xfId="17" applyNumberFormat="1" applyFont="1" applyFill="1" applyBorder="1" applyAlignment="1">
      <alignment horizontal="right"/>
    </xf>
    <xf numFmtId="192" fontId="266" fillId="22" borderId="157" xfId="17" applyNumberFormat="1" applyFont="1" applyFill="1" applyBorder="1"/>
    <xf numFmtId="9" fontId="254" fillId="0" borderId="36" xfId="20" applyNumberFormat="1" applyFont="1" applyBorder="1" applyAlignment="1">
      <alignment horizontal="left" vertical="center" wrapText="1"/>
    </xf>
    <xf numFmtId="9" fontId="260" fillId="0" borderId="0" xfId="20" applyNumberFormat="1" applyFont="1" applyAlignment="1">
      <alignment horizontal="left" vertical="center" wrapText="1"/>
    </xf>
    <xf numFmtId="9" fontId="266" fillId="0" borderId="0" xfId="20" applyNumberFormat="1" applyFont="1" applyAlignment="1">
      <alignment horizontal="left" vertical="center" wrapText="1"/>
    </xf>
    <xf numFmtId="192" fontId="262" fillId="22" borderId="58" xfId="17" applyNumberFormat="1" applyFont="1" applyFill="1" applyBorder="1" applyAlignment="1">
      <alignment horizontal="right"/>
    </xf>
    <xf numFmtId="192" fontId="262" fillId="22" borderId="0" xfId="17" applyNumberFormat="1" applyFont="1" applyFill="1" applyAlignment="1">
      <alignment horizontal="right"/>
    </xf>
    <xf numFmtId="192" fontId="262" fillId="22" borderId="35" xfId="17" applyNumberFormat="1" applyFont="1" applyFill="1" applyBorder="1" applyAlignment="1">
      <alignment horizontal="right"/>
    </xf>
    <xf numFmtId="9" fontId="254" fillId="0" borderId="0" xfId="20" applyNumberFormat="1" applyFont="1" applyAlignment="1">
      <alignment horizontal="left" vertical="center" wrapText="1"/>
    </xf>
    <xf numFmtId="9" fontId="260" fillId="0" borderId="159" xfId="20" applyNumberFormat="1" applyFont="1" applyBorder="1" applyAlignment="1">
      <alignment horizontal="left" vertical="center" wrapText="1"/>
    </xf>
    <xf numFmtId="9" fontId="266" fillId="0" borderId="159" xfId="20" applyNumberFormat="1" applyFont="1" applyBorder="1" applyAlignment="1">
      <alignment horizontal="left" vertical="center" wrapText="1"/>
    </xf>
    <xf numFmtId="9" fontId="262" fillId="22" borderId="158" xfId="20" applyNumberFormat="1" applyFont="1" applyFill="1" applyBorder="1" applyAlignment="1">
      <alignment horizontal="right"/>
    </xf>
    <xf numFmtId="9" fontId="262" fillId="22" borderId="159" xfId="20" applyNumberFormat="1" applyFont="1" applyFill="1" applyBorder="1" applyAlignment="1">
      <alignment horizontal="right"/>
    </xf>
    <xf numFmtId="9" fontId="262" fillId="22" borderId="160" xfId="20" applyNumberFormat="1" applyFont="1" applyFill="1" applyBorder="1" applyAlignment="1"/>
    <xf numFmtId="0" fontId="267" fillId="0" borderId="0" xfId="18" applyFont="1" applyAlignment="1">
      <alignment vertical="center"/>
    </xf>
    <xf numFmtId="0" fontId="37" fillId="0" borderId="0" xfId="18" applyFont="1" applyAlignment="1">
      <alignment vertical="center" wrapText="1"/>
    </xf>
    <xf numFmtId="177" fontId="80" fillId="0" borderId="1" xfId="1" applyNumberFormat="1" applyFont="1" applyFill="1" applyBorder="1" applyAlignment="1" applyProtection="1">
      <alignment vertical="center"/>
      <protection locked="0" hidden="1"/>
    </xf>
    <xf numFmtId="9" fontId="0" fillId="0" borderId="0" xfId="0" applyNumberFormat="1">
      <alignment vertical="center"/>
    </xf>
    <xf numFmtId="202" fontId="256" fillId="18" borderId="171" xfId="19" applyNumberFormat="1" applyFont="1" applyFill="1" applyBorder="1" applyAlignment="1">
      <alignment horizontal="center" vertical="center"/>
    </xf>
    <xf numFmtId="197" fontId="254" fillId="18" borderId="0" xfId="0" applyNumberFormat="1" applyFont="1" applyFill="1" applyBorder="1" applyAlignment="1">
      <alignment horizontal="left" vertical="center"/>
    </xf>
    <xf numFmtId="10" fontId="0" fillId="0" borderId="0" xfId="0" applyNumberFormat="1">
      <alignment vertical="center"/>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176" fontId="47" fillId="9"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197" fontId="258" fillId="17" borderId="156" xfId="17" applyNumberFormat="1" applyFont="1" applyFill="1" applyBorder="1" applyAlignment="1">
      <alignment horizontal="center" vertical="center" wrapText="1"/>
    </xf>
    <xf numFmtId="197" fontId="258" fillId="17" borderId="58" xfId="17" applyNumberFormat="1" applyFont="1" applyFill="1" applyBorder="1" applyAlignment="1">
      <alignment horizontal="center" vertical="center" wrapText="1"/>
    </xf>
    <xf numFmtId="197" fontId="258" fillId="17" borderId="158" xfId="17" applyNumberFormat="1" applyFont="1" applyFill="1" applyBorder="1" applyAlignment="1">
      <alignment horizontal="center" vertical="center" wrapText="1"/>
    </xf>
    <xf numFmtId="197" fontId="257" fillId="17" borderId="156" xfId="17" applyNumberFormat="1" applyFont="1" applyFill="1" applyBorder="1" applyAlignment="1">
      <alignment horizontal="center" vertical="center" wrapText="1"/>
    </xf>
    <xf numFmtId="197" fontId="257" fillId="17" borderId="58" xfId="17" applyNumberFormat="1" applyFont="1" applyFill="1" applyBorder="1" applyAlignment="1">
      <alignment horizontal="center" vertical="center" wrapText="1"/>
    </xf>
    <xf numFmtId="197" fontId="257" fillId="17" borderId="158" xfId="17" applyNumberFormat="1" applyFont="1" applyFill="1" applyBorder="1" applyAlignment="1">
      <alignment horizontal="center" vertical="center" wrapText="1"/>
    </xf>
    <xf numFmtId="197" fontId="257" fillId="17" borderId="161" xfId="17" applyNumberFormat="1" applyFont="1" applyFill="1" applyBorder="1" applyAlignment="1">
      <alignment horizontal="center" vertical="center" wrapText="1"/>
    </xf>
    <xf numFmtId="197" fontId="257" fillId="17" borderId="15" xfId="17" applyNumberFormat="1" applyFont="1" applyFill="1" applyBorder="1" applyAlignment="1">
      <alignment horizontal="center" vertical="center" wrapText="1"/>
    </xf>
    <xf numFmtId="197" fontId="257" fillId="17" borderId="181" xfId="17" applyNumberFormat="1" applyFont="1" applyFill="1" applyBorder="1" applyAlignment="1">
      <alignment horizontal="center" vertical="center" wrapText="1"/>
    </xf>
    <xf numFmtId="197" fontId="257" fillId="17" borderId="162" xfId="17" applyNumberFormat="1" applyFont="1" applyFill="1" applyBorder="1" applyAlignment="1">
      <alignment horizontal="center" vertical="center" wrapText="1"/>
    </xf>
    <xf numFmtId="197" fontId="257" fillId="17" borderId="166" xfId="17" applyNumberFormat="1" applyFont="1" applyFill="1" applyBorder="1" applyAlignment="1">
      <alignment horizontal="center" vertical="center" wrapText="1"/>
    </xf>
    <xf numFmtId="197" fontId="257" fillId="17" borderId="167" xfId="17" applyNumberFormat="1" applyFont="1" applyFill="1" applyBorder="1" applyAlignment="1">
      <alignment horizontal="center" vertical="center" wrapText="1"/>
    </xf>
    <xf numFmtId="197" fontId="257" fillId="17" borderId="163" xfId="17" applyNumberFormat="1" applyFont="1" applyFill="1" applyBorder="1" applyAlignment="1">
      <alignment horizontal="center" vertical="center" wrapText="1"/>
    </xf>
    <xf numFmtId="197" fontId="257" fillId="17" borderId="36" xfId="17" applyNumberFormat="1" applyFont="1" applyFill="1" applyBorder="1" applyAlignment="1">
      <alignment horizontal="center" vertical="center" wrapText="1"/>
    </xf>
    <xf numFmtId="197" fontId="257" fillId="17" borderId="168" xfId="17" applyNumberFormat="1" applyFont="1" applyFill="1" applyBorder="1" applyAlignment="1">
      <alignment horizontal="center" vertical="center" wrapText="1"/>
    </xf>
    <xf numFmtId="197" fontId="257" fillId="17" borderId="169" xfId="17" applyNumberFormat="1" applyFont="1" applyFill="1" applyBorder="1" applyAlignment="1">
      <alignment horizontal="center" vertical="center" wrapText="1"/>
    </xf>
    <xf numFmtId="197" fontId="257" fillId="17" borderId="157" xfId="17" applyNumberFormat="1" applyFont="1" applyFill="1" applyBorder="1" applyAlignment="1">
      <alignment horizontal="center" vertical="center" wrapText="1"/>
    </xf>
    <xf numFmtId="197" fontId="257" fillId="17" borderId="159" xfId="17" applyNumberFormat="1" applyFont="1" applyFill="1" applyBorder="1" applyAlignment="1">
      <alignment horizontal="center" vertical="center" wrapText="1"/>
    </xf>
    <xf numFmtId="197" fontId="257" fillId="17" borderId="160" xfId="17" applyNumberFormat="1" applyFont="1" applyFill="1" applyBorder="1" applyAlignment="1">
      <alignment horizontal="center" vertical="center" wrapText="1"/>
    </xf>
    <xf numFmtId="197" fontId="257" fillId="17" borderId="173" xfId="17" applyNumberFormat="1" applyFont="1" applyFill="1" applyBorder="1" applyAlignment="1">
      <alignment horizontal="center" vertical="center" wrapText="1"/>
    </xf>
    <xf numFmtId="197" fontId="257" fillId="17" borderId="170" xfId="17" applyNumberFormat="1" applyFont="1" applyFill="1" applyBorder="1" applyAlignment="1">
      <alignment horizontal="center" vertical="center" wrapText="1"/>
    </xf>
    <xf numFmtId="197" fontId="257" fillId="17" borderId="174" xfId="17" applyNumberFormat="1" applyFont="1" applyFill="1" applyBorder="1" applyAlignment="1">
      <alignment horizontal="center" vertical="center" wrapText="1"/>
    </xf>
    <xf numFmtId="197" fontId="257" fillId="17" borderId="171" xfId="17" applyNumberFormat="1" applyFont="1" applyFill="1" applyBorder="1" applyAlignment="1">
      <alignment horizontal="center" vertical="center" wrapText="1"/>
    </xf>
    <xf numFmtId="197" fontId="257" fillId="17" borderId="175" xfId="17" applyNumberFormat="1" applyFont="1" applyFill="1" applyBorder="1" applyAlignment="1">
      <alignment horizontal="center" vertical="center" wrapText="1"/>
    </xf>
    <xf numFmtId="197" fontId="257" fillId="17" borderId="178" xfId="17" applyNumberFormat="1" applyFont="1" applyFill="1" applyBorder="1" applyAlignment="1">
      <alignment horizontal="center" vertical="center" wrapText="1"/>
    </xf>
    <xf numFmtId="197" fontId="257" fillId="17" borderId="164" xfId="17" applyNumberFormat="1" applyFont="1" applyFill="1" applyBorder="1" applyAlignment="1">
      <alignment horizontal="center" vertical="center" wrapText="1"/>
    </xf>
    <xf numFmtId="197" fontId="257" fillId="17" borderId="165" xfId="17" applyNumberFormat="1" applyFont="1" applyFill="1" applyBorder="1" applyAlignment="1">
      <alignment horizontal="center" vertical="center" wrapText="1"/>
    </xf>
    <xf numFmtId="197" fontId="257" fillId="17" borderId="172" xfId="17" applyNumberFormat="1" applyFont="1" applyFill="1" applyBorder="1" applyAlignment="1">
      <alignment horizontal="center" vertical="center" wrapText="1"/>
    </xf>
    <xf numFmtId="0" fontId="144" fillId="19" borderId="58" xfId="18" applyFont="1" applyFill="1" applyBorder="1" applyAlignment="1">
      <alignment horizontal="center" vertical="center"/>
    </xf>
    <xf numFmtId="197" fontId="254" fillId="18" borderId="174" xfId="17" applyNumberFormat="1" applyFont="1" applyFill="1" applyBorder="1" applyAlignment="1">
      <alignment horizontal="left" vertical="center" wrapText="1"/>
    </xf>
    <xf numFmtId="197" fontId="254" fillId="18" borderId="171" xfId="17" applyNumberFormat="1" applyFont="1" applyFill="1" applyBorder="1" applyAlignment="1">
      <alignment horizontal="left" vertical="center" wrapText="1"/>
    </xf>
    <xf numFmtId="197" fontId="254" fillId="18" borderId="188" xfId="17" applyNumberFormat="1" applyFont="1" applyFill="1" applyBorder="1" applyAlignment="1">
      <alignment horizontal="left" vertical="center" wrapText="1"/>
    </xf>
    <xf numFmtId="197" fontId="260" fillId="20" borderId="173" xfId="17" applyNumberFormat="1" applyFont="1" applyFill="1" applyBorder="1" applyAlignment="1">
      <alignment horizontal="left" vertical="center" wrapText="1"/>
    </xf>
    <xf numFmtId="197" fontId="260" fillId="20" borderId="170" xfId="17" applyNumberFormat="1" applyFont="1" applyFill="1" applyBorder="1" applyAlignment="1">
      <alignment horizontal="left" vertical="center" wrapText="1"/>
    </xf>
    <xf numFmtId="197" fontId="254" fillId="20" borderId="174" xfId="17" applyNumberFormat="1" applyFont="1" applyFill="1" applyBorder="1" applyAlignment="1">
      <alignment horizontal="left" vertical="center" wrapText="1"/>
    </xf>
    <xf numFmtId="197" fontId="254" fillId="20" borderId="171" xfId="17" applyNumberFormat="1" applyFont="1" applyFill="1" applyBorder="1" applyAlignment="1">
      <alignment horizontal="left" vertical="center" wrapText="1"/>
    </xf>
    <xf numFmtId="197" fontId="254" fillId="20" borderId="188" xfId="17" applyNumberFormat="1" applyFont="1" applyFill="1" applyBorder="1" applyAlignment="1">
      <alignment horizontal="left" vertical="center" wrapText="1"/>
    </xf>
    <xf numFmtId="197" fontId="264" fillId="20" borderId="174" xfId="19" applyNumberFormat="1" applyFont="1" applyFill="1" applyBorder="1" applyAlignment="1">
      <alignment horizontal="center" vertical="center" wrapText="1"/>
    </xf>
    <xf numFmtId="197" fontId="264" fillId="20" borderId="171" xfId="19" applyNumberFormat="1" applyFont="1" applyFill="1" applyBorder="1" applyAlignment="1">
      <alignment horizontal="center" vertical="center" wrapText="1"/>
    </xf>
    <xf numFmtId="197" fontId="264" fillId="20" borderId="188" xfId="19" applyNumberFormat="1" applyFont="1" applyFill="1" applyBorder="1" applyAlignment="1">
      <alignment horizontal="center" vertical="center" wrapText="1"/>
    </xf>
    <xf numFmtId="197" fontId="256" fillId="20" borderId="174" xfId="19" applyNumberFormat="1" applyFont="1" applyFill="1" applyBorder="1" applyAlignment="1">
      <alignment horizontal="center" vertical="center" wrapText="1"/>
    </xf>
    <xf numFmtId="197" fontId="256" fillId="20" borderId="171" xfId="19" applyNumberFormat="1" applyFont="1" applyFill="1" applyBorder="1" applyAlignment="1">
      <alignment horizontal="center" vertical="center" wrapText="1"/>
    </xf>
    <xf numFmtId="197" fontId="256" fillId="20" borderId="188" xfId="19" applyNumberFormat="1" applyFont="1" applyFill="1" applyBorder="1" applyAlignment="1">
      <alignment horizontal="center" vertical="center" wrapText="1"/>
    </xf>
    <xf numFmtId="197" fontId="263" fillId="20" borderId="203" xfId="19" applyNumberFormat="1" applyFont="1" applyFill="1" applyBorder="1" applyAlignment="1">
      <alignment horizontal="center" vertical="center" wrapText="1"/>
    </xf>
    <xf numFmtId="197" fontId="263" fillId="20" borderId="15" xfId="19" applyNumberFormat="1" applyFont="1" applyFill="1" applyBorder="1" applyAlignment="1">
      <alignment horizontal="center" vertical="center" wrapText="1"/>
    </xf>
    <xf numFmtId="197" fontId="263" fillId="20" borderId="204" xfId="19" applyNumberFormat="1" applyFont="1" applyFill="1" applyBorder="1" applyAlignment="1">
      <alignment horizontal="center" vertical="center" wrapText="1"/>
    </xf>
    <xf numFmtId="197" fontId="260" fillId="20" borderId="187" xfId="17" applyNumberFormat="1" applyFont="1" applyFill="1" applyBorder="1" applyAlignment="1">
      <alignment horizontal="left" vertical="center" wrapText="1"/>
    </xf>
    <xf numFmtId="197" fontId="257" fillId="17" borderId="179" xfId="17" applyNumberFormat="1" applyFont="1" applyFill="1" applyBorder="1" applyAlignment="1">
      <alignment horizontal="center" vertical="center" wrapText="1"/>
    </xf>
    <xf numFmtId="197" fontId="257" fillId="17" borderId="176" xfId="17" applyNumberFormat="1" applyFont="1" applyFill="1" applyBorder="1" applyAlignment="1">
      <alignment horizontal="center" vertical="center" wrapText="1"/>
    </xf>
    <xf numFmtId="197" fontId="257" fillId="17" borderId="180" xfId="17" applyNumberFormat="1" applyFont="1" applyFill="1" applyBorder="1" applyAlignment="1">
      <alignment horizontal="center" vertical="center" wrapText="1"/>
    </xf>
    <xf numFmtId="197" fontId="260" fillId="18" borderId="164" xfId="17" applyNumberFormat="1" applyFont="1" applyFill="1" applyBorder="1" applyAlignment="1">
      <alignment horizontal="left" vertical="center" wrapText="1"/>
    </xf>
    <xf numFmtId="197" fontId="260" fillId="18" borderId="170" xfId="17" applyNumberFormat="1" applyFont="1" applyFill="1" applyBorder="1" applyAlignment="1">
      <alignment horizontal="left" vertical="center" wrapText="1"/>
    </xf>
    <xf numFmtId="197" fontId="260" fillId="18" borderId="187" xfId="17" applyNumberFormat="1" applyFont="1" applyFill="1" applyBorder="1" applyAlignment="1">
      <alignment horizontal="left" vertical="center" wrapText="1"/>
    </xf>
    <xf numFmtId="197" fontId="264" fillId="20" borderId="174" xfId="17" applyNumberFormat="1" applyFont="1" applyFill="1" applyBorder="1" applyAlignment="1">
      <alignment horizontal="center" vertical="center" wrapText="1"/>
    </xf>
    <xf numFmtId="197" fontId="264" fillId="20" borderId="171" xfId="17" applyNumberFormat="1" applyFont="1" applyFill="1" applyBorder="1" applyAlignment="1">
      <alignment horizontal="center" vertical="center" wrapText="1"/>
    </xf>
    <xf numFmtId="197" fontId="264" fillId="20" borderId="188" xfId="17" applyNumberFormat="1" applyFont="1" applyFill="1" applyBorder="1" applyAlignment="1">
      <alignment horizontal="center" vertical="center" wrapText="1"/>
    </xf>
    <xf numFmtId="201" fontId="256" fillId="20" borderId="175" xfId="17" applyNumberFormat="1" applyFont="1" applyFill="1" applyBorder="1" applyAlignment="1">
      <alignment horizontal="center" vertical="center"/>
    </xf>
    <xf numFmtId="201" fontId="256" fillId="20" borderId="178" xfId="17" applyNumberFormat="1" applyFont="1" applyFill="1" applyBorder="1" applyAlignment="1">
      <alignment horizontal="center" vertical="center"/>
    </xf>
    <xf numFmtId="201" fontId="256" fillId="20" borderId="168" xfId="17" applyNumberFormat="1" applyFont="1" applyFill="1" applyBorder="1" applyAlignment="1">
      <alignment horizontal="center" vertical="center"/>
    </xf>
    <xf numFmtId="197" fontId="260" fillId="18" borderId="173" xfId="17" applyNumberFormat="1" applyFont="1" applyFill="1" applyBorder="1" applyAlignment="1">
      <alignment horizontal="left" vertical="center" wrapText="1"/>
    </xf>
    <xf numFmtId="197" fontId="254" fillId="18" borderId="175" xfId="17"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1">
    <cellStyle name="百分比 2" xfId="14"/>
    <cellStyle name="百分比 2 2" xfId="20"/>
    <cellStyle name="常规" xfId="0" builtinId="0"/>
    <cellStyle name="常规 16" xfId="10"/>
    <cellStyle name="常规 2" xfId="1"/>
    <cellStyle name="常规 2 2" xfId="8"/>
    <cellStyle name="常规 2 2 10 2" xfId="1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10" xfId="19"/>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0</xdr:row>
      <xdr:rowOff>38100</xdr:rowOff>
    </xdr:from>
    <xdr:to>
      <xdr:col>12</xdr:col>
      <xdr:colOff>239665</xdr:colOff>
      <xdr:row>23</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38100"/>
          <a:ext cx="8250190" cy="3924300"/>
        </a:xfrm>
        <a:prstGeom prst="rect">
          <a:avLst/>
        </a:prstGeom>
      </xdr:spPr>
    </xdr:pic>
    <xdr:clientData/>
  </xdr:twoCellAnchor>
  <xdr:twoCellAnchor editAs="oneCell">
    <xdr:from>
      <xdr:col>0</xdr:col>
      <xdr:colOff>0</xdr:colOff>
      <xdr:row>24</xdr:row>
      <xdr:rowOff>9526</xdr:rowOff>
    </xdr:from>
    <xdr:to>
      <xdr:col>12</xdr:col>
      <xdr:colOff>171450</xdr:colOff>
      <xdr:row>46</xdr:row>
      <xdr:rowOff>131970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24326"/>
          <a:ext cx="8401050" cy="3894344"/>
        </a:xfrm>
        <a:prstGeom prst="rect">
          <a:avLst/>
        </a:prstGeom>
      </xdr:spPr>
    </xdr:pic>
    <xdr:clientData/>
  </xdr:twoCellAnchor>
  <xdr:twoCellAnchor editAs="oneCell">
    <xdr:from>
      <xdr:col>0</xdr:col>
      <xdr:colOff>1</xdr:colOff>
      <xdr:row>46</xdr:row>
      <xdr:rowOff>152400</xdr:rowOff>
    </xdr:from>
    <xdr:to>
      <xdr:col>12</xdr:col>
      <xdr:colOff>171451</xdr:colOff>
      <xdr:row>71</xdr:row>
      <xdr:rowOff>4802</xdr:rowOff>
    </xdr:to>
    <xdr:pic>
      <xdr:nvPicPr>
        <xdr:cNvPr id="4" name="图片 3"/>
        <xdr:cNvPicPr>
          <a:picLocks noChangeAspect="1"/>
        </xdr:cNvPicPr>
      </xdr:nvPicPr>
      <xdr:blipFill>
        <a:blip xmlns:r="http://schemas.openxmlformats.org/officeDocument/2006/relationships" r:embed="rId3"/>
        <a:stretch>
          <a:fillRect/>
        </a:stretch>
      </xdr:blipFill>
      <xdr:spPr>
        <a:xfrm>
          <a:off x="1" y="8039100"/>
          <a:ext cx="8401050" cy="4138652"/>
        </a:xfrm>
        <a:prstGeom prst="rect">
          <a:avLst/>
        </a:prstGeom>
      </xdr:spPr>
    </xdr:pic>
    <xdr:clientData/>
  </xdr:twoCellAnchor>
  <xdr:twoCellAnchor editAs="oneCell">
    <xdr:from>
      <xdr:col>7</xdr:col>
      <xdr:colOff>552450</xdr:colOff>
      <xdr:row>16</xdr:row>
      <xdr:rowOff>9525</xdr:rowOff>
    </xdr:from>
    <xdr:to>
      <xdr:col>17</xdr:col>
      <xdr:colOff>246627</xdr:colOff>
      <xdr:row>24</xdr:row>
      <xdr:rowOff>1692</xdr:rowOff>
    </xdr:to>
    <xdr:pic>
      <xdr:nvPicPr>
        <xdr:cNvPr id="5" name="图片 4"/>
        <xdr:cNvPicPr>
          <a:picLocks noChangeAspect="1"/>
        </xdr:cNvPicPr>
      </xdr:nvPicPr>
      <xdr:blipFill>
        <a:blip xmlns:r="http://schemas.openxmlformats.org/officeDocument/2006/relationships" r:embed="rId4"/>
        <a:stretch>
          <a:fillRect/>
        </a:stretch>
      </xdr:blipFill>
      <xdr:spPr>
        <a:xfrm>
          <a:off x="5353050" y="2752725"/>
          <a:ext cx="6552177" cy="13637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15;&#31036;&#22826;&#23376;&#22478;&#22312;&#24314;&#65288;&#20250;&#23637;&#65289;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15;&#31036;&#22826;&#23376;&#22478;&#22303;&#22320;&#65288;&#22269;&#23486;&#65289;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15;&#31036;&#22826;&#23376;&#22478;&#22303;&#22320;&#65288;&#22269;&#23486;&#65289;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报规面积表"/>
      <sheetName val="Sheet4"/>
      <sheetName val="数据-汇总表"/>
      <sheetName val="数据-取费表"/>
      <sheetName val="估价对象房地状况"/>
      <sheetName val="系统读取表"/>
      <sheetName val="结果表"/>
      <sheetName val="成本法"/>
      <sheetName val="成本法 (元)"/>
      <sheetName val="土地比较法-住宅、综合"/>
      <sheetName val="Sheet3"/>
      <sheetName val="假设开发法"/>
      <sheetName val="收益法"/>
      <sheetName val="收益法(商业)"/>
      <sheetName val="收益法 (元)"/>
      <sheetName val="收益法（汇总）"/>
      <sheetName val="收益法(酒店)"/>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192095</v>
          </cell>
          <cell r="C14">
            <v>99229</v>
          </cell>
          <cell r="D14">
            <v>171207</v>
          </cell>
          <cell r="G14">
            <v>171207</v>
          </cell>
          <cell r="H14" t="str">
            <v>——</v>
          </cell>
          <cell r="I14" t="str">
            <v>——</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报规面积表"/>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103096.04000000001</v>
          </cell>
          <cell r="C14">
            <v>250292</v>
          </cell>
          <cell r="D14">
            <v>153192</v>
          </cell>
          <cell r="G14">
            <v>153192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报规面积表"/>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103096.04000000001</v>
          </cell>
          <cell r="H14" t="str">
            <v>——</v>
          </cell>
          <cell r="I14" t="str">
            <v>——</v>
          </cell>
        </row>
      </sheetData>
      <sheetData sheetId="17">
        <row r="19">
          <cell r="L19">
            <v>149879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河北省崇礼县太子城出让国有建设用地使用权及在建建筑物房地产抵押价值预评估</v>
      </c>
    </row>
    <row r="3" spans="1:2" s="1596" customFormat="1">
      <c r="A3" s="1594" t="s">
        <v>1217</v>
      </c>
      <c r="B3" s="1595">
        <f>'预评函-封皮'!B40</f>
        <v>0</v>
      </c>
    </row>
    <row r="4" spans="1:2" s="1596" customFormat="1">
      <c r="A4" s="1594" t="s">
        <v>1218</v>
      </c>
      <c r="B4" s="1595" t="str">
        <f ca="1">'预评函-封皮'!B46</f>
        <v>吴薇（注册号：0)、崔锴（注册号：0)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受贵公司委托，我公司对河北省崇礼县太子城出让国有建设用地使用权及在建建筑物房地产抵押价值进行了预评估。</v>
      </c>
    </row>
    <row r="7" spans="1:2" s="1596" customFormat="1">
      <c r="A7" s="1594" t="s">
        <v>1260</v>
      </c>
      <c r="B7" s="1595" t="str">
        <f>'预评函-1'!A7</f>
        <v>估价对象为河北省崇礼县太子城出让国有建设用地使用权及在建建筑物房地产，为中赫所有。根据《国有土地使用证》[]，估价对象（分摊）出让国有建设用地使用权面积为165503平方米，建筑面积为333221.08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河北省崇礼县太子城出让国有建设用地使用权及在建建筑物房地产,为中赫开发建设的商业项目，该项目尚在开发建设中。根据《国有土地使用证》[]，估价对象（分摊）出让国有建设用地使用权面积为165503平方米，规划建筑面积为333221.08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2019年2月20日</v>
      </c>
    </row>
    <row r="13" spans="1:2" s="1596" customFormat="1">
      <c r="A13" s="1594" t="s">
        <v>1223</v>
      </c>
      <c r="B13" s="1595" t="str">
        <f>'预评函-1'!A18</f>
        <v>本次估价的“房地产价值”是指在正常市场情况下，在价值时点2019年2月20日，估价对象规划用途为，土地取得方式为出让，出让国有建设用地使用权剩余土地使用年限为商业40年，假定未设立法定优先受偿款下的房地产市场价值。</v>
      </c>
    </row>
    <row r="14" spans="1:2" s="1596" customFormat="1">
      <c r="A14" s="1594" t="s">
        <v>1224</v>
      </c>
      <c r="B14" s="1595" t="str">
        <f>'预评函-1'!A19</f>
        <v>其中，“出让国有建设用地使用权价值”是指估价对象用途为，实际开发程度为宗地红线外“五通”（即通路、通电、通讯、通上水、通下水）、红线内场地平整条件下，剩余土地使用年限为商业40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本次评估采用的主估价方法为成本法和假设开发法。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281294</v>
      </c>
    </row>
    <row r="21" spans="1:2" s="1596" customFormat="1">
      <c r="A21" s="1594" t="s">
        <v>1231</v>
      </c>
      <c r="B21" s="1595">
        <f ca="1">'预评函-2'!D7</f>
        <v>8442</v>
      </c>
    </row>
    <row r="22" spans="1:2" s="1596" customFormat="1">
      <c r="A22" s="1594" t="s">
        <v>1232</v>
      </c>
      <c r="B22" s="1595" t="str">
        <f ca="1">'预评函-2'!D6</f>
        <v>贰拾捌亿壹仟贰佰玖拾肆万元整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281294</v>
      </c>
    </row>
    <row r="31" spans="1:2" s="1596" customFormat="1">
      <c r="A31" s="1594" t="s">
        <v>1270</v>
      </c>
      <c r="B31" s="1595">
        <f ca="1">'预评函-2'!D15</f>
        <v>8442</v>
      </c>
    </row>
    <row r="32" spans="1:2" s="1596" customFormat="1">
      <c r="A32" s="1594" t="s">
        <v>1237</v>
      </c>
      <c r="B32" s="1595" t="str">
        <f ca="1">'预评函-2'!D14</f>
        <v>贰拾捌亿壹仟贰佰玖拾肆万元整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河北省崇礼县太子城出让国有建设用地使用权及在建建筑物房地产</v>
      </c>
    </row>
    <row r="42" spans="1:2" s="1596" customFormat="1">
      <c r="A42" s="1594" t="s">
        <v>1284</v>
      </c>
      <c r="B42" s="1595" t="str">
        <f>'预评函-3'!B2</f>
        <v>建筑面积</v>
      </c>
    </row>
    <row r="43" spans="1:2" s="1596" customFormat="1">
      <c r="A43" s="1594" t="s">
        <v>1285</v>
      </c>
      <c r="B43" s="1595">
        <f>'预评函-3'!B4</f>
        <v>333221.08</v>
      </c>
    </row>
    <row r="44" spans="1:2" s="1596" customFormat="1">
      <c r="A44" s="1594" t="s">
        <v>1269</v>
      </c>
      <c r="B44" s="1595" t="str">
        <f>'预评函-3'!C2</f>
        <v>(分摊)土地面积</v>
      </c>
    </row>
    <row r="45" spans="1:2" s="1596" customFormat="1">
      <c r="A45" s="1594" t="s">
        <v>1241</v>
      </c>
      <c r="B45" s="1595">
        <f>'预评函-3'!C4</f>
        <v>165503</v>
      </c>
    </row>
    <row r="46" spans="1:2" s="1596" customFormat="1">
      <c r="A46" s="1594" t="s">
        <v>1267</v>
      </c>
      <c r="B46" s="1595" t="str">
        <f>'预评函-3'!D2</f>
        <v>出让国有建设用地使用权价值</v>
      </c>
    </row>
    <row r="47" spans="1:2" s="1596" customFormat="1">
      <c r="A47" s="1594" t="s">
        <v>1242</v>
      </c>
      <c r="B47" s="1595">
        <f ca="1">'预评函-3'!D4</f>
        <v>210689</v>
      </c>
    </row>
    <row r="48" spans="1:2" s="1596" customFormat="1">
      <c r="A48" s="1594" t="s">
        <v>1243</v>
      </c>
      <c r="B48" s="1595">
        <f ca="1">'预评函-3'!E4</f>
        <v>6323</v>
      </c>
    </row>
    <row r="49" spans="1:2" s="1596" customFormat="1">
      <c r="A49" s="1594" t="s">
        <v>1244</v>
      </c>
      <c r="B49" s="1595" t="str">
        <f ca="1">'预评函-3'!D5</f>
        <v>贰拾壹亿零陆佰捌拾玖万元整</v>
      </c>
    </row>
    <row r="50" spans="1:2" s="1596" customFormat="1">
      <c r="A50" s="1594" t="s">
        <v>1268</v>
      </c>
      <c r="B50" s="1595" t="str">
        <f>'预评函-3'!F2</f>
        <v>在建建筑物价值</v>
      </c>
    </row>
    <row r="51" spans="1:2" s="1596" customFormat="1">
      <c r="A51" s="1594" t="s">
        <v>1245</v>
      </c>
      <c r="B51" s="1595">
        <f ca="1">'预评函-3'!F4</f>
        <v>70605</v>
      </c>
    </row>
    <row r="52" spans="1:2" s="1596" customFormat="1">
      <c r="A52" s="1594" t="s">
        <v>1246</v>
      </c>
      <c r="B52" s="1595">
        <f ca="1">'预评函-3'!G4</f>
        <v>2119</v>
      </c>
    </row>
    <row r="53" spans="1:2" s="1596" customFormat="1">
      <c r="A53" s="1594" t="s">
        <v>1274</v>
      </c>
      <c r="B53" s="1595" t="str">
        <f ca="1">'预评函-3'!F5</f>
        <v>柒亿零陆佰零伍万元整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0</v>
      </c>
    </row>
    <row r="72" spans="1:2">
      <c r="A72" s="1594" t="s">
        <v>1258</v>
      </c>
      <c r="B72" s="1603" t="str">
        <f>'预评函-4'!A5</f>
        <v>崔锴</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3231</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17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6"/>
      <c r="B54" s="2025" t="s">
        <v>861</v>
      </c>
      <c r="C54" s="2022" t="s">
        <v>1277</v>
      </c>
    </row>
    <row r="55" spans="1:4">
      <c r="A55" s="3176"/>
      <c r="B55" s="2025" t="s">
        <v>862</v>
      </c>
      <c r="C55" s="2022" t="s">
        <v>1278</v>
      </c>
    </row>
    <row r="56" spans="1:4">
      <c r="A56" s="3176"/>
      <c r="B56" s="2025" t="s">
        <v>863</v>
      </c>
      <c r="C56" s="2022" t="s">
        <v>1282</v>
      </c>
    </row>
    <row r="57" spans="1:4">
      <c r="A57" s="317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17" sqref="C1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177" t="str">
        <f>IF(B10="北京市","北京市",C10)&amp;F10&amp;IF(结果表!G1="在建","出让国有建设用地使用权及在建建筑物",IF(结果表!G1="土地","出让国有建设用地使用权",))&amp;B9&amp;"预评估"</f>
        <v>河北省崇礼县太子城出让国有建设用地使用权及在建建筑物房地产抵押价值预评估</v>
      </c>
      <c r="C1" s="3178"/>
      <c r="D1" s="3178"/>
      <c r="E1" s="3178"/>
      <c r="F1" s="3178"/>
      <c r="G1" s="3178"/>
      <c r="H1" s="3178"/>
      <c r="I1" s="317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河北省崇礼县太子城出让国有建设用地使用权及在建建筑物房地产抵押价值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河北省崇礼县太子城出让国有建设用地使用权及在建建筑物房地产</v>
      </c>
    </row>
    <row r="3" spans="1:19" ht="18" customHeight="1">
      <c r="A3" s="2038" t="s">
        <v>1774</v>
      </c>
      <c r="B3" s="2039"/>
      <c r="C3" s="2040" t="s">
        <v>1775</v>
      </c>
      <c r="D3" s="2039">
        <v>43516</v>
      </c>
      <c r="E3" s="2029"/>
      <c r="F3" s="2029"/>
      <c r="G3" s="2029"/>
      <c r="H3" s="2029"/>
      <c r="I3" s="2029"/>
      <c r="J3" s="2029"/>
      <c r="K3" s="2030"/>
      <c r="L3" s="2031"/>
      <c r="M3" s="2031"/>
      <c r="N3" s="2032"/>
      <c r="O3" s="2033"/>
      <c r="P3" s="2032"/>
      <c r="Q3" s="2032"/>
      <c r="R3" s="2032"/>
      <c r="S3" s="2034"/>
    </row>
    <row r="4" spans="1:19" ht="18" customHeight="1" thickBot="1">
      <c r="A4" s="2041" t="s">
        <v>1776</v>
      </c>
      <c r="B4" s="2042" t="s">
        <v>3228</v>
      </c>
      <c r="C4" s="1040">
        <f ca="1">SUMIF(注册房地产估价师,B4,估价师及机构信息!B3:B24)</f>
        <v>0</v>
      </c>
      <c r="D4" s="2042" t="s">
        <v>3229</v>
      </c>
      <c r="E4" s="1041">
        <f ca="1">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吴薇（注册号：0)、崔锴（注册号：0)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180"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181"/>
      <c r="E9" s="2062" t="s">
        <v>70</v>
      </c>
      <c r="F9" s="2064"/>
      <c r="G9" s="2065"/>
      <c r="H9" s="2065"/>
      <c r="I9" s="2065"/>
      <c r="J9" s="2045"/>
      <c r="K9" s="2057"/>
      <c r="L9" s="2031"/>
      <c r="M9" s="2031"/>
      <c r="N9" s="2032"/>
      <c r="O9" s="2033"/>
      <c r="P9" s="2032"/>
      <c r="Q9" s="2032"/>
      <c r="R9" s="2032"/>
    </row>
    <row r="10" spans="1:19" ht="18" customHeight="1" thickTop="1">
      <c r="A10" s="2066" t="s">
        <v>1783</v>
      </c>
      <c r="B10" s="2067" t="s">
        <v>3055</v>
      </c>
      <c r="C10" s="2940" t="s">
        <v>3056</v>
      </c>
      <c r="D10" s="2050"/>
      <c r="E10" s="2068" t="s">
        <v>1784</v>
      </c>
      <c r="F10" s="2941" t="s">
        <v>3057</v>
      </c>
      <c r="G10" s="2069"/>
      <c r="H10" s="2070"/>
      <c r="I10" s="2050"/>
      <c r="J10" s="2045"/>
      <c r="K10" s="2057"/>
      <c r="L10" s="2031"/>
      <c r="M10" s="2031"/>
      <c r="N10" s="2032"/>
      <c r="O10" s="2033"/>
      <c r="P10" s="2032"/>
      <c r="Q10" s="2032"/>
      <c r="R10" s="2032"/>
    </row>
    <row r="11" spans="1:19" ht="18" customHeight="1">
      <c r="A11" s="2071" t="s">
        <v>1785</v>
      </c>
      <c r="B11" s="2072" t="s">
        <v>3058</v>
      </c>
      <c r="C11" s="2942" t="s">
        <v>3059</v>
      </c>
      <c r="D11" s="2073"/>
      <c r="E11" s="2045"/>
      <c r="F11" s="2045"/>
      <c r="G11" s="2045"/>
      <c r="H11" s="2045"/>
      <c r="I11" s="2045"/>
      <c r="J11" s="2045"/>
      <c r="K11" s="2057"/>
      <c r="L11" s="2031"/>
      <c r="M11" s="2031"/>
      <c r="N11" s="2032"/>
      <c r="O11" s="2033"/>
      <c r="P11" s="2032"/>
      <c r="Q11" s="2032"/>
      <c r="R11" s="2032"/>
    </row>
    <row r="12" spans="1:19" ht="18" customHeight="1">
      <c r="A12" s="2074" t="s">
        <v>1786</v>
      </c>
      <c r="B12" s="2072" t="s">
        <v>3060</v>
      </c>
      <c r="C12" s="2075" t="s">
        <v>1787</v>
      </c>
      <c r="D12" s="2076" t="s">
        <v>1788</v>
      </c>
      <c r="E12" s="2076" t="s">
        <v>1789</v>
      </c>
      <c r="F12" s="2076" t="s">
        <v>1790</v>
      </c>
      <c r="G12" s="2076" t="s">
        <v>1791</v>
      </c>
      <c r="H12" s="2076" t="s">
        <v>1792</v>
      </c>
      <c r="I12" s="2076" t="s">
        <v>1793</v>
      </c>
      <c r="J12" s="2045"/>
      <c r="K12" s="2057"/>
      <c r="L12" s="2031"/>
      <c r="M12" s="2031"/>
      <c r="N12" s="2032"/>
      <c r="O12" s="2033"/>
      <c r="P12" s="2032"/>
      <c r="Q12" s="2032"/>
      <c r="R12" s="2032"/>
    </row>
    <row r="13" spans="1:19" ht="18" customHeight="1">
      <c r="A13" s="2077"/>
      <c r="B13" s="2078"/>
      <c r="C13" s="2079" t="s">
        <v>1794</v>
      </c>
      <c r="D13" s="2080"/>
      <c r="E13" s="2080">
        <v>58126</v>
      </c>
      <c r="F13" s="2080"/>
      <c r="G13" s="2080"/>
      <c r="H13" s="2080"/>
      <c r="I13" s="1050"/>
      <c r="J13" s="2045"/>
      <c r="K13" s="2057"/>
      <c r="L13" s="2031"/>
      <c r="M13" s="2031"/>
      <c r="N13" s="2032"/>
      <c r="O13" s="2033"/>
      <c r="P13" s="2032"/>
      <c r="Q13" s="2032"/>
      <c r="R13" s="2032"/>
    </row>
    <row r="14" spans="1:19" ht="18" customHeight="1">
      <c r="A14" s="2077"/>
      <c r="B14" s="2078"/>
      <c r="C14" s="2079" t="s">
        <v>1795</v>
      </c>
      <c r="D14" s="1053"/>
      <c r="E14" s="1053">
        <v>40</v>
      </c>
      <c r="F14" s="1053"/>
      <c r="G14" s="1053"/>
      <c r="H14" s="1053"/>
      <c r="I14" s="1053"/>
      <c r="J14" s="2045"/>
      <c r="K14" s="2081"/>
      <c r="L14" s="2031"/>
      <c r="M14" s="2031"/>
      <c r="N14" s="2032"/>
      <c r="O14" s="2033"/>
      <c r="P14" s="2032"/>
      <c r="Q14" s="2032"/>
      <c r="R14" s="2032"/>
    </row>
    <row r="15" spans="1:19" ht="18" customHeight="1">
      <c r="A15" s="2066"/>
      <c r="B15" s="2082"/>
      <c r="C15" s="2079" t="s">
        <v>1796</v>
      </c>
      <c r="D15" s="1052" t="str">
        <f>IF(B12="出让",IF(D13="","",ROUNDDOWN(MIN((D13-$D$3)/365,D14),2)),D14)</f>
        <v/>
      </c>
      <c r="E15" s="1052">
        <f>IF(B12="出让",IF(E13="","",ROUNDDOWN(MIN((E13-$D$3)/365,E14),2)),E14)</f>
        <v>40</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8" t="s">
        <v>1797</v>
      </c>
      <c r="B16" s="3187"/>
      <c r="C16" s="3188"/>
      <c r="D16" s="3189"/>
      <c r="E16" s="2086" t="s">
        <v>1798</v>
      </c>
      <c r="F16" s="3190" t="s">
        <v>3061</v>
      </c>
      <c r="G16" s="3191"/>
      <c r="H16" s="3191"/>
      <c r="I16" s="3192"/>
      <c r="J16" s="2032"/>
      <c r="K16" s="2083"/>
      <c r="L16" s="2084"/>
      <c r="M16" s="2084"/>
      <c r="N16" s="2085"/>
      <c r="O16" s="2084"/>
      <c r="P16" s="2085"/>
      <c r="Q16" s="2032"/>
      <c r="R16" s="2032"/>
    </row>
    <row r="17" spans="1:22" ht="18" customHeight="1">
      <c r="A17" s="2087" t="s">
        <v>1799</v>
      </c>
      <c r="B17" s="2038" t="s">
        <v>1800</v>
      </c>
      <c r="C17" s="1057">
        <f>'数据-汇总表'!E3</f>
        <v>333221.08</v>
      </c>
      <c r="D17" s="2088" t="s">
        <v>1801</v>
      </c>
      <c r="E17" s="3193" t="s">
        <v>1802</v>
      </c>
      <c r="F17" s="3194"/>
      <c r="G17" s="3194"/>
      <c r="H17" s="3194"/>
      <c r="I17" s="3195"/>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165503</v>
      </c>
      <c r="D18" s="2091" t="s">
        <v>1801</v>
      </c>
      <c r="E18" s="3196" t="s">
        <v>1805</v>
      </c>
      <c r="F18" s="3197"/>
      <c r="G18" s="3197"/>
      <c r="H18" s="3197"/>
      <c r="I18" s="3198"/>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c r="D19" s="2093" t="s">
        <v>1808</v>
      </c>
      <c r="E19" s="2094"/>
      <c r="F19" s="2095" t="str">
        <f>IF(AND(C19="是",E19="否"),"是否提供他项权证或相关说明","")</f>
        <v/>
      </c>
      <c r="G19" s="2096"/>
      <c r="H19" s="2045"/>
      <c r="I19" s="2045"/>
      <c r="J19" s="2045"/>
      <c r="K19" s="2057"/>
      <c r="L19" s="2031"/>
      <c r="M19" s="2031"/>
      <c r="N19" s="2085"/>
      <c r="O19" s="2084"/>
      <c r="P19" s="2085"/>
      <c r="Q19" s="2032"/>
      <c r="R19" s="2032"/>
      <c r="S19" s="2032"/>
      <c r="T19" s="2032"/>
      <c r="U19" s="2032"/>
      <c r="V19" s="2032"/>
    </row>
    <row r="20" spans="1:22" ht="18" customHeight="1">
      <c r="A20" s="2097" t="s">
        <v>1809</v>
      </c>
      <c r="B20" s="3183" t="s">
        <v>1810</v>
      </c>
      <c r="C20" s="3184"/>
      <c r="D20" s="3185" t="s">
        <v>1811</v>
      </c>
      <c r="E20" s="3186"/>
      <c r="F20" s="2098" t="s">
        <v>1812</v>
      </c>
      <c r="G20" s="2045"/>
      <c r="H20" s="2045"/>
      <c r="I20" s="2045"/>
      <c r="J20" s="2045"/>
      <c r="K20" s="318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1814</v>
      </c>
      <c r="C21" s="2100" t="s">
        <v>1815</v>
      </c>
      <c r="D21" s="2101" t="s">
        <v>1816</v>
      </c>
      <c r="E21" s="2102" t="s">
        <v>1815</v>
      </c>
      <c r="F21" s="2103"/>
      <c r="G21" s="2045"/>
      <c r="H21" s="2045"/>
      <c r="I21" s="2045"/>
      <c r="J21" s="2045"/>
      <c r="K21" s="318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18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7"/>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5"/>
      <c r="H26" s="2065"/>
      <c r="I26" s="2065"/>
      <c r="J26" s="2045"/>
      <c r="K26" s="2057"/>
      <c r="L26" s="2031"/>
      <c r="M26" s="2031"/>
      <c r="N26" s="2085"/>
      <c r="O26" s="2084"/>
      <c r="P26" s="2085"/>
      <c r="Q26" s="2032"/>
      <c r="R26" s="2032"/>
      <c r="S26" s="2032"/>
      <c r="T26" s="2032"/>
      <c r="U26" s="2032"/>
      <c r="V26" s="2032"/>
    </row>
    <row r="27" spans="1:22" ht="18" customHeight="1" thickTop="1">
      <c r="A27" s="3200" t="s">
        <v>1825</v>
      </c>
      <c r="B27" s="2066" t="s">
        <v>1826</v>
      </c>
      <c r="C27" s="2120" t="s">
        <v>3062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200"/>
      <c r="B28" s="2038" t="s">
        <v>1827</v>
      </c>
      <c r="C28" s="2122" t="s">
        <v>3063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200"/>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201"/>
      <c r="B30" s="2038" t="s">
        <v>1829</v>
      </c>
      <c r="C30" s="3202"/>
      <c r="D30" s="3203"/>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204" t="s">
        <v>1830</v>
      </c>
      <c r="B31" s="2127" t="s">
        <v>3064</v>
      </c>
      <c r="C31" s="2128" t="str">
        <f>IF(B31="现房","成新及维护状况正常否",IF(B31="在建","工程状态是否正常",IF(B31="土地","是否闲置","-")))</f>
        <v>工程状态是否正常</v>
      </c>
      <c r="D31" s="2129"/>
      <c r="E31" s="2130"/>
      <c r="F31" s="2045"/>
      <c r="G31" s="2045"/>
      <c r="H31" s="2045"/>
      <c r="I31" s="2045"/>
      <c r="J31" s="2045"/>
      <c r="K31" s="2055"/>
      <c r="L31" s="2031"/>
      <c r="M31" s="2031"/>
      <c r="N31" s="2032"/>
      <c r="O31" s="2033"/>
      <c r="P31" s="2032"/>
      <c r="Q31" s="2032"/>
      <c r="R31" s="2032"/>
      <c r="S31" s="2032"/>
      <c r="T31" s="2032"/>
      <c r="U31" s="2032"/>
      <c r="V31" s="2032"/>
    </row>
    <row r="32" spans="1:22" ht="18" customHeight="1">
      <c r="A32" s="3205"/>
      <c r="B32" s="2127"/>
      <c r="C32" s="2128" t="str">
        <f>IF(B32="现房","成新及维护状况是否正常",IF(B32="在建","工程状态是否正常",IF(B32="土地","是否闲置","-")))</f>
        <v>-</v>
      </c>
      <c r="D32" s="2129"/>
      <c r="E32" s="2130"/>
      <c r="F32" s="2045"/>
      <c r="G32" s="2045"/>
      <c r="H32" s="2045"/>
      <c r="I32" s="2045"/>
      <c r="J32" s="2045"/>
      <c r="K32" s="2057"/>
      <c r="L32" s="2031"/>
      <c r="M32" s="2031"/>
      <c r="N32" s="2032"/>
      <c r="O32" s="2033"/>
      <c r="P32" s="2032"/>
      <c r="Q32" s="2032"/>
      <c r="R32" s="2032"/>
      <c r="S32" s="2032"/>
      <c r="T32" s="2032"/>
      <c r="U32" s="2032"/>
      <c r="V32" s="2032"/>
    </row>
    <row r="33" spans="1:22" ht="18" customHeight="1">
      <c r="A33" s="3205"/>
      <c r="B33" s="2131"/>
      <c r="C33" s="2071" t="str">
        <f>IF(B33="现房","成新及维护状况是否正常",IF(B33="在建","工程状态是否正常",IF(B33="土地","是否闲置","-")))</f>
        <v>-</v>
      </c>
      <c r="D33" s="2132"/>
      <c r="E33" s="2133"/>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4" t="s">
        <v>3065</v>
      </c>
      <c r="C34" s="2134" t="s">
        <v>3066</v>
      </c>
      <c r="D34" s="2134" t="s">
        <v>3067</v>
      </c>
      <c r="E34" s="2134" t="s">
        <v>3068</v>
      </c>
      <c r="F34" s="2134" t="s">
        <v>3069</v>
      </c>
      <c r="G34" s="2134" t="s">
        <v>70</v>
      </c>
      <c r="H34" s="2134" t="s">
        <v>70</v>
      </c>
      <c r="I34" s="2045"/>
      <c r="J34" s="2045"/>
      <c r="K34" s="1798">
        <f>COUNTIF(B34:H34,"——")</f>
        <v>2</v>
      </c>
      <c r="L34" s="2075" t="s">
        <v>1832</v>
      </c>
      <c r="M34" s="2075" t="s">
        <v>1833</v>
      </c>
      <c r="N34" s="2075" t="s">
        <v>1834</v>
      </c>
      <c r="O34" s="2075" t="s">
        <v>1835</v>
      </c>
      <c r="P34" s="2075" t="s">
        <v>1836</v>
      </c>
      <c r="Q34" s="2075" t="s">
        <v>1837</v>
      </c>
      <c r="R34" s="2075" t="s">
        <v>1838</v>
      </c>
      <c r="S34" s="3199" t="s">
        <v>1839</v>
      </c>
      <c r="T34" s="2135" t="str">
        <f>NUMBERSTRING(7-K34,1)&amp;"通"</f>
        <v>五通</v>
      </c>
      <c r="U34" s="2032"/>
      <c r="V34" s="2032"/>
    </row>
    <row r="35" spans="1:22" ht="18" customHeight="1">
      <c r="A35" s="2136"/>
      <c r="B35" s="3206" t="s">
        <v>1840</v>
      </c>
      <c r="C35" s="3206"/>
      <c r="D35" s="3206"/>
      <c r="E35" s="3206"/>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199"/>
      <c r="T35" s="48" t="str">
        <f>IF(T34="一通",L35,IF(T34="二通",M35,IF(T34="三通",N35,IF(T34="四通",O35,IF(T34="五通",P35,IF(T34="六通",Q35,R35))))))</f>
        <v>通路、通电、通讯、通上水、通下水</v>
      </c>
      <c r="U35" s="2032"/>
      <c r="V35" s="2032"/>
    </row>
    <row r="36" spans="1:22" ht="18" customHeight="1">
      <c r="A36" s="2138"/>
      <c r="B36" s="2137" t="s">
        <v>1841</v>
      </c>
      <c r="C36" s="2137" t="s">
        <v>1842</v>
      </c>
      <c r="D36" s="2137" t="s">
        <v>1843</v>
      </c>
      <c r="E36" s="2137" t="s">
        <v>1844</v>
      </c>
      <c r="F36" s="2139"/>
      <c r="G36" s="2045"/>
      <c r="H36" s="2045"/>
      <c r="I36" s="2045"/>
      <c r="J36" s="2045"/>
      <c r="K36" s="2057"/>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7"/>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5"/>
      <c r="H38" s="2065"/>
      <c r="I38" s="2065"/>
      <c r="J38" s="2045"/>
      <c r="K38" s="2057"/>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报规面积表!D10</f>
        <v>165503</v>
      </c>
      <c r="B3" s="14">
        <f>IF(C3="否",G5-AT5,G5)</f>
        <v>333221.08</v>
      </c>
      <c r="C3" s="2169" t="s">
        <v>3132</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333221.08</v>
      </c>
      <c r="H5" s="16">
        <f t="shared" ref="H5:AT5" si="0">SUM(H13:H656)</f>
        <v>206234.08000000002</v>
      </c>
      <c r="I5" s="16">
        <f t="shared" si="0"/>
        <v>190764.08000000002</v>
      </c>
      <c r="J5" s="16">
        <f t="shared" si="0"/>
        <v>0</v>
      </c>
      <c r="K5" s="16">
        <f t="shared" si="0"/>
        <v>15470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126987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2526</v>
      </c>
      <c r="AM5" s="16">
        <f t="shared" si="0"/>
        <v>0</v>
      </c>
      <c r="AN5" s="16">
        <f t="shared" si="0"/>
        <v>124461</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333221.08</v>
      </c>
      <c r="BA5" s="18">
        <f t="shared" si="1"/>
        <v>206234.08000000002</v>
      </c>
      <c r="BB5" s="18">
        <f t="shared" si="1"/>
        <v>190764.08000000002</v>
      </c>
      <c r="BC5" s="18">
        <f t="shared" si="1"/>
        <v>15470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126987</v>
      </c>
      <c r="BM5" s="18">
        <f t="shared" si="1"/>
        <v>0</v>
      </c>
      <c r="BN5" s="18">
        <f t="shared" si="1"/>
        <v>0</v>
      </c>
      <c r="BO5" s="18">
        <f t="shared" si="1"/>
        <v>0</v>
      </c>
      <c r="BP5" s="18">
        <f t="shared" si="1"/>
        <v>0</v>
      </c>
      <c r="BQ5" s="18">
        <f t="shared" si="1"/>
        <v>2526</v>
      </c>
      <c r="BR5" s="18">
        <f t="shared" si="1"/>
        <v>124461</v>
      </c>
      <c r="BS5" s="18">
        <f t="shared" si="1"/>
        <v>0</v>
      </c>
      <c r="BT5" s="19">
        <f t="shared" si="1"/>
        <v>0</v>
      </c>
    </row>
    <row r="6" spans="1:72" s="2178" customFormat="1" ht="12.75">
      <c r="A6" s="15" t="s">
        <v>1876</v>
      </c>
      <c r="B6" s="2175"/>
      <c r="C6" s="2175"/>
      <c r="D6" s="2176"/>
      <c r="E6" s="16">
        <f>H6+AC6+AT6</f>
        <v>165502.99</v>
      </c>
      <c r="F6" s="16" t="s">
        <v>1</v>
      </c>
      <c r="G6" s="16" t="s">
        <v>2</v>
      </c>
      <c r="H6" s="20">
        <f>SUMIF(I$12:AB$12,"总值",I6:AB6)</f>
        <v>102431.57</v>
      </c>
      <c r="I6" s="16">
        <f t="shared" ref="I6:AB6" si="2">ROUND($A$3*I5/$B$3,2)</f>
        <v>94747.99</v>
      </c>
      <c r="J6" s="16">
        <f t="shared" si="2"/>
        <v>0</v>
      </c>
      <c r="K6" s="16">
        <f t="shared" si="2"/>
        <v>7683.58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63071.42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1254.5999999999999</v>
      </c>
      <c r="AM6" s="16">
        <f t="shared" si="3"/>
        <v>0</v>
      </c>
      <c r="AN6" s="16">
        <f t="shared" si="3"/>
        <v>61816.82</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165503</v>
      </c>
      <c r="AZ6" s="16" t="s">
        <v>3</v>
      </c>
      <c r="BA6" s="16">
        <f>ROUND($AY$6*BA5/$AZ$5,2)</f>
        <v>102431.57</v>
      </c>
      <c r="BB6" s="16">
        <f>ROUND($AY$6*BB5/$AZ$5,2)</f>
        <v>94747.99</v>
      </c>
      <c r="BC6" s="16">
        <f t="shared" ref="BC6:BH6" si="4">ROUND($AY$6*BC5/$AZ$5,2)</f>
        <v>7683.58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63071.43</v>
      </c>
      <c r="BM6" s="16">
        <f t="shared" si="5"/>
        <v>0</v>
      </c>
      <c r="BN6" s="16">
        <f t="shared" si="5"/>
        <v>0</v>
      </c>
      <c r="BO6" s="16">
        <f t="shared" si="5"/>
        <v>0</v>
      </c>
      <c r="BP6" s="16">
        <f t="shared" si="5"/>
        <v>0</v>
      </c>
      <c r="BQ6" s="16">
        <f t="shared" si="5"/>
        <v>1254.5999999999999</v>
      </c>
      <c r="BR6" s="16">
        <f t="shared" si="5"/>
        <v>61816.82</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192" t="s">
        <v>3133</v>
      </c>
      <c r="J9" s="984"/>
      <c r="K9" s="2192" t="s">
        <v>3082</v>
      </c>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192" t="s">
        <v>1373</v>
      </c>
      <c r="J10" s="984"/>
      <c r="K10" s="2198" t="s">
        <v>1373</v>
      </c>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tr">
        <f>报规面积表!H11</f>
        <v>名品街区</v>
      </c>
      <c r="D13" s="2214" t="s">
        <v>3132</v>
      </c>
      <c r="E13" s="16">
        <f>IF($C$3="是",ROUND($A$3*G13/$B$3,2),ROUND($A$3*(G13-AT13)/$B$3,2))</f>
        <v>33252.019999999997</v>
      </c>
      <c r="F13" s="32"/>
      <c r="G13" s="33">
        <f>H13+AC13+AT13</f>
        <v>66949.08</v>
      </c>
      <c r="H13" s="20">
        <f>SUMIF(I$12:AB$12,"总值",I13:AB13)</f>
        <v>66949.08</v>
      </c>
      <c r="I13" s="2215">
        <f>报规面积表!I11</f>
        <v>66949.08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名品街区</v>
      </c>
      <c r="AY13" s="1809">
        <f>ROUND($AY$6*AZ13/$AZ$5,2)</f>
        <v>33252.019999999997</v>
      </c>
      <c r="AZ13" s="16">
        <f>BA13+BL13</f>
        <v>66949.08</v>
      </c>
      <c r="BA13" s="16">
        <f>SUM(BB13:BK13)</f>
        <v>66949.08</v>
      </c>
      <c r="BB13" s="16">
        <f>IF($D13="是",I13-J13,0)</f>
        <v>66949.08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1275" t="str">
        <f>报规面积表!H12</f>
        <v>民宿-自持</v>
      </c>
      <c r="D14" s="2214" t="s">
        <v>3132</v>
      </c>
      <c r="E14" s="16">
        <f>IF($C$3="是",ROUND($A$3*G14/$B$3,2),ROUND($A$3*(G14-AT14)/$B$3,2))</f>
        <v>35053.42</v>
      </c>
      <c r="F14" s="32"/>
      <c r="G14" s="33">
        <f>H14+AC14+AT14</f>
        <v>70576</v>
      </c>
      <c r="H14" s="20">
        <f>SUMIF(I$12:AB$12,"总值",I14:AB14)</f>
        <v>70576</v>
      </c>
      <c r="I14" s="2215">
        <f>报规面积表!I12</f>
        <v>70576</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民宿-自持</v>
      </c>
      <c r="AY14" s="1809">
        <f>ROUND($AY$6*AZ14/$AZ$5,2)</f>
        <v>35053.42</v>
      </c>
      <c r="AZ14" s="16">
        <f>BA14+BL14</f>
        <v>70576</v>
      </c>
      <c r="BA14" s="16">
        <f>SUM(BB14:BK14)</f>
        <v>70576</v>
      </c>
      <c r="BB14" s="16">
        <f>IF($D14="是",I14-J14,0)</f>
        <v>70576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25.5">
      <c r="A15" s="1275"/>
      <c r="B15" s="1275"/>
      <c r="C15" s="1275" t="str">
        <f>报规面积表!H13</f>
        <v>主题公寓组团</v>
      </c>
      <c r="D15" s="2214" t="s">
        <v>3132</v>
      </c>
      <c r="E15" s="16">
        <f>IF($C$3="是",ROUND($A$3*G15/$B$3,2),ROUND($A$3*(G15-AT15)/$B$3,2))</f>
        <v>11609.31</v>
      </c>
      <c r="F15" s="32"/>
      <c r="G15" s="33">
        <f>H15+AC15+AT15</f>
        <v>23374</v>
      </c>
      <c r="H15" s="20">
        <f>SUMIF(I$12:AB$12,"总值",I15:AB15)</f>
        <v>23374</v>
      </c>
      <c r="I15" s="2215">
        <f>报规面积表!I13</f>
        <v>23374</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主题公寓组团</v>
      </c>
      <c r="AY15" s="1809">
        <f>ROUND($AY$6*AZ15/$AZ$5,2)</f>
        <v>11609.31</v>
      </c>
      <c r="AZ15" s="16">
        <f>BA15+BL15</f>
        <v>23374</v>
      </c>
      <c r="BA15" s="16">
        <f>SUM(BB15:BK15)</f>
        <v>23374</v>
      </c>
      <c r="BB15" s="16">
        <f>IF($D15="是",I15-J15,0)</f>
        <v>23374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1275" t="str">
        <f>报规面积表!H14</f>
        <v>商街</v>
      </c>
      <c r="D16" s="2214" t="s">
        <v>3132</v>
      </c>
      <c r="E16" s="16">
        <f>IF($C$3="是",ROUND($A$3*G16/$B$3,2),ROUND($A$3*(G16-AT16)/$B$3,2))</f>
        <v>22516.82</v>
      </c>
      <c r="F16" s="32"/>
      <c r="G16" s="33">
        <f>H16+AC16+AT16</f>
        <v>45335</v>
      </c>
      <c r="H16" s="20">
        <f>SUMIF(I$12:AB$12,"总值",I16:AB16)</f>
        <v>45335</v>
      </c>
      <c r="I16" s="2215">
        <f>报规面积表!I14</f>
        <v>29865</v>
      </c>
      <c r="J16" s="2215"/>
      <c r="K16" s="2215">
        <f>报规面积表!J14</f>
        <v>15470</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商街</v>
      </c>
      <c r="AY16" s="1809">
        <f>ROUND($AY$6*AZ16/$AZ$5,2)</f>
        <v>22516.82</v>
      </c>
      <c r="AZ16" s="16">
        <f>BA16+BL16</f>
        <v>45335</v>
      </c>
      <c r="BA16" s="16">
        <f>SUM(BB16:BK16)</f>
        <v>45335</v>
      </c>
      <c r="BB16" s="16">
        <f>IF($D16="是",I16-J16,0)</f>
        <v>29865</v>
      </c>
      <c r="BC16" s="16">
        <f>IF($D16="是",K16-L16,0)</f>
        <v>15470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38.25">
      <c r="A17" s="1275"/>
      <c r="B17" s="1275"/>
      <c r="C17" s="1275" t="str">
        <f>报规面积表!H15</f>
        <v>停车场CP（含设备用房等）</v>
      </c>
      <c r="D17" s="2214" t="s">
        <v>3132</v>
      </c>
      <c r="E17" s="16">
        <f>IF($C$3="是",ROUND($A$3*G17/$B$3,2),ROUND($A$3*(G17-AT17)/$B$3,2))</f>
        <v>63071.43</v>
      </c>
      <c r="F17" s="32"/>
      <c r="G17" s="33">
        <f>H17+AC17+AT17</f>
        <v>126987</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126987</v>
      </c>
      <c r="AD17" s="2216"/>
      <c r="AE17" s="2216"/>
      <c r="AF17" s="2216"/>
      <c r="AG17" s="2216"/>
      <c r="AH17" s="2216"/>
      <c r="AI17" s="2216"/>
      <c r="AJ17" s="2216"/>
      <c r="AK17" s="2216"/>
      <c r="AL17" s="2216">
        <f>报规面积表!I15</f>
        <v>2526</v>
      </c>
      <c r="AM17" s="2216"/>
      <c r="AN17" s="2216">
        <f>报规面积表!J15</f>
        <v>124461</v>
      </c>
      <c r="AO17" s="2216"/>
      <c r="AP17" s="2216"/>
      <c r="AQ17" s="2216"/>
      <c r="AR17" s="2216"/>
      <c r="AS17" s="2216"/>
      <c r="AT17" s="2217"/>
      <c r="AU17" s="2218"/>
      <c r="AV17" s="11">
        <f t="shared" si="6"/>
        <v>0</v>
      </c>
      <c r="AW17" s="11">
        <f t="shared" si="6"/>
        <v>0</v>
      </c>
      <c r="AX17" s="11" t="str">
        <f t="shared" si="6"/>
        <v>停车场CP（含设备用房等）</v>
      </c>
      <c r="AY17" s="1809">
        <f>ROUND($AY$6*AZ17/$AZ$5,2)</f>
        <v>63071.43</v>
      </c>
      <c r="AZ17" s="16">
        <f>BA17+BL17</f>
        <v>126987</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126987</v>
      </c>
      <c r="BM17" s="16">
        <f>IF($D17="是",AD17-AE17,0)</f>
        <v>0</v>
      </c>
      <c r="BN17" s="16">
        <f>IF($D17="是",AF17-AG17,0)</f>
        <v>0</v>
      </c>
      <c r="BO17" s="16">
        <f>IF($D17="是",AH17-AI17,0)</f>
        <v>0</v>
      </c>
      <c r="BP17" s="16">
        <f>IF($D17="是",AJ17-AK17,0)</f>
        <v>0</v>
      </c>
      <c r="BQ17" s="16">
        <f>IF($D17="是",AL17-AM17,0)</f>
        <v>2526</v>
      </c>
      <c r="BR17" s="16">
        <f>IF($D17="是",AN17-AO17,0)</f>
        <v>124461</v>
      </c>
      <c r="BS17" s="16">
        <f>IF($D17="是",AP17-AQ17,0)</f>
        <v>0</v>
      </c>
      <c r="BT17" s="22">
        <f>IF($D17="是",AR17-AS17,0)</f>
        <v>0</v>
      </c>
    </row>
    <row r="18" spans="1:72">
      <c r="A18" s="9"/>
      <c r="B18" s="34"/>
      <c r="C18" s="1275"/>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7" t="s">
        <v>0</v>
      </c>
      <c r="B1" s="3207" t="s">
        <v>4</v>
      </c>
      <c r="C1" s="3207" t="s">
        <v>5</v>
      </c>
      <c r="D1" s="3208" t="s">
        <v>53</v>
      </c>
      <c r="E1" s="3208" t="s">
        <v>54</v>
      </c>
      <c r="F1" s="3208"/>
      <c r="G1" s="3208"/>
      <c r="H1" s="3208"/>
      <c r="I1" s="3208"/>
      <c r="J1" s="3208"/>
      <c r="K1" s="3208"/>
      <c r="L1" s="3208"/>
      <c r="M1" s="3208"/>
    </row>
    <row r="2" spans="1:13" ht="27" customHeight="1">
      <c r="A2" s="3207"/>
      <c r="B2" s="3207"/>
      <c r="C2" s="3207"/>
      <c r="D2" s="3208"/>
      <c r="E2" s="3208" t="s">
        <v>37</v>
      </c>
      <c r="F2" s="3208" t="s">
        <v>38</v>
      </c>
      <c r="G2" s="3208"/>
      <c r="H2" s="3208"/>
      <c r="I2" s="3208"/>
      <c r="J2" s="3208" t="s">
        <v>39</v>
      </c>
      <c r="K2" s="3208"/>
      <c r="L2" s="3208"/>
      <c r="M2" s="3208"/>
    </row>
    <row r="3" spans="1:13" ht="28.5">
      <c r="A3" s="3207"/>
      <c r="B3" s="3207"/>
      <c r="C3" s="3207"/>
      <c r="D3" s="3208"/>
      <c r="E3" s="320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8" t="s">
        <v>55</v>
      </c>
      <c r="B9" s="3208"/>
      <c r="C9" s="32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T36"/>
  <sheetViews>
    <sheetView topLeftCell="C1" workbookViewId="0">
      <selection activeCell="O3" sqref="O3"/>
    </sheetView>
  </sheetViews>
  <sheetFormatPr defaultRowHeight="14.25"/>
  <cols>
    <col min="1" max="1" width="9" style="2947"/>
    <col min="2" max="2" width="11" style="2947" customWidth="1"/>
    <col min="3" max="3" width="14" style="2947" customWidth="1"/>
    <col min="4" max="4" width="11.125" style="2947" customWidth="1"/>
    <col min="5" max="5" width="9" style="3110" customWidth="1"/>
    <col min="6" max="7" width="9" style="2947"/>
    <col min="8" max="8" width="18.875" style="2947" customWidth="1"/>
    <col min="9" max="9" width="10.625" style="2947" customWidth="1"/>
    <col min="10" max="10" width="10" style="2947" customWidth="1"/>
    <col min="11" max="11" width="10.5" style="3110" customWidth="1"/>
    <col min="12" max="12" width="9.625" style="2947" customWidth="1"/>
    <col min="13" max="13" width="11.625" style="2947" customWidth="1"/>
    <col min="14" max="18" width="9" style="2947"/>
    <col min="19" max="19" width="16.5" style="3111" customWidth="1"/>
    <col min="20" max="20" width="15.375" style="2947" customWidth="1"/>
    <col min="21" max="260" width="9" style="2947"/>
    <col min="261" max="261" width="9" style="2947" customWidth="1"/>
    <col min="262" max="263" width="9" style="2947"/>
    <col min="264" max="264" width="12.25" style="2947" customWidth="1"/>
    <col min="265" max="265" width="9" style="2947"/>
    <col min="266" max="266" width="8" style="2947" customWidth="1"/>
    <col min="267" max="267" width="10.5" style="2947" customWidth="1"/>
    <col min="268" max="268" width="13" style="2947" customWidth="1"/>
    <col min="269" max="516" width="9" style="2947"/>
    <col min="517" max="517" width="9" style="2947" customWidth="1"/>
    <col min="518" max="519" width="9" style="2947"/>
    <col min="520" max="520" width="12.25" style="2947" customWidth="1"/>
    <col min="521" max="521" width="9" style="2947"/>
    <col min="522" max="522" width="8" style="2947" customWidth="1"/>
    <col min="523" max="523" width="10.5" style="2947" customWidth="1"/>
    <col min="524" max="524" width="13" style="2947" customWidth="1"/>
    <col min="525" max="772" width="9" style="2947"/>
    <col min="773" max="773" width="9" style="2947" customWidth="1"/>
    <col min="774" max="775" width="9" style="2947"/>
    <col min="776" max="776" width="12.25" style="2947" customWidth="1"/>
    <col min="777" max="777" width="9" style="2947"/>
    <col min="778" max="778" width="8" style="2947" customWidth="1"/>
    <col min="779" max="779" width="10.5" style="2947" customWidth="1"/>
    <col min="780" max="780" width="13" style="2947" customWidth="1"/>
    <col min="781" max="1028" width="9" style="2947"/>
    <col min="1029" max="1029" width="9" style="2947" customWidth="1"/>
    <col min="1030" max="1031" width="9" style="2947"/>
    <col min="1032" max="1032" width="12.25" style="2947" customWidth="1"/>
    <col min="1033" max="1033" width="9" style="2947"/>
    <col min="1034" max="1034" width="8" style="2947" customWidth="1"/>
    <col min="1035" max="1035" width="10.5" style="2947" customWidth="1"/>
    <col min="1036" max="1036" width="13" style="2947" customWidth="1"/>
    <col min="1037" max="1284" width="9" style="2947"/>
    <col min="1285" max="1285" width="9" style="2947" customWidth="1"/>
    <col min="1286" max="1287" width="9" style="2947"/>
    <col min="1288" max="1288" width="12.25" style="2947" customWidth="1"/>
    <col min="1289" max="1289" width="9" style="2947"/>
    <col min="1290" max="1290" width="8" style="2947" customWidth="1"/>
    <col min="1291" max="1291" width="10.5" style="2947" customWidth="1"/>
    <col min="1292" max="1292" width="13" style="2947" customWidth="1"/>
    <col min="1293" max="1540" width="9" style="2947"/>
    <col min="1541" max="1541" width="9" style="2947" customWidth="1"/>
    <col min="1542" max="1543" width="9" style="2947"/>
    <col min="1544" max="1544" width="12.25" style="2947" customWidth="1"/>
    <col min="1545" max="1545" width="9" style="2947"/>
    <col min="1546" max="1546" width="8" style="2947" customWidth="1"/>
    <col min="1547" max="1547" width="10.5" style="2947" customWidth="1"/>
    <col min="1548" max="1548" width="13" style="2947" customWidth="1"/>
    <col min="1549" max="1796" width="9" style="2947"/>
    <col min="1797" max="1797" width="9" style="2947" customWidth="1"/>
    <col min="1798" max="1799" width="9" style="2947"/>
    <col min="1800" max="1800" width="12.25" style="2947" customWidth="1"/>
    <col min="1801" max="1801" width="9" style="2947"/>
    <col min="1802" max="1802" width="8" style="2947" customWidth="1"/>
    <col min="1803" max="1803" width="10.5" style="2947" customWidth="1"/>
    <col min="1804" max="1804" width="13" style="2947" customWidth="1"/>
    <col min="1805" max="2052" width="9" style="2947"/>
    <col min="2053" max="2053" width="9" style="2947" customWidth="1"/>
    <col min="2054" max="2055" width="9" style="2947"/>
    <col min="2056" max="2056" width="12.25" style="2947" customWidth="1"/>
    <col min="2057" max="2057" width="9" style="2947"/>
    <col min="2058" max="2058" width="8" style="2947" customWidth="1"/>
    <col min="2059" max="2059" width="10.5" style="2947" customWidth="1"/>
    <col min="2060" max="2060" width="13" style="2947" customWidth="1"/>
    <col min="2061" max="2308" width="9" style="2947"/>
    <col min="2309" max="2309" width="9" style="2947" customWidth="1"/>
    <col min="2310" max="2311" width="9" style="2947"/>
    <col min="2312" max="2312" width="12.25" style="2947" customWidth="1"/>
    <col min="2313" max="2313" width="9" style="2947"/>
    <col min="2314" max="2314" width="8" style="2947" customWidth="1"/>
    <col min="2315" max="2315" width="10.5" style="2947" customWidth="1"/>
    <col min="2316" max="2316" width="13" style="2947" customWidth="1"/>
    <col min="2317" max="2564" width="9" style="2947"/>
    <col min="2565" max="2565" width="9" style="2947" customWidth="1"/>
    <col min="2566" max="2567" width="9" style="2947"/>
    <col min="2568" max="2568" width="12.25" style="2947" customWidth="1"/>
    <col min="2569" max="2569" width="9" style="2947"/>
    <col min="2570" max="2570" width="8" style="2947" customWidth="1"/>
    <col min="2571" max="2571" width="10.5" style="2947" customWidth="1"/>
    <col min="2572" max="2572" width="13" style="2947" customWidth="1"/>
    <col min="2573" max="2820" width="9" style="2947"/>
    <col min="2821" max="2821" width="9" style="2947" customWidth="1"/>
    <col min="2822" max="2823" width="9" style="2947"/>
    <col min="2824" max="2824" width="12.25" style="2947" customWidth="1"/>
    <col min="2825" max="2825" width="9" style="2947"/>
    <col min="2826" max="2826" width="8" style="2947" customWidth="1"/>
    <col min="2827" max="2827" width="10.5" style="2947" customWidth="1"/>
    <col min="2828" max="2828" width="13" style="2947" customWidth="1"/>
    <col min="2829" max="3076" width="9" style="2947"/>
    <col min="3077" max="3077" width="9" style="2947" customWidth="1"/>
    <col min="3078" max="3079" width="9" style="2947"/>
    <col min="3080" max="3080" width="12.25" style="2947" customWidth="1"/>
    <col min="3081" max="3081" width="9" style="2947"/>
    <col min="3082" max="3082" width="8" style="2947" customWidth="1"/>
    <col min="3083" max="3083" width="10.5" style="2947" customWidth="1"/>
    <col min="3084" max="3084" width="13" style="2947" customWidth="1"/>
    <col min="3085" max="3332" width="9" style="2947"/>
    <col min="3333" max="3333" width="9" style="2947" customWidth="1"/>
    <col min="3334" max="3335" width="9" style="2947"/>
    <col min="3336" max="3336" width="12.25" style="2947" customWidth="1"/>
    <col min="3337" max="3337" width="9" style="2947"/>
    <col min="3338" max="3338" width="8" style="2947" customWidth="1"/>
    <col min="3339" max="3339" width="10.5" style="2947" customWidth="1"/>
    <col min="3340" max="3340" width="13" style="2947" customWidth="1"/>
    <col min="3341" max="3588" width="9" style="2947"/>
    <col min="3589" max="3589" width="9" style="2947" customWidth="1"/>
    <col min="3590" max="3591" width="9" style="2947"/>
    <col min="3592" max="3592" width="12.25" style="2947" customWidth="1"/>
    <col min="3593" max="3593" width="9" style="2947"/>
    <col min="3594" max="3594" width="8" style="2947" customWidth="1"/>
    <col min="3595" max="3595" width="10.5" style="2947" customWidth="1"/>
    <col min="3596" max="3596" width="13" style="2947" customWidth="1"/>
    <col min="3597" max="3844" width="9" style="2947"/>
    <col min="3845" max="3845" width="9" style="2947" customWidth="1"/>
    <col min="3846" max="3847" width="9" style="2947"/>
    <col min="3848" max="3848" width="12.25" style="2947" customWidth="1"/>
    <col min="3849" max="3849" width="9" style="2947"/>
    <col min="3850" max="3850" width="8" style="2947" customWidth="1"/>
    <col min="3851" max="3851" width="10.5" style="2947" customWidth="1"/>
    <col min="3852" max="3852" width="13" style="2947" customWidth="1"/>
    <col min="3853" max="4100" width="9" style="2947"/>
    <col min="4101" max="4101" width="9" style="2947" customWidth="1"/>
    <col min="4102" max="4103" width="9" style="2947"/>
    <col min="4104" max="4104" width="12.25" style="2947" customWidth="1"/>
    <col min="4105" max="4105" width="9" style="2947"/>
    <col min="4106" max="4106" width="8" style="2947" customWidth="1"/>
    <col min="4107" max="4107" width="10.5" style="2947" customWidth="1"/>
    <col min="4108" max="4108" width="13" style="2947" customWidth="1"/>
    <col min="4109" max="4356" width="9" style="2947"/>
    <col min="4357" max="4357" width="9" style="2947" customWidth="1"/>
    <col min="4358" max="4359" width="9" style="2947"/>
    <col min="4360" max="4360" width="12.25" style="2947" customWidth="1"/>
    <col min="4361" max="4361" width="9" style="2947"/>
    <col min="4362" max="4362" width="8" style="2947" customWidth="1"/>
    <col min="4363" max="4363" width="10.5" style="2947" customWidth="1"/>
    <col min="4364" max="4364" width="13" style="2947" customWidth="1"/>
    <col min="4365" max="4612" width="9" style="2947"/>
    <col min="4613" max="4613" width="9" style="2947" customWidth="1"/>
    <col min="4614" max="4615" width="9" style="2947"/>
    <col min="4616" max="4616" width="12.25" style="2947" customWidth="1"/>
    <col min="4617" max="4617" width="9" style="2947"/>
    <col min="4618" max="4618" width="8" style="2947" customWidth="1"/>
    <col min="4619" max="4619" width="10.5" style="2947" customWidth="1"/>
    <col min="4620" max="4620" width="13" style="2947" customWidth="1"/>
    <col min="4621" max="4868" width="9" style="2947"/>
    <col min="4869" max="4869" width="9" style="2947" customWidth="1"/>
    <col min="4870" max="4871" width="9" style="2947"/>
    <col min="4872" max="4872" width="12.25" style="2947" customWidth="1"/>
    <col min="4873" max="4873" width="9" style="2947"/>
    <col min="4874" max="4874" width="8" style="2947" customWidth="1"/>
    <col min="4875" max="4875" width="10.5" style="2947" customWidth="1"/>
    <col min="4876" max="4876" width="13" style="2947" customWidth="1"/>
    <col min="4877" max="5124" width="9" style="2947"/>
    <col min="5125" max="5125" width="9" style="2947" customWidth="1"/>
    <col min="5126" max="5127" width="9" style="2947"/>
    <col min="5128" max="5128" width="12.25" style="2947" customWidth="1"/>
    <col min="5129" max="5129" width="9" style="2947"/>
    <col min="5130" max="5130" width="8" style="2947" customWidth="1"/>
    <col min="5131" max="5131" width="10.5" style="2947" customWidth="1"/>
    <col min="5132" max="5132" width="13" style="2947" customWidth="1"/>
    <col min="5133" max="5380" width="9" style="2947"/>
    <col min="5381" max="5381" width="9" style="2947" customWidth="1"/>
    <col min="5382" max="5383" width="9" style="2947"/>
    <col min="5384" max="5384" width="12.25" style="2947" customWidth="1"/>
    <col min="5385" max="5385" width="9" style="2947"/>
    <col min="5386" max="5386" width="8" style="2947" customWidth="1"/>
    <col min="5387" max="5387" width="10.5" style="2947" customWidth="1"/>
    <col min="5388" max="5388" width="13" style="2947" customWidth="1"/>
    <col min="5389" max="5636" width="9" style="2947"/>
    <col min="5637" max="5637" width="9" style="2947" customWidth="1"/>
    <col min="5638" max="5639" width="9" style="2947"/>
    <col min="5640" max="5640" width="12.25" style="2947" customWidth="1"/>
    <col min="5641" max="5641" width="9" style="2947"/>
    <col min="5642" max="5642" width="8" style="2947" customWidth="1"/>
    <col min="5643" max="5643" width="10.5" style="2947" customWidth="1"/>
    <col min="5644" max="5644" width="13" style="2947" customWidth="1"/>
    <col min="5645" max="5892" width="9" style="2947"/>
    <col min="5893" max="5893" width="9" style="2947" customWidth="1"/>
    <col min="5894" max="5895" width="9" style="2947"/>
    <col min="5896" max="5896" width="12.25" style="2947" customWidth="1"/>
    <col min="5897" max="5897" width="9" style="2947"/>
    <col min="5898" max="5898" width="8" style="2947" customWidth="1"/>
    <col min="5899" max="5899" width="10.5" style="2947" customWidth="1"/>
    <col min="5900" max="5900" width="13" style="2947" customWidth="1"/>
    <col min="5901" max="6148" width="9" style="2947"/>
    <col min="6149" max="6149" width="9" style="2947" customWidth="1"/>
    <col min="6150" max="6151" width="9" style="2947"/>
    <col min="6152" max="6152" width="12.25" style="2947" customWidth="1"/>
    <col min="6153" max="6153" width="9" style="2947"/>
    <col min="6154" max="6154" width="8" style="2947" customWidth="1"/>
    <col min="6155" max="6155" width="10.5" style="2947" customWidth="1"/>
    <col min="6156" max="6156" width="13" style="2947" customWidth="1"/>
    <col min="6157" max="6404" width="9" style="2947"/>
    <col min="6405" max="6405" width="9" style="2947" customWidth="1"/>
    <col min="6406" max="6407" width="9" style="2947"/>
    <col min="6408" max="6408" width="12.25" style="2947" customWidth="1"/>
    <col min="6409" max="6409" width="9" style="2947"/>
    <col min="6410" max="6410" width="8" style="2947" customWidth="1"/>
    <col min="6411" max="6411" width="10.5" style="2947" customWidth="1"/>
    <col min="6412" max="6412" width="13" style="2947" customWidth="1"/>
    <col min="6413" max="6660" width="9" style="2947"/>
    <col min="6661" max="6661" width="9" style="2947" customWidth="1"/>
    <col min="6662" max="6663" width="9" style="2947"/>
    <col min="6664" max="6664" width="12.25" style="2947" customWidth="1"/>
    <col min="6665" max="6665" width="9" style="2947"/>
    <col min="6666" max="6666" width="8" style="2947" customWidth="1"/>
    <col min="6667" max="6667" width="10.5" style="2947" customWidth="1"/>
    <col min="6668" max="6668" width="13" style="2947" customWidth="1"/>
    <col min="6669" max="6916" width="9" style="2947"/>
    <col min="6917" max="6917" width="9" style="2947" customWidth="1"/>
    <col min="6918" max="6919" width="9" style="2947"/>
    <col min="6920" max="6920" width="12.25" style="2947" customWidth="1"/>
    <col min="6921" max="6921" width="9" style="2947"/>
    <col min="6922" max="6922" width="8" style="2947" customWidth="1"/>
    <col min="6923" max="6923" width="10.5" style="2947" customWidth="1"/>
    <col min="6924" max="6924" width="13" style="2947" customWidth="1"/>
    <col min="6925" max="7172" width="9" style="2947"/>
    <col min="7173" max="7173" width="9" style="2947" customWidth="1"/>
    <col min="7174" max="7175" width="9" style="2947"/>
    <col min="7176" max="7176" width="12.25" style="2947" customWidth="1"/>
    <col min="7177" max="7177" width="9" style="2947"/>
    <col min="7178" max="7178" width="8" style="2947" customWidth="1"/>
    <col min="7179" max="7179" width="10.5" style="2947" customWidth="1"/>
    <col min="7180" max="7180" width="13" style="2947" customWidth="1"/>
    <col min="7181" max="7428" width="9" style="2947"/>
    <col min="7429" max="7429" width="9" style="2947" customWidth="1"/>
    <col min="7430" max="7431" width="9" style="2947"/>
    <col min="7432" max="7432" width="12.25" style="2947" customWidth="1"/>
    <col min="7433" max="7433" width="9" style="2947"/>
    <col min="7434" max="7434" width="8" style="2947" customWidth="1"/>
    <col min="7435" max="7435" width="10.5" style="2947" customWidth="1"/>
    <col min="7436" max="7436" width="13" style="2947" customWidth="1"/>
    <col min="7437" max="7684" width="9" style="2947"/>
    <col min="7685" max="7685" width="9" style="2947" customWidth="1"/>
    <col min="7686" max="7687" width="9" style="2947"/>
    <col min="7688" max="7688" width="12.25" style="2947" customWidth="1"/>
    <col min="7689" max="7689" width="9" style="2947"/>
    <col min="7690" max="7690" width="8" style="2947" customWidth="1"/>
    <col min="7691" max="7691" width="10.5" style="2947" customWidth="1"/>
    <col min="7692" max="7692" width="13" style="2947" customWidth="1"/>
    <col min="7693" max="7940" width="9" style="2947"/>
    <col min="7941" max="7941" width="9" style="2947" customWidth="1"/>
    <col min="7942" max="7943" width="9" style="2947"/>
    <col min="7944" max="7944" width="12.25" style="2947" customWidth="1"/>
    <col min="7945" max="7945" width="9" style="2947"/>
    <col min="7946" max="7946" width="8" style="2947" customWidth="1"/>
    <col min="7947" max="7947" width="10.5" style="2947" customWidth="1"/>
    <col min="7948" max="7948" width="13" style="2947" customWidth="1"/>
    <col min="7949" max="8196" width="9" style="2947"/>
    <col min="8197" max="8197" width="9" style="2947" customWidth="1"/>
    <col min="8198" max="8199" width="9" style="2947"/>
    <col min="8200" max="8200" width="12.25" style="2947" customWidth="1"/>
    <col min="8201" max="8201" width="9" style="2947"/>
    <col min="8202" max="8202" width="8" style="2947" customWidth="1"/>
    <col min="8203" max="8203" width="10.5" style="2947" customWidth="1"/>
    <col min="8204" max="8204" width="13" style="2947" customWidth="1"/>
    <col min="8205" max="8452" width="9" style="2947"/>
    <col min="8453" max="8453" width="9" style="2947" customWidth="1"/>
    <col min="8454" max="8455" width="9" style="2947"/>
    <col min="8456" max="8456" width="12.25" style="2947" customWidth="1"/>
    <col min="8457" max="8457" width="9" style="2947"/>
    <col min="8458" max="8458" width="8" style="2947" customWidth="1"/>
    <col min="8459" max="8459" width="10.5" style="2947" customWidth="1"/>
    <col min="8460" max="8460" width="13" style="2947" customWidth="1"/>
    <col min="8461" max="8708" width="9" style="2947"/>
    <col min="8709" max="8709" width="9" style="2947" customWidth="1"/>
    <col min="8710" max="8711" width="9" style="2947"/>
    <col min="8712" max="8712" width="12.25" style="2947" customWidth="1"/>
    <col min="8713" max="8713" width="9" style="2947"/>
    <col min="8714" max="8714" width="8" style="2947" customWidth="1"/>
    <col min="8715" max="8715" width="10.5" style="2947" customWidth="1"/>
    <col min="8716" max="8716" width="13" style="2947" customWidth="1"/>
    <col min="8717" max="8964" width="9" style="2947"/>
    <col min="8965" max="8965" width="9" style="2947" customWidth="1"/>
    <col min="8966" max="8967" width="9" style="2947"/>
    <col min="8968" max="8968" width="12.25" style="2947" customWidth="1"/>
    <col min="8969" max="8969" width="9" style="2947"/>
    <col min="8970" max="8970" width="8" style="2947" customWidth="1"/>
    <col min="8971" max="8971" width="10.5" style="2947" customWidth="1"/>
    <col min="8972" max="8972" width="13" style="2947" customWidth="1"/>
    <col min="8973" max="9220" width="9" style="2947"/>
    <col min="9221" max="9221" width="9" style="2947" customWidth="1"/>
    <col min="9222" max="9223" width="9" style="2947"/>
    <col min="9224" max="9224" width="12.25" style="2947" customWidth="1"/>
    <col min="9225" max="9225" width="9" style="2947"/>
    <col min="9226" max="9226" width="8" style="2947" customWidth="1"/>
    <col min="9227" max="9227" width="10.5" style="2947" customWidth="1"/>
    <col min="9228" max="9228" width="13" style="2947" customWidth="1"/>
    <col min="9229" max="9476" width="9" style="2947"/>
    <col min="9477" max="9477" width="9" style="2947" customWidth="1"/>
    <col min="9478" max="9479" width="9" style="2947"/>
    <col min="9480" max="9480" width="12.25" style="2947" customWidth="1"/>
    <col min="9481" max="9481" width="9" style="2947"/>
    <col min="9482" max="9482" width="8" style="2947" customWidth="1"/>
    <col min="9483" max="9483" width="10.5" style="2947" customWidth="1"/>
    <col min="9484" max="9484" width="13" style="2947" customWidth="1"/>
    <col min="9485" max="9732" width="9" style="2947"/>
    <col min="9733" max="9733" width="9" style="2947" customWidth="1"/>
    <col min="9734" max="9735" width="9" style="2947"/>
    <col min="9736" max="9736" width="12.25" style="2947" customWidth="1"/>
    <col min="9737" max="9737" width="9" style="2947"/>
    <col min="9738" max="9738" width="8" style="2947" customWidth="1"/>
    <col min="9739" max="9739" width="10.5" style="2947" customWidth="1"/>
    <col min="9740" max="9740" width="13" style="2947" customWidth="1"/>
    <col min="9741" max="9988" width="9" style="2947"/>
    <col min="9989" max="9989" width="9" style="2947" customWidth="1"/>
    <col min="9990" max="9991" width="9" style="2947"/>
    <col min="9992" max="9992" width="12.25" style="2947" customWidth="1"/>
    <col min="9993" max="9993" width="9" style="2947"/>
    <col min="9994" max="9994" width="8" style="2947" customWidth="1"/>
    <col min="9995" max="9995" width="10.5" style="2947" customWidth="1"/>
    <col min="9996" max="9996" width="13" style="2947" customWidth="1"/>
    <col min="9997" max="10244" width="9" style="2947"/>
    <col min="10245" max="10245" width="9" style="2947" customWidth="1"/>
    <col min="10246" max="10247" width="9" style="2947"/>
    <col min="10248" max="10248" width="12.25" style="2947" customWidth="1"/>
    <col min="10249" max="10249" width="9" style="2947"/>
    <col min="10250" max="10250" width="8" style="2947" customWidth="1"/>
    <col min="10251" max="10251" width="10.5" style="2947" customWidth="1"/>
    <col min="10252" max="10252" width="13" style="2947" customWidth="1"/>
    <col min="10253" max="10500" width="9" style="2947"/>
    <col min="10501" max="10501" width="9" style="2947" customWidth="1"/>
    <col min="10502" max="10503" width="9" style="2947"/>
    <col min="10504" max="10504" width="12.25" style="2947" customWidth="1"/>
    <col min="10505" max="10505" width="9" style="2947"/>
    <col min="10506" max="10506" width="8" style="2947" customWidth="1"/>
    <col min="10507" max="10507" width="10.5" style="2947" customWidth="1"/>
    <col min="10508" max="10508" width="13" style="2947" customWidth="1"/>
    <col min="10509" max="10756" width="9" style="2947"/>
    <col min="10757" max="10757" width="9" style="2947" customWidth="1"/>
    <col min="10758" max="10759" width="9" style="2947"/>
    <col min="10760" max="10760" width="12.25" style="2947" customWidth="1"/>
    <col min="10761" max="10761" width="9" style="2947"/>
    <col min="10762" max="10762" width="8" style="2947" customWidth="1"/>
    <col min="10763" max="10763" width="10.5" style="2947" customWidth="1"/>
    <col min="10764" max="10764" width="13" style="2947" customWidth="1"/>
    <col min="10765" max="11012" width="9" style="2947"/>
    <col min="11013" max="11013" width="9" style="2947" customWidth="1"/>
    <col min="11014" max="11015" width="9" style="2947"/>
    <col min="11016" max="11016" width="12.25" style="2947" customWidth="1"/>
    <col min="11017" max="11017" width="9" style="2947"/>
    <col min="11018" max="11018" width="8" style="2947" customWidth="1"/>
    <col min="11019" max="11019" width="10.5" style="2947" customWidth="1"/>
    <col min="11020" max="11020" width="13" style="2947" customWidth="1"/>
    <col min="11021" max="11268" width="9" style="2947"/>
    <col min="11269" max="11269" width="9" style="2947" customWidth="1"/>
    <col min="11270" max="11271" width="9" style="2947"/>
    <col min="11272" max="11272" width="12.25" style="2947" customWidth="1"/>
    <col min="11273" max="11273" width="9" style="2947"/>
    <col min="11274" max="11274" width="8" style="2947" customWidth="1"/>
    <col min="11275" max="11275" width="10.5" style="2947" customWidth="1"/>
    <col min="11276" max="11276" width="13" style="2947" customWidth="1"/>
    <col min="11277" max="11524" width="9" style="2947"/>
    <col min="11525" max="11525" width="9" style="2947" customWidth="1"/>
    <col min="11526" max="11527" width="9" style="2947"/>
    <col min="11528" max="11528" width="12.25" style="2947" customWidth="1"/>
    <col min="11529" max="11529" width="9" style="2947"/>
    <col min="11530" max="11530" width="8" style="2947" customWidth="1"/>
    <col min="11531" max="11531" width="10.5" style="2947" customWidth="1"/>
    <col min="11532" max="11532" width="13" style="2947" customWidth="1"/>
    <col min="11533" max="11780" width="9" style="2947"/>
    <col min="11781" max="11781" width="9" style="2947" customWidth="1"/>
    <col min="11782" max="11783" width="9" style="2947"/>
    <col min="11784" max="11784" width="12.25" style="2947" customWidth="1"/>
    <col min="11785" max="11785" width="9" style="2947"/>
    <col min="11786" max="11786" width="8" style="2947" customWidth="1"/>
    <col min="11787" max="11787" width="10.5" style="2947" customWidth="1"/>
    <col min="11788" max="11788" width="13" style="2947" customWidth="1"/>
    <col min="11789" max="12036" width="9" style="2947"/>
    <col min="12037" max="12037" width="9" style="2947" customWidth="1"/>
    <col min="12038" max="12039" width="9" style="2947"/>
    <col min="12040" max="12040" width="12.25" style="2947" customWidth="1"/>
    <col min="12041" max="12041" width="9" style="2947"/>
    <col min="12042" max="12042" width="8" style="2947" customWidth="1"/>
    <col min="12043" max="12043" width="10.5" style="2947" customWidth="1"/>
    <col min="12044" max="12044" width="13" style="2947" customWidth="1"/>
    <col min="12045" max="12292" width="9" style="2947"/>
    <col min="12293" max="12293" width="9" style="2947" customWidth="1"/>
    <col min="12294" max="12295" width="9" style="2947"/>
    <col min="12296" max="12296" width="12.25" style="2947" customWidth="1"/>
    <col min="12297" max="12297" width="9" style="2947"/>
    <col min="12298" max="12298" width="8" style="2947" customWidth="1"/>
    <col min="12299" max="12299" width="10.5" style="2947" customWidth="1"/>
    <col min="12300" max="12300" width="13" style="2947" customWidth="1"/>
    <col min="12301" max="12548" width="9" style="2947"/>
    <col min="12549" max="12549" width="9" style="2947" customWidth="1"/>
    <col min="12550" max="12551" width="9" style="2947"/>
    <col min="12552" max="12552" width="12.25" style="2947" customWidth="1"/>
    <col min="12553" max="12553" width="9" style="2947"/>
    <col min="12554" max="12554" width="8" style="2947" customWidth="1"/>
    <col min="12555" max="12555" width="10.5" style="2947" customWidth="1"/>
    <col min="12556" max="12556" width="13" style="2947" customWidth="1"/>
    <col min="12557" max="12804" width="9" style="2947"/>
    <col min="12805" max="12805" width="9" style="2947" customWidth="1"/>
    <col min="12806" max="12807" width="9" style="2947"/>
    <col min="12808" max="12808" width="12.25" style="2947" customWidth="1"/>
    <col min="12809" max="12809" width="9" style="2947"/>
    <col min="12810" max="12810" width="8" style="2947" customWidth="1"/>
    <col min="12811" max="12811" width="10.5" style="2947" customWidth="1"/>
    <col min="12812" max="12812" width="13" style="2947" customWidth="1"/>
    <col min="12813" max="13060" width="9" style="2947"/>
    <col min="13061" max="13061" width="9" style="2947" customWidth="1"/>
    <col min="13062" max="13063" width="9" style="2947"/>
    <col min="13064" max="13064" width="12.25" style="2947" customWidth="1"/>
    <col min="13065" max="13065" width="9" style="2947"/>
    <col min="13066" max="13066" width="8" style="2947" customWidth="1"/>
    <col min="13067" max="13067" width="10.5" style="2947" customWidth="1"/>
    <col min="13068" max="13068" width="13" style="2947" customWidth="1"/>
    <col min="13069" max="13316" width="9" style="2947"/>
    <col min="13317" max="13317" width="9" style="2947" customWidth="1"/>
    <col min="13318" max="13319" width="9" style="2947"/>
    <col min="13320" max="13320" width="12.25" style="2947" customWidth="1"/>
    <col min="13321" max="13321" width="9" style="2947"/>
    <col min="13322" max="13322" width="8" style="2947" customWidth="1"/>
    <col min="13323" max="13323" width="10.5" style="2947" customWidth="1"/>
    <col min="13324" max="13324" width="13" style="2947" customWidth="1"/>
    <col min="13325" max="13572" width="9" style="2947"/>
    <col min="13573" max="13573" width="9" style="2947" customWidth="1"/>
    <col min="13574" max="13575" width="9" style="2947"/>
    <col min="13576" max="13576" width="12.25" style="2947" customWidth="1"/>
    <col min="13577" max="13577" width="9" style="2947"/>
    <col min="13578" max="13578" width="8" style="2947" customWidth="1"/>
    <col min="13579" max="13579" width="10.5" style="2947" customWidth="1"/>
    <col min="13580" max="13580" width="13" style="2947" customWidth="1"/>
    <col min="13581" max="13828" width="9" style="2947"/>
    <col min="13829" max="13829" width="9" style="2947" customWidth="1"/>
    <col min="13830" max="13831" width="9" style="2947"/>
    <col min="13832" max="13832" width="12.25" style="2947" customWidth="1"/>
    <col min="13833" max="13833" width="9" style="2947"/>
    <col min="13834" max="13834" width="8" style="2947" customWidth="1"/>
    <col min="13835" max="13835" width="10.5" style="2947" customWidth="1"/>
    <col min="13836" max="13836" width="13" style="2947" customWidth="1"/>
    <col min="13837" max="14084" width="9" style="2947"/>
    <col min="14085" max="14085" width="9" style="2947" customWidth="1"/>
    <col min="14086" max="14087" width="9" style="2947"/>
    <col min="14088" max="14088" width="12.25" style="2947" customWidth="1"/>
    <col min="14089" max="14089" width="9" style="2947"/>
    <col min="14090" max="14090" width="8" style="2947" customWidth="1"/>
    <col min="14091" max="14091" width="10.5" style="2947" customWidth="1"/>
    <col min="14092" max="14092" width="13" style="2947" customWidth="1"/>
    <col min="14093" max="14340" width="9" style="2947"/>
    <col min="14341" max="14341" width="9" style="2947" customWidth="1"/>
    <col min="14342" max="14343" width="9" style="2947"/>
    <col min="14344" max="14344" width="12.25" style="2947" customWidth="1"/>
    <col min="14345" max="14345" width="9" style="2947"/>
    <col min="14346" max="14346" width="8" style="2947" customWidth="1"/>
    <col min="14347" max="14347" width="10.5" style="2947" customWidth="1"/>
    <col min="14348" max="14348" width="13" style="2947" customWidth="1"/>
    <col min="14349" max="14596" width="9" style="2947"/>
    <col min="14597" max="14597" width="9" style="2947" customWidth="1"/>
    <col min="14598" max="14599" width="9" style="2947"/>
    <col min="14600" max="14600" width="12.25" style="2947" customWidth="1"/>
    <col min="14601" max="14601" width="9" style="2947"/>
    <col min="14602" max="14602" width="8" style="2947" customWidth="1"/>
    <col min="14603" max="14603" width="10.5" style="2947" customWidth="1"/>
    <col min="14604" max="14604" width="13" style="2947" customWidth="1"/>
    <col min="14605" max="14852" width="9" style="2947"/>
    <col min="14853" max="14853" width="9" style="2947" customWidth="1"/>
    <col min="14854" max="14855" width="9" style="2947"/>
    <col min="14856" max="14856" width="12.25" style="2947" customWidth="1"/>
    <col min="14857" max="14857" width="9" style="2947"/>
    <col min="14858" max="14858" width="8" style="2947" customWidth="1"/>
    <col min="14859" max="14859" width="10.5" style="2947" customWidth="1"/>
    <col min="14860" max="14860" width="13" style="2947" customWidth="1"/>
    <col min="14861" max="15108" width="9" style="2947"/>
    <col min="15109" max="15109" width="9" style="2947" customWidth="1"/>
    <col min="15110" max="15111" width="9" style="2947"/>
    <col min="15112" max="15112" width="12.25" style="2947" customWidth="1"/>
    <col min="15113" max="15113" width="9" style="2947"/>
    <col min="15114" max="15114" width="8" style="2947" customWidth="1"/>
    <col min="15115" max="15115" width="10.5" style="2947" customWidth="1"/>
    <col min="15116" max="15116" width="13" style="2947" customWidth="1"/>
    <col min="15117" max="15364" width="9" style="2947"/>
    <col min="15365" max="15365" width="9" style="2947" customWidth="1"/>
    <col min="15366" max="15367" width="9" style="2947"/>
    <col min="15368" max="15368" width="12.25" style="2947" customWidth="1"/>
    <col min="15369" max="15369" width="9" style="2947"/>
    <col min="15370" max="15370" width="8" style="2947" customWidth="1"/>
    <col min="15371" max="15371" width="10.5" style="2947" customWidth="1"/>
    <col min="15372" max="15372" width="13" style="2947" customWidth="1"/>
    <col min="15373" max="15620" width="9" style="2947"/>
    <col min="15621" max="15621" width="9" style="2947" customWidth="1"/>
    <col min="15622" max="15623" width="9" style="2947"/>
    <col min="15624" max="15624" width="12.25" style="2947" customWidth="1"/>
    <col min="15625" max="15625" width="9" style="2947"/>
    <col min="15626" max="15626" width="8" style="2947" customWidth="1"/>
    <col min="15627" max="15627" width="10.5" style="2947" customWidth="1"/>
    <col min="15628" max="15628" width="13" style="2947" customWidth="1"/>
    <col min="15629" max="15876" width="9" style="2947"/>
    <col min="15877" max="15877" width="9" style="2947" customWidth="1"/>
    <col min="15878" max="15879" width="9" style="2947"/>
    <col min="15880" max="15880" width="12.25" style="2947" customWidth="1"/>
    <col min="15881" max="15881" width="9" style="2947"/>
    <col min="15882" max="15882" width="8" style="2947" customWidth="1"/>
    <col min="15883" max="15883" width="10.5" style="2947" customWidth="1"/>
    <col min="15884" max="15884" width="13" style="2947" customWidth="1"/>
    <col min="15885" max="16132" width="9" style="2947"/>
    <col min="16133" max="16133" width="9" style="2947" customWidth="1"/>
    <col min="16134" max="16135" width="9" style="2947"/>
    <col min="16136" max="16136" width="12.25" style="2947" customWidth="1"/>
    <col min="16137" max="16137" width="9" style="2947"/>
    <col min="16138" max="16138" width="8" style="2947" customWidth="1"/>
    <col min="16139" max="16139" width="10.5" style="2947" customWidth="1"/>
    <col min="16140" max="16140" width="13" style="2947" customWidth="1"/>
    <col min="16141" max="16384" width="9" style="2947"/>
  </cols>
  <sheetData>
    <row r="1" spans="2:20">
      <c r="B1" s="2943"/>
      <c r="C1" s="2943"/>
      <c r="D1" s="2944"/>
      <c r="E1" s="2945"/>
      <c r="F1" s="2944"/>
      <c r="G1" s="2944"/>
      <c r="H1" s="2944"/>
      <c r="I1" s="2944"/>
      <c r="J1" s="2944"/>
      <c r="K1" s="2945"/>
      <c r="L1" s="2944"/>
      <c r="M1" s="2944"/>
      <c r="N1" s="2944"/>
      <c r="O1" s="2944"/>
      <c r="P1" s="2944"/>
      <c r="Q1" s="2944"/>
      <c r="R1" s="2944"/>
      <c r="S1" s="2946"/>
    </row>
    <row r="2" spans="2:20">
      <c r="B2" s="2943"/>
      <c r="C2" s="2943"/>
      <c r="D2" s="2948">
        <v>1</v>
      </c>
      <c r="E2" s="2949" t="s">
        <v>3070</v>
      </c>
      <c r="F2" s="2950">
        <v>1.5E-3</v>
      </c>
      <c r="G2" s="2951" t="s">
        <v>3070</v>
      </c>
      <c r="H2" s="2944"/>
      <c r="I2" s="2944"/>
      <c r="J2" s="2944"/>
      <c r="K2" s="2945"/>
      <c r="L2" s="2944"/>
      <c r="M2" s="2944"/>
      <c r="N2" s="2944"/>
      <c r="O2" s="2944"/>
      <c r="P2" s="2944"/>
      <c r="Q2" s="2944"/>
      <c r="R2" s="2944"/>
      <c r="S2" s="2946"/>
    </row>
    <row r="3" spans="2:20">
      <c r="B3" s="2943"/>
      <c r="C3" s="2943"/>
      <c r="D3" s="2952">
        <f>D2/F2</f>
        <v>666.66666666666663</v>
      </c>
      <c r="E3" s="2953" t="s">
        <v>3071</v>
      </c>
      <c r="F3" s="2954">
        <v>1</v>
      </c>
      <c r="G3" s="2955" t="s">
        <v>3071</v>
      </c>
      <c r="H3" s="2944"/>
      <c r="I3" s="2944"/>
      <c r="J3" s="2944"/>
      <c r="K3" s="2945"/>
      <c r="L3" s="2944"/>
      <c r="M3" s="2944"/>
      <c r="N3" s="2944"/>
      <c r="O3" s="2944"/>
      <c r="P3" s="2944"/>
      <c r="Q3" s="2944"/>
      <c r="R3" s="2944"/>
      <c r="S3" s="2946"/>
    </row>
    <row r="4" spans="2:20">
      <c r="B4" s="2943"/>
      <c r="C4" s="2943"/>
      <c r="D4" s="2944"/>
      <c r="E4" s="2945"/>
      <c r="F4" s="2944"/>
      <c r="G4" s="2944"/>
      <c r="H4" s="2944"/>
      <c r="I4" s="2956"/>
      <c r="J4" s="2944"/>
      <c r="K4" s="2945"/>
      <c r="L4" s="2944"/>
      <c r="M4" s="2944"/>
      <c r="N4" s="2944"/>
      <c r="O4" s="2944"/>
      <c r="P4" s="2944"/>
      <c r="Q4" s="2944"/>
      <c r="R4" s="2944"/>
      <c r="S4" s="2946"/>
    </row>
    <row r="5" spans="2:20" s="2957" customFormat="1">
      <c r="B5" s="3212" t="s">
        <v>3072</v>
      </c>
      <c r="C5" s="3215" t="s">
        <v>3073</v>
      </c>
      <c r="D5" s="3212" t="s">
        <v>3074</v>
      </c>
      <c r="E5" s="3218"/>
      <c r="F5" s="3221" t="s">
        <v>3075</v>
      </c>
      <c r="G5" s="3222"/>
      <c r="H5" s="3215" t="s">
        <v>3076</v>
      </c>
      <c r="I5" s="3222" t="s">
        <v>3077</v>
      </c>
      <c r="J5" s="3222"/>
      <c r="K5" s="3225"/>
      <c r="L5" s="3215" t="s">
        <v>3078</v>
      </c>
      <c r="M5" s="3234" t="s">
        <v>3079</v>
      </c>
      <c r="N5" s="3235" t="s">
        <v>3080</v>
      </c>
      <c r="O5" s="3221" t="s">
        <v>3081</v>
      </c>
      <c r="P5" s="3218"/>
      <c r="Q5" s="3221" t="s">
        <v>3082</v>
      </c>
      <c r="R5" s="3225"/>
      <c r="S5" s="3209" t="s">
        <v>3083</v>
      </c>
    </row>
    <row r="6" spans="2:20" s="2957" customFormat="1">
      <c r="B6" s="3213"/>
      <c r="C6" s="3216"/>
      <c r="D6" s="3219"/>
      <c r="E6" s="3220"/>
      <c r="F6" s="3223"/>
      <c r="G6" s="3224"/>
      <c r="H6" s="3216"/>
      <c r="I6" s="3226"/>
      <c r="J6" s="3226"/>
      <c r="K6" s="3227"/>
      <c r="L6" s="3216"/>
      <c r="M6" s="3229"/>
      <c r="N6" s="3231"/>
      <c r="O6" s="3223"/>
      <c r="P6" s="3220"/>
      <c r="Q6" s="3223"/>
      <c r="R6" s="3236"/>
      <c r="S6" s="3210"/>
    </row>
    <row r="7" spans="2:20" s="2957" customFormat="1" ht="16.5">
      <c r="B7" s="3213"/>
      <c r="C7" s="3216"/>
      <c r="D7" s="3228" t="s">
        <v>3074</v>
      </c>
      <c r="E7" s="3230" t="s">
        <v>3074</v>
      </c>
      <c r="F7" s="3230" t="s">
        <v>3084</v>
      </c>
      <c r="G7" s="3232" t="s">
        <v>3085</v>
      </c>
      <c r="H7" s="3216"/>
      <c r="I7" s="3218" t="s">
        <v>3086</v>
      </c>
      <c r="J7" s="3235" t="s">
        <v>3087</v>
      </c>
      <c r="K7" s="3257" t="s">
        <v>3088</v>
      </c>
      <c r="L7" s="3216"/>
      <c r="M7" s="3229"/>
      <c r="N7" s="3231"/>
      <c r="O7" s="2958" t="s">
        <v>3079</v>
      </c>
      <c r="P7" s="2958" t="s">
        <v>3080</v>
      </c>
      <c r="Q7" s="2958" t="s">
        <v>3079</v>
      </c>
      <c r="R7" s="2959" t="s">
        <v>3080</v>
      </c>
      <c r="S7" s="3210"/>
    </row>
    <row r="8" spans="2:20" s="2957" customFormat="1" ht="16.5">
      <c r="B8" s="3213"/>
      <c r="C8" s="3216"/>
      <c r="D8" s="3229"/>
      <c r="E8" s="3231"/>
      <c r="F8" s="3231"/>
      <c r="G8" s="3233"/>
      <c r="H8" s="3216"/>
      <c r="I8" s="3256"/>
      <c r="J8" s="3231"/>
      <c r="K8" s="3258"/>
      <c r="L8" s="3216"/>
      <c r="M8" s="2960"/>
      <c r="N8" s="2961"/>
      <c r="O8" s="2961"/>
      <c r="P8" s="2961"/>
      <c r="Q8" s="2961"/>
      <c r="R8" s="2962"/>
      <c r="S8" s="3210"/>
    </row>
    <row r="9" spans="2:20" s="2957" customFormat="1" ht="16.5">
      <c r="B9" s="3214"/>
      <c r="C9" s="3217"/>
      <c r="D9" s="2963" t="s">
        <v>3071</v>
      </c>
      <c r="E9" s="2964" t="s">
        <v>3070</v>
      </c>
      <c r="F9" s="2965"/>
      <c r="G9" s="2966"/>
      <c r="H9" s="3217"/>
      <c r="I9" s="2967" t="s">
        <v>3071</v>
      </c>
      <c r="J9" s="2964" t="s">
        <v>3071</v>
      </c>
      <c r="K9" s="2968" t="s">
        <v>3071</v>
      </c>
      <c r="L9" s="3217"/>
      <c r="M9" s="2969" t="s">
        <v>3071</v>
      </c>
      <c r="N9" s="2970" t="s">
        <v>3071</v>
      </c>
      <c r="O9" s="2970" t="s">
        <v>3071</v>
      </c>
      <c r="P9" s="2970" t="s">
        <v>3071</v>
      </c>
      <c r="Q9" s="2970" t="s">
        <v>3071</v>
      </c>
      <c r="R9" s="2971" t="s">
        <v>3071</v>
      </c>
      <c r="S9" s="3211"/>
    </row>
    <row r="10" spans="2:20" ht="28.5">
      <c r="B10" s="3259" t="s">
        <v>3089</v>
      </c>
      <c r="C10" s="2972" t="s">
        <v>40</v>
      </c>
      <c r="D10" s="2973">
        <f>144355+21148</f>
        <v>165503</v>
      </c>
      <c r="E10" s="2974">
        <f>D10*$F$2</f>
        <v>248.25450000000001</v>
      </c>
      <c r="F10" s="2975" t="s">
        <v>3090</v>
      </c>
      <c r="G10" s="2976">
        <f>(I10/(1+3%))/D10</f>
        <v>1.1338783698462276</v>
      </c>
      <c r="H10" s="2977"/>
      <c r="I10" s="2978">
        <f>SUM(I11:I15)</f>
        <v>193290.08000000002</v>
      </c>
      <c r="J10" s="2979">
        <f>SUM(J11:J15)</f>
        <v>139931</v>
      </c>
      <c r="K10" s="2980">
        <f t="shared" ref="K10:K31" si="0">SUM(I10:J10)</f>
        <v>333221.08</v>
      </c>
      <c r="L10" s="2981"/>
      <c r="M10" s="2982">
        <f t="shared" ref="M10:R10" si="1">SUM(M11:M15)</f>
        <v>172322</v>
      </c>
      <c r="N10" s="2983">
        <f t="shared" si="1"/>
        <v>160899.08000000002</v>
      </c>
      <c r="O10" s="2983">
        <f t="shared" si="1"/>
        <v>32391</v>
      </c>
      <c r="P10" s="2983">
        <f t="shared" si="1"/>
        <v>160899.08000000002</v>
      </c>
      <c r="Q10" s="2983">
        <f t="shared" si="1"/>
        <v>139931</v>
      </c>
      <c r="R10" s="2984">
        <f t="shared" si="1"/>
        <v>0</v>
      </c>
      <c r="S10" s="2985" t="s">
        <v>3091</v>
      </c>
      <c r="T10" s="3237" t="s">
        <v>3092</v>
      </c>
    </row>
    <row r="11" spans="2:20">
      <c r="B11" s="3260"/>
      <c r="C11" s="3238" t="s">
        <v>3093</v>
      </c>
      <c r="D11" s="2986"/>
      <c r="E11" s="2987"/>
      <c r="F11" s="2988"/>
      <c r="G11" s="2989"/>
      <c r="H11" s="2990" t="s">
        <v>3094</v>
      </c>
      <c r="I11" s="2991">
        <v>66949.08</v>
      </c>
      <c r="J11" s="2992"/>
      <c r="K11" s="2993">
        <f t="shared" si="0"/>
        <v>66949.08</v>
      </c>
      <c r="L11" s="2994" t="s">
        <v>3080</v>
      </c>
      <c r="M11" s="2995"/>
      <c r="N11" s="2996">
        <v>66949.08</v>
      </c>
      <c r="O11" s="2996"/>
      <c r="P11" s="2996">
        <v>66949.08</v>
      </c>
      <c r="Q11" s="2996">
        <f t="shared" ref="Q11:R15" si="2">IF($L11=Q$7,$J11,0)</f>
        <v>0</v>
      </c>
      <c r="R11" s="2997">
        <f t="shared" si="2"/>
        <v>0</v>
      </c>
      <c r="S11" s="2998"/>
      <c r="T11" s="3237"/>
    </row>
    <row r="12" spans="2:20">
      <c r="B12" s="3260"/>
      <c r="C12" s="3239"/>
      <c r="D12" s="2999"/>
      <c r="E12" s="3000"/>
      <c r="F12" s="3001"/>
      <c r="G12" s="3002"/>
      <c r="H12" s="2990" t="s">
        <v>3095</v>
      </c>
      <c r="I12" s="2991">
        <v>70576</v>
      </c>
      <c r="J12" s="2992"/>
      <c r="K12" s="2993">
        <f t="shared" si="0"/>
        <v>70576</v>
      </c>
      <c r="L12" s="2994" t="s">
        <v>3080</v>
      </c>
      <c r="M12" s="2995"/>
      <c r="N12" s="2996">
        <v>70576</v>
      </c>
      <c r="O12" s="2996"/>
      <c r="P12" s="2996">
        <v>70576</v>
      </c>
      <c r="Q12" s="2996">
        <f t="shared" si="2"/>
        <v>0</v>
      </c>
      <c r="R12" s="2997">
        <f t="shared" si="2"/>
        <v>0</v>
      </c>
      <c r="S12" s="2998"/>
      <c r="T12" s="3237"/>
    </row>
    <row r="13" spans="2:20">
      <c r="B13" s="3260"/>
      <c r="C13" s="3239"/>
      <c r="D13" s="2999"/>
      <c r="E13" s="3000"/>
      <c r="F13" s="3001"/>
      <c r="G13" s="3002"/>
      <c r="H13" s="2990" t="s">
        <v>3096</v>
      </c>
      <c r="I13" s="2991">
        <v>23374</v>
      </c>
      <c r="J13" s="2992"/>
      <c r="K13" s="2993">
        <f t="shared" si="0"/>
        <v>23374</v>
      </c>
      <c r="L13" s="2994" t="s">
        <v>3080</v>
      </c>
      <c r="M13" s="2995">
        <f t="shared" ref="M13:N15" si="3">IF($L13=M$5,$K13,0)</f>
        <v>0</v>
      </c>
      <c r="N13" s="2996">
        <f t="shared" si="3"/>
        <v>23374</v>
      </c>
      <c r="O13" s="2996">
        <f t="shared" ref="O13:P15" si="4">IF($L13=O$7,$I13,0)</f>
        <v>0</v>
      </c>
      <c r="P13" s="2996">
        <f t="shared" si="4"/>
        <v>23374</v>
      </c>
      <c r="Q13" s="2996">
        <f t="shared" si="2"/>
        <v>0</v>
      </c>
      <c r="R13" s="2997">
        <f t="shared" si="2"/>
        <v>0</v>
      </c>
      <c r="S13" s="2998"/>
      <c r="T13" s="3237"/>
    </row>
    <row r="14" spans="2:20">
      <c r="B14" s="3260"/>
      <c r="C14" s="3239"/>
      <c r="D14" s="2999"/>
      <c r="E14" s="3000"/>
      <c r="F14" s="3001"/>
      <c r="G14" s="3002"/>
      <c r="H14" s="2990" t="s">
        <v>3097</v>
      </c>
      <c r="I14" s="2991">
        <v>29865</v>
      </c>
      <c r="J14" s="2992">
        <v>15470</v>
      </c>
      <c r="K14" s="2993">
        <f t="shared" si="0"/>
        <v>45335</v>
      </c>
      <c r="L14" s="2994" t="s">
        <v>3079</v>
      </c>
      <c r="M14" s="2995">
        <f t="shared" si="3"/>
        <v>45335</v>
      </c>
      <c r="N14" s="2996">
        <f t="shared" si="3"/>
        <v>0</v>
      </c>
      <c r="O14" s="2996">
        <f t="shared" si="4"/>
        <v>29865</v>
      </c>
      <c r="P14" s="2996">
        <f t="shared" si="4"/>
        <v>0</v>
      </c>
      <c r="Q14" s="2996">
        <f t="shared" si="2"/>
        <v>15470</v>
      </c>
      <c r="R14" s="2997">
        <f t="shared" si="2"/>
        <v>0</v>
      </c>
      <c r="S14" s="2998"/>
      <c r="T14" s="3237"/>
    </row>
    <row r="15" spans="2:20">
      <c r="B15" s="3261"/>
      <c r="C15" s="3240"/>
      <c r="D15" s="3003"/>
      <c r="E15" s="3004"/>
      <c r="F15" s="3005"/>
      <c r="G15" s="3006"/>
      <c r="H15" s="3007" t="s">
        <v>3098</v>
      </c>
      <c r="I15" s="2991">
        <v>2526</v>
      </c>
      <c r="J15" s="2992">
        <v>124461</v>
      </c>
      <c r="K15" s="2993">
        <f t="shared" si="0"/>
        <v>126987</v>
      </c>
      <c r="L15" s="2994" t="s">
        <v>3079</v>
      </c>
      <c r="M15" s="2995">
        <f t="shared" si="3"/>
        <v>126987</v>
      </c>
      <c r="N15" s="2996">
        <f t="shared" si="3"/>
        <v>0</v>
      </c>
      <c r="O15" s="2996">
        <f t="shared" si="4"/>
        <v>2526</v>
      </c>
      <c r="P15" s="2996">
        <f t="shared" si="4"/>
        <v>0</v>
      </c>
      <c r="Q15" s="2996">
        <f t="shared" si="2"/>
        <v>124461</v>
      </c>
      <c r="R15" s="2997">
        <f t="shared" si="2"/>
        <v>0</v>
      </c>
      <c r="S15" s="2998"/>
      <c r="T15" s="3237"/>
    </row>
    <row r="16" spans="2:20">
      <c r="B16" s="3241" t="s">
        <v>3099</v>
      </c>
      <c r="C16" s="3008" t="s">
        <v>40</v>
      </c>
      <c r="D16" s="3009">
        <f>D17+D20</f>
        <v>99229</v>
      </c>
      <c r="E16" s="3010">
        <f t="shared" ref="E16:E32" si="5">D16*$F$2</f>
        <v>148.84350000000001</v>
      </c>
      <c r="F16" s="3011" t="s">
        <v>3090</v>
      </c>
      <c r="G16" s="3012">
        <f>I16/D16</f>
        <v>1.0807324471676627</v>
      </c>
      <c r="H16" s="3013"/>
      <c r="I16" s="3014">
        <f>SUM(I17:I20)</f>
        <v>107240</v>
      </c>
      <c r="J16" s="3015">
        <f>SUM(J17:J20)</f>
        <v>84855</v>
      </c>
      <c r="K16" s="3015">
        <f t="shared" si="0"/>
        <v>192095</v>
      </c>
      <c r="L16" s="3016"/>
      <c r="M16" s="3017">
        <f t="shared" ref="M16:R16" si="6">SUM(M17:M20)</f>
        <v>159895</v>
      </c>
      <c r="N16" s="3018">
        <f t="shared" si="6"/>
        <v>0</v>
      </c>
      <c r="O16" s="3018">
        <f t="shared" si="6"/>
        <v>77540</v>
      </c>
      <c r="P16" s="3018">
        <f t="shared" si="6"/>
        <v>0</v>
      </c>
      <c r="Q16" s="3018">
        <f t="shared" si="6"/>
        <v>82355</v>
      </c>
      <c r="R16" s="3019">
        <f t="shared" si="6"/>
        <v>0</v>
      </c>
      <c r="S16" s="3020"/>
      <c r="T16" s="3237"/>
    </row>
    <row r="17" spans="2:20">
      <c r="B17" s="3242"/>
      <c r="C17" s="3243" t="s">
        <v>3100</v>
      </c>
      <c r="D17" s="3246">
        <v>75867</v>
      </c>
      <c r="E17" s="3249">
        <f t="shared" si="5"/>
        <v>113.8005</v>
      </c>
      <c r="F17" s="3262" t="s">
        <v>3090</v>
      </c>
      <c r="G17" s="3265">
        <f>SUM(I17:I19)/D17</f>
        <v>1.0220517484545322</v>
      </c>
      <c r="H17" s="3021" t="s">
        <v>3101</v>
      </c>
      <c r="I17" s="3022">
        <v>76340</v>
      </c>
      <c r="J17" s="3023">
        <v>22197</v>
      </c>
      <c r="K17" s="3024">
        <f t="shared" si="0"/>
        <v>98537</v>
      </c>
      <c r="L17" s="3025" t="s">
        <v>3079</v>
      </c>
      <c r="M17" s="3026">
        <f t="shared" ref="M17:N20" si="7">IF($L17=M$5,$K17,0)</f>
        <v>98537</v>
      </c>
      <c r="N17" s="3027">
        <f t="shared" si="7"/>
        <v>0</v>
      </c>
      <c r="O17" s="3027">
        <f t="shared" ref="O17:P20" si="8">IF($L17=O$7,$I17,0)</f>
        <v>76340</v>
      </c>
      <c r="P17" s="3027">
        <f t="shared" si="8"/>
        <v>0</v>
      </c>
      <c r="Q17" s="3027">
        <f t="shared" ref="Q17:R20" si="9">IF($L17=Q$7,$J17,0)</f>
        <v>22197</v>
      </c>
      <c r="R17" s="3028">
        <f t="shared" si="9"/>
        <v>0</v>
      </c>
      <c r="S17" s="3252" t="s">
        <v>3102</v>
      </c>
      <c r="T17" s="3237"/>
    </row>
    <row r="18" spans="2:20">
      <c r="B18" s="3242"/>
      <c r="C18" s="3244"/>
      <c r="D18" s="3247"/>
      <c r="E18" s="3250"/>
      <c r="F18" s="3263"/>
      <c r="G18" s="3266"/>
      <c r="H18" s="3021" t="s">
        <v>3103</v>
      </c>
      <c r="I18" s="3022"/>
      <c r="J18" s="3023">
        <v>10448</v>
      </c>
      <c r="K18" s="3024">
        <f t="shared" si="0"/>
        <v>10448</v>
      </c>
      <c r="L18" s="3025" t="s">
        <v>3079</v>
      </c>
      <c r="M18" s="3026">
        <f t="shared" si="7"/>
        <v>10448</v>
      </c>
      <c r="N18" s="3027">
        <f t="shared" si="7"/>
        <v>0</v>
      </c>
      <c r="O18" s="3027">
        <f t="shared" si="8"/>
        <v>0</v>
      </c>
      <c r="P18" s="3027">
        <f t="shared" si="8"/>
        <v>0</v>
      </c>
      <c r="Q18" s="3027">
        <f t="shared" si="9"/>
        <v>10448</v>
      </c>
      <c r="R18" s="3028">
        <f t="shared" si="9"/>
        <v>0</v>
      </c>
      <c r="S18" s="3253"/>
      <c r="T18" s="3237"/>
    </row>
    <row r="19" spans="2:20">
      <c r="B19" s="3242"/>
      <c r="C19" s="3245"/>
      <c r="D19" s="3248"/>
      <c r="E19" s="3251"/>
      <c r="F19" s="3264"/>
      <c r="G19" s="3267"/>
      <c r="H19" s="3021" t="s">
        <v>3104</v>
      </c>
      <c r="I19" s="3022">
        <v>1200</v>
      </c>
      <c r="J19" s="3023">
        <v>49710</v>
      </c>
      <c r="K19" s="3024">
        <f t="shared" si="0"/>
        <v>50910</v>
      </c>
      <c r="L19" s="3025" t="s">
        <v>3079</v>
      </c>
      <c r="M19" s="3026">
        <f t="shared" si="7"/>
        <v>50910</v>
      </c>
      <c r="N19" s="3027">
        <f t="shared" si="7"/>
        <v>0</v>
      </c>
      <c r="O19" s="3027">
        <f t="shared" si="8"/>
        <v>1200</v>
      </c>
      <c r="P19" s="3027">
        <f t="shared" si="8"/>
        <v>0</v>
      </c>
      <c r="Q19" s="3027">
        <f t="shared" si="9"/>
        <v>49710</v>
      </c>
      <c r="R19" s="3028">
        <f t="shared" si="9"/>
        <v>0</v>
      </c>
      <c r="S19" s="3254"/>
      <c r="T19" s="3237"/>
    </row>
    <row r="20" spans="2:20">
      <c r="B20" s="3242"/>
      <c r="C20" s="3029" t="s">
        <v>3093</v>
      </c>
      <c r="D20" s="3030">
        <v>23362</v>
      </c>
      <c r="E20" s="3031">
        <f t="shared" si="5"/>
        <v>35.042999999999999</v>
      </c>
      <c r="F20" s="3032" t="s">
        <v>3090</v>
      </c>
      <c r="G20" s="3033">
        <f t="shared" ref="G20:G32" si="10">I20/D20</f>
        <v>1.2712952658162828</v>
      </c>
      <c r="H20" s="3021" t="s">
        <v>3105</v>
      </c>
      <c r="I20" s="3022">
        <v>29700</v>
      </c>
      <c r="J20" s="3023">
        <v>2500</v>
      </c>
      <c r="K20" s="3024">
        <f t="shared" si="0"/>
        <v>32200</v>
      </c>
      <c r="L20" s="3025" t="s">
        <v>3106</v>
      </c>
      <c r="M20" s="3026">
        <f t="shared" si="7"/>
        <v>0</v>
      </c>
      <c r="N20" s="3027">
        <f t="shared" si="7"/>
        <v>0</v>
      </c>
      <c r="O20" s="3027">
        <f t="shared" si="8"/>
        <v>0</v>
      </c>
      <c r="P20" s="3027">
        <f t="shared" si="8"/>
        <v>0</v>
      </c>
      <c r="Q20" s="3027">
        <f t="shared" si="9"/>
        <v>0</v>
      </c>
      <c r="R20" s="3028">
        <f t="shared" si="9"/>
        <v>0</v>
      </c>
      <c r="S20" s="3020" t="s">
        <v>3107</v>
      </c>
      <c r="T20" s="3237"/>
    </row>
    <row r="21" spans="2:20">
      <c r="B21" s="3268" t="s">
        <v>3108</v>
      </c>
      <c r="C21" s="3034" t="s">
        <v>40</v>
      </c>
      <c r="D21" s="3035">
        <v>628931.72</v>
      </c>
      <c r="E21" s="3036">
        <f t="shared" si="5"/>
        <v>943.39757999999995</v>
      </c>
      <c r="F21" s="3037" t="s">
        <v>3109</v>
      </c>
      <c r="G21" s="3038">
        <f t="shared" si="10"/>
        <v>0.19788304013706068</v>
      </c>
      <c r="H21" s="3039"/>
      <c r="I21" s="3040">
        <f>SUM(I22:I25)</f>
        <v>124454.92079223059</v>
      </c>
      <c r="J21" s="3041">
        <f>SUM(J22:J25)</f>
        <v>59483.956000000006</v>
      </c>
      <c r="K21" s="3041">
        <f t="shared" si="0"/>
        <v>183938.87679223059</v>
      </c>
      <c r="L21" s="3042"/>
      <c r="M21" s="2982">
        <f t="shared" ref="M21:R21" si="11">SUM(M22:M25)</f>
        <v>25000</v>
      </c>
      <c r="N21" s="2983">
        <f t="shared" si="11"/>
        <v>158938.87679223059</v>
      </c>
      <c r="O21" s="2983">
        <f t="shared" si="11"/>
        <v>15000</v>
      </c>
      <c r="P21" s="2983">
        <f t="shared" si="11"/>
        <v>109454.92079223059</v>
      </c>
      <c r="Q21" s="2983">
        <f t="shared" si="11"/>
        <v>10000</v>
      </c>
      <c r="R21" s="2984">
        <f t="shared" si="11"/>
        <v>49483.956000000006</v>
      </c>
      <c r="S21" s="3043" t="s">
        <v>3110</v>
      </c>
      <c r="T21" s="3237"/>
    </row>
    <row r="22" spans="2:20">
      <c r="B22" s="3260"/>
      <c r="C22" s="3269" t="s">
        <v>3093</v>
      </c>
      <c r="D22" s="3044">
        <v>250292</v>
      </c>
      <c r="E22" s="3045">
        <v>375</v>
      </c>
      <c r="F22" s="3046"/>
      <c r="G22" s="3047"/>
      <c r="H22" s="3048" t="s">
        <v>3111</v>
      </c>
      <c r="I22" s="2991">
        <v>68218.390792230595</v>
      </c>
      <c r="J22" s="2992">
        <v>34877.65</v>
      </c>
      <c r="K22" s="2993">
        <f t="shared" si="0"/>
        <v>103096.0407922306</v>
      </c>
      <c r="L22" s="2994" t="s">
        <v>3080</v>
      </c>
      <c r="M22" s="2995"/>
      <c r="N22" s="2995">
        <v>103096.0407922306</v>
      </c>
      <c r="O22" s="2996"/>
      <c r="P22" s="2996">
        <v>68218.390792230595</v>
      </c>
      <c r="Q22" s="2996"/>
      <c r="R22" s="2997">
        <v>34877.65</v>
      </c>
      <c r="S22" s="2998"/>
      <c r="T22" s="3237"/>
    </row>
    <row r="23" spans="2:20">
      <c r="B23" s="3260"/>
      <c r="C23" s="3239"/>
      <c r="D23" s="2999"/>
      <c r="E23" s="3000"/>
      <c r="F23" s="3001"/>
      <c r="G23" s="3002"/>
      <c r="H23" s="3049" t="s">
        <v>3112</v>
      </c>
      <c r="I23" s="2991">
        <v>15000</v>
      </c>
      <c r="J23" s="2992">
        <v>10000</v>
      </c>
      <c r="K23" s="2993">
        <f t="shared" si="0"/>
        <v>25000</v>
      </c>
      <c r="L23" s="2994" t="s">
        <v>3079</v>
      </c>
      <c r="M23" s="2995">
        <f t="shared" ref="M23:N25" si="12">IF($L23=M$5,$K23,0)</f>
        <v>25000</v>
      </c>
      <c r="N23" s="2996">
        <f t="shared" si="12"/>
        <v>0</v>
      </c>
      <c r="O23" s="2996">
        <f t="shared" ref="O23:P25" si="13">IF($L23=O$7,$I23,0)</f>
        <v>15000</v>
      </c>
      <c r="P23" s="2996">
        <f t="shared" si="13"/>
        <v>0</v>
      </c>
      <c r="Q23" s="2996">
        <f t="shared" ref="Q23:R25" si="14">IF($L23=Q$7,$J23,0)</f>
        <v>10000</v>
      </c>
      <c r="R23" s="2997">
        <f t="shared" si="14"/>
        <v>0</v>
      </c>
      <c r="S23" s="2998"/>
    </row>
    <row r="24" spans="2:20">
      <c r="B24" s="3260"/>
      <c r="C24" s="3239"/>
      <c r="D24" s="2999"/>
      <c r="E24" s="3000"/>
      <c r="F24" s="3001"/>
      <c r="G24" s="3002"/>
      <c r="H24" s="3049" t="s">
        <v>3113</v>
      </c>
      <c r="I24" s="2991">
        <v>26327.559999999998</v>
      </c>
      <c r="J24" s="2992">
        <v>5265.5119999999997</v>
      </c>
      <c r="K24" s="2993">
        <f t="shared" si="0"/>
        <v>31593.071999999996</v>
      </c>
      <c r="L24" s="2994" t="s">
        <v>3080</v>
      </c>
      <c r="M24" s="2995">
        <f t="shared" si="12"/>
        <v>0</v>
      </c>
      <c r="N24" s="2996">
        <f t="shared" si="12"/>
        <v>31593.071999999996</v>
      </c>
      <c r="O24" s="2996">
        <f t="shared" si="13"/>
        <v>0</v>
      </c>
      <c r="P24" s="2996">
        <f t="shared" si="13"/>
        <v>26327.559999999998</v>
      </c>
      <c r="Q24" s="2996">
        <f t="shared" si="14"/>
        <v>0</v>
      </c>
      <c r="R24" s="2997">
        <f t="shared" si="14"/>
        <v>5265.5119999999997</v>
      </c>
      <c r="S24" s="2998"/>
    </row>
    <row r="25" spans="2:20">
      <c r="B25" s="3260"/>
      <c r="C25" s="3239"/>
      <c r="D25" s="2999"/>
      <c r="E25" s="3000"/>
      <c r="F25" s="3001"/>
      <c r="G25" s="3002"/>
      <c r="H25" s="3049" t="s">
        <v>3114</v>
      </c>
      <c r="I25" s="2991">
        <v>14908.970000000001</v>
      </c>
      <c r="J25" s="2992">
        <v>9340.7939999999999</v>
      </c>
      <c r="K25" s="2993">
        <f t="shared" si="0"/>
        <v>24249.764000000003</v>
      </c>
      <c r="L25" s="2994" t="s">
        <v>3080</v>
      </c>
      <c r="M25" s="2995">
        <f t="shared" si="12"/>
        <v>0</v>
      </c>
      <c r="N25" s="2996">
        <f t="shared" si="12"/>
        <v>24249.764000000003</v>
      </c>
      <c r="O25" s="2996">
        <f t="shared" si="13"/>
        <v>0</v>
      </c>
      <c r="P25" s="2996">
        <f t="shared" si="13"/>
        <v>14908.970000000001</v>
      </c>
      <c r="Q25" s="2996">
        <f t="shared" si="14"/>
        <v>0</v>
      </c>
      <c r="R25" s="2997">
        <f t="shared" si="14"/>
        <v>9340.7939999999999</v>
      </c>
      <c r="S25" s="2998"/>
    </row>
    <row r="26" spans="2:20" ht="57">
      <c r="B26" s="3241" t="s">
        <v>3115</v>
      </c>
      <c r="C26" s="3008" t="s">
        <v>40</v>
      </c>
      <c r="D26" s="3009">
        <f>SUM(D27:D28)</f>
        <v>105866.56</v>
      </c>
      <c r="E26" s="3010">
        <f t="shared" si="5"/>
        <v>158.79983999999999</v>
      </c>
      <c r="F26" s="3011"/>
      <c r="G26" s="3050">
        <f t="shared" si="10"/>
        <v>1</v>
      </c>
      <c r="H26" s="3013"/>
      <c r="I26" s="3014">
        <f>D27*G27+D28*G28</f>
        <v>105866.56</v>
      </c>
      <c r="J26" s="3015">
        <f>SUM(J27:J28)</f>
        <v>0</v>
      </c>
      <c r="K26" s="3015">
        <f t="shared" si="0"/>
        <v>105866.56</v>
      </c>
      <c r="L26" s="3016"/>
      <c r="M26" s="3017">
        <f t="shared" ref="M26:R26" si="15">SUM(M27:M28)</f>
        <v>105866.56</v>
      </c>
      <c r="N26" s="3018">
        <f t="shared" si="15"/>
        <v>0</v>
      </c>
      <c r="O26" s="3018">
        <f t="shared" si="15"/>
        <v>105866.56</v>
      </c>
      <c r="P26" s="3018">
        <f t="shared" si="15"/>
        <v>0</v>
      </c>
      <c r="Q26" s="3018">
        <f t="shared" si="15"/>
        <v>0</v>
      </c>
      <c r="R26" s="3019">
        <f t="shared" si="15"/>
        <v>0</v>
      </c>
      <c r="S26" s="3020" t="s">
        <v>3116</v>
      </c>
    </row>
    <row r="27" spans="2:20">
      <c r="B27" s="3242"/>
      <c r="C27" s="3051" t="s">
        <v>3117</v>
      </c>
      <c r="D27" s="3052">
        <v>22171.32</v>
      </c>
      <c r="E27" s="3053">
        <f t="shared" si="5"/>
        <v>33.256979999999999</v>
      </c>
      <c r="F27" s="3054" t="s">
        <v>3090</v>
      </c>
      <c r="G27" s="3055">
        <v>1</v>
      </c>
      <c r="H27" s="3021" t="s">
        <v>3118</v>
      </c>
      <c r="I27" s="3022">
        <f t="shared" ref="I27:I31" si="16">D27*G27</f>
        <v>22171.32</v>
      </c>
      <c r="J27" s="3023"/>
      <c r="K27" s="3024">
        <f t="shared" si="0"/>
        <v>22171.32</v>
      </c>
      <c r="L27" s="3025" t="s">
        <v>3079</v>
      </c>
      <c r="M27" s="3026">
        <f t="shared" ref="M27:N31" si="17">IF($L27=M$5,$K27,0)</f>
        <v>22171.32</v>
      </c>
      <c r="N27" s="3027">
        <f t="shared" si="17"/>
        <v>0</v>
      </c>
      <c r="O27" s="3027">
        <f t="shared" ref="O27:P31" si="18">IF($L27=O$7,$I27,0)</f>
        <v>22171.32</v>
      </c>
      <c r="P27" s="3027">
        <f t="shared" si="18"/>
        <v>0</v>
      </c>
      <c r="Q27" s="3027">
        <f t="shared" ref="Q27:R31" si="19">IF($L27=Q$7,$J27,0)</f>
        <v>0</v>
      </c>
      <c r="R27" s="3028">
        <f t="shared" si="19"/>
        <v>0</v>
      </c>
      <c r="S27" s="3056"/>
    </row>
    <row r="28" spans="2:20">
      <c r="B28" s="3255"/>
      <c r="C28" s="3051" t="s">
        <v>3119</v>
      </c>
      <c r="D28" s="3052">
        <v>83695.239999999991</v>
      </c>
      <c r="E28" s="3053">
        <f t="shared" si="5"/>
        <v>125.54285999999999</v>
      </c>
      <c r="F28" s="3054" t="s">
        <v>3090</v>
      </c>
      <c r="G28" s="3055">
        <v>1</v>
      </c>
      <c r="H28" s="3021" t="s">
        <v>3120</v>
      </c>
      <c r="I28" s="3022">
        <f t="shared" si="16"/>
        <v>83695.239999999991</v>
      </c>
      <c r="J28" s="3023"/>
      <c r="K28" s="3024">
        <f t="shared" si="0"/>
        <v>83695.239999999991</v>
      </c>
      <c r="L28" s="3025" t="s">
        <v>3079</v>
      </c>
      <c r="M28" s="3026">
        <f t="shared" si="17"/>
        <v>83695.239999999991</v>
      </c>
      <c r="N28" s="3027">
        <f t="shared" si="17"/>
        <v>0</v>
      </c>
      <c r="O28" s="3027">
        <f t="shared" si="18"/>
        <v>83695.239999999991</v>
      </c>
      <c r="P28" s="3027">
        <f t="shared" si="18"/>
        <v>0</v>
      </c>
      <c r="Q28" s="3027">
        <f t="shared" si="19"/>
        <v>0</v>
      </c>
      <c r="R28" s="3028">
        <f t="shared" si="19"/>
        <v>0</v>
      </c>
      <c r="S28" s="3056"/>
    </row>
    <row r="29" spans="2:20" ht="42.75">
      <c r="B29" s="3057" t="s">
        <v>3121</v>
      </c>
      <c r="C29" s="3058" t="s">
        <v>3122</v>
      </c>
      <c r="D29" s="3059">
        <v>77308.69</v>
      </c>
      <c r="E29" s="3060">
        <f t="shared" si="5"/>
        <v>115.963035</v>
      </c>
      <c r="F29" s="3061" t="s">
        <v>3090</v>
      </c>
      <c r="G29" s="3062">
        <v>1.5</v>
      </c>
      <c r="H29" s="3049" t="s">
        <v>3123</v>
      </c>
      <c r="I29" s="3040">
        <f t="shared" si="16"/>
        <v>115963.035</v>
      </c>
      <c r="J29" s="3063"/>
      <c r="K29" s="3041">
        <f t="shared" si="0"/>
        <v>115963.035</v>
      </c>
      <c r="L29" s="2994" t="s">
        <v>3080</v>
      </c>
      <c r="M29" s="2995">
        <f t="shared" si="17"/>
        <v>0</v>
      </c>
      <c r="N29" s="2996">
        <f t="shared" si="17"/>
        <v>115963.035</v>
      </c>
      <c r="O29" s="2996">
        <f t="shared" si="18"/>
        <v>0</v>
      </c>
      <c r="P29" s="2996">
        <f t="shared" si="18"/>
        <v>115963.035</v>
      </c>
      <c r="Q29" s="2996">
        <f t="shared" si="19"/>
        <v>0</v>
      </c>
      <c r="R29" s="2997">
        <f t="shared" si="19"/>
        <v>0</v>
      </c>
      <c r="S29" s="2998" t="s">
        <v>3124</v>
      </c>
    </row>
    <row r="30" spans="2:20" ht="42.75">
      <c r="B30" s="3064" t="s">
        <v>3125</v>
      </c>
      <c r="C30" s="3058" t="s">
        <v>3122</v>
      </c>
      <c r="D30" s="3059">
        <v>109468.09</v>
      </c>
      <c r="E30" s="3060">
        <f t="shared" si="5"/>
        <v>164.202135</v>
      </c>
      <c r="F30" s="3061" t="s">
        <v>3090</v>
      </c>
      <c r="G30" s="3062">
        <v>1.5</v>
      </c>
      <c r="H30" s="3049" t="s">
        <v>3123</v>
      </c>
      <c r="I30" s="3040">
        <f t="shared" si="16"/>
        <v>164202.13500000001</v>
      </c>
      <c r="J30" s="3063"/>
      <c r="K30" s="3041">
        <f t="shared" si="0"/>
        <v>164202.13500000001</v>
      </c>
      <c r="L30" s="2994" t="s">
        <v>3080</v>
      </c>
      <c r="M30" s="2995">
        <f t="shared" si="17"/>
        <v>0</v>
      </c>
      <c r="N30" s="2996">
        <f t="shared" si="17"/>
        <v>164202.13500000001</v>
      </c>
      <c r="O30" s="2996">
        <f t="shared" si="18"/>
        <v>0</v>
      </c>
      <c r="P30" s="2996">
        <f t="shared" si="18"/>
        <v>164202.13500000001</v>
      </c>
      <c r="Q30" s="2996">
        <f t="shared" si="19"/>
        <v>0</v>
      </c>
      <c r="R30" s="2997">
        <f t="shared" si="19"/>
        <v>0</v>
      </c>
      <c r="S30" s="2998" t="s">
        <v>3124</v>
      </c>
    </row>
    <row r="31" spans="2:20">
      <c r="B31" s="3065" t="s">
        <v>3126</v>
      </c>
      <c r="C31" s="3066" t="s">
        <v>3093</v>
      </c>
      <c r="D31" s="3067">
        <v>13540.44</v>
      </c>
      <c r="E31" s="3068">
        <f t="shared" si="5"/>
        <v>20.310660000000002</v>
      </c>
      <c r="F31" s="3069" t="s">
        <v>3127</v>
      </c>
      <c r="G31" s="3070">
        <v>1</v>
      </c>
      <c r="H31" s="3071" t="s">
        <v>3128</v>
      </c>
      <c r="I31" s="3072">
        <f t="shared" si="16"/>
        <v>13540.44</v>
      </c>
      <c r="J31" s="3073"/>
      <c r="K31" s="3074">
        <f t="shared" si="0"/>
        <v>13540.44</v>
      </c>
      <c r="L31" s="3075" t="s">
        <v>3080</v>
      </c>
      <c r="M31" s="3076">
        <f t="shared" si="17"/>
        <v>0</v>
      </c>
      <c r="N31" s="3077">
        <f t="shared" si="17"/>
        <v>13540.44</v>
      </c>
      <c r="O31" s="3077">
        <f t="shared" si="18"/>
        <v>0</v>
      </c>
      <c r="P31" s="3077">
        <f t="shared" si="18"/>
        <v>13540.44</v>
      </c>
      <c r="Q31" s="3077">
        <f t="shared" si="19"/>
        <v>0</v>
      </c>
      <c r="R31" s="3078">
        <f t="shared" si="19"/>
        <v>0</v>
      </c>
      <c r="S31" s="2998" t="s">
        <v>3124</v>
      </c>
    </row>
    <row r="32" spans="2:20">
      <c r="B32" s="3079" t="s">
        <v>37</v>
      </c>
      <c r="C32" s="3080"/>
      <c r="D32" s="3081">
        <f>SUM(D10,D16,D21,D26,D29,D30,D31)</f>
        <v>1199847.5</v>
      </c>
      <c r="E32" s="3082">
        <f t="shared" si="5"/>
        <v>1799.77125</v>
      </c>
      <c r="F32" s="3083"/>
      <c r="G32" s="3084">
        <f t="shared" si="10"/>
        <v>0.68721830965371056</v>
      </c>
      <c r="H32" s="3085"/>
      <c r="I32" s="3086">
        <f>SUM(I10,I16,I21,I26,I29,I30,I31)</f>
        <v>824557.17079223052</v>
      </c>
      <c r="J32" s="3087">
        <f>SUM(J10,J16,J21,J26,J29,J30,J31)</f>
        <v>284269.95600000001</v>
      </c>
      <c r="K32" s="3088">
        <f>SUM(K10,K16,K21,K26,K29,K30,K31)</f>
        <v>1108827.1267922306</v>
      </c>
      <c r="L32" s="3089"/>
      <c r="M32" s="3090">
        <f t="shared" ref="M32:R32" si="20">SUM(M10,M16,M21,M26,M29,M30,M31)</f>
        <v>463083.56</v>
      </c>
      <c r="N32" s="3090">
        <f t="shared" si="20"/>
        <v>613543.56679223059</v>
      </c>
      <c r="O32" s="3090">
        <f t="shared" si="20"/>
        <v>230797.56</v>
      </c>
      <c r="P32" s="3090">
        <f t="shared" si="20"/>
        <v>564059.61079223058</v>
      </c>
      <c r="Q32" s="3090">
        <f t="shared" si="20"/>
        <v>232286</v>
      </c>
      <c r="R32" s="3091">
        <f t="shared" si="20"/>
        <v>49483.956000000006</v>
      </c>
      <c r="S32" s="3092"/>
    </row>
    <row r="33" spans="2:19">
      <c r="B33" s="3093"/>
      <c r="C33" s="3093"/>
      <c r="D33" s="3093"/>
      <c r="E33" s="3094"/>
      <c r="F33" s="3093"/>
      <c r="G33" s="3093"/>
      <c r="H33" s="3093"/>
      <c r="I33" s="3095" t="s">
        <v>3129</v>
      </c>
      <c r="J33" s="3096"/>
      <c r="K33" s="3097"/>
      <c r="L33" s="3093"/>
      <c r="M33" s="3098"/>
      <c r="N33" s="3098"/>
      <c r="O33" s="3093"/>
      <c r="S33" s="2947"/>
    </row>
    <row r="34" spans="2:19">
      <c r="B34" s="3099"/>
      <c r="C34" s="3099"/>
      <c r="D34" s="3099"/>
      <c r="E34" s="3100"/>
      <c r="F34" s="3099"/>
      <c r="G34" s="3099"/>
      <c r="H34" s="3099"/>
      <c r="I34" s="3101" t="s">
        <v>3130</v>
      </c>
      <c r="J34" s="3102" t="s">
        <v>3131</v>
      </c>
      <c r="K34" s="3103" t="s">
        <v>40</v>
      </c>
      <c r="L34" s="3099"/>
      <c r="M34" s="3104"/>
      <c r="N34" s="3104"/>
      <c r="O34" s="3099"/>
      <c r="S34" s="2947"/>
    </row>
    <row r="35" spans="2:19">
      <c r="B35" s="3105"/>
      <c r="C35" s="3105"/>
      <c r="D35" s="3105"/>
      <c r="E35" s="3106"/>
      <c r="F35" s="3105"/>
      <c r="G35" s="3105"/>
      <c r="H35" s="3105"/>
      <c r="I35" s="3107">
        <f>I32/$K$32</f>
        <v>0.7436300491471779</v>
      </c>
      <c r="J35" s="3108">
        <f>J32/$K$32</f>
        <v>0.25636995085282199</v>
      </c>
      <c r="K35" s="3109">
        <v>1</v>
      </c>
      <c r="S35" s="2947"/>
    </row>
    <row r="36" spans="2:19">
      <c r="N36" s="3111"/>
      <c r="S36" s="2947"/>
    </row>
  </sheetData>
  <mergeCells count="32">
    <mergeCell ref="B26:B28"/>
    <mergeCell ref="I7:I8"/>
    <mergeCell ref="J7:J8"/>
    <mergeCell ref="K7:K8"/>
    <mergeCell ref="B10:B15"/>
    <mergeCell ref="F17:F19"/>
    <mergeCell ref="G17:G19"/>
    <mergeCell ref="B21:B25"/>
    <mergeCell ref="C22:C25"/>
    <mergeCell ref="T10:T22"/>
    <mergeCell ref="C11:C15"/>
    <mergeCell ref="B16:B20"/>
    <mergeCell ref="C17:C19"/>
    <mergeCell ref="D17:D19"/>
    <mergeCell ref="E17:E19"/>
    <mergeCell ref="S17:S19"/>
    <mergeCell ref="S5:S9"/>
    <mergeCell ref="B5:B9"/>
    <mergeCell ref="C5:C9"/>
    <mergeCell ref="D5:E6"/>
    <mergeCell ref="F5:G6"/>
    <mergeCell ref="H5:H9"/>
    <mergeCell ref="I5:K6"/>
    <mergeCell ref="D7:D8"/>
    <mergeCell ref="E7:E8"/>
    <mergeCell ref="F7:F8"/>
    <mergeCell ref="G7:G8"/>
    <mergeCell ref="L5:L9"/>
    <mergeCell ref="M5:M7"/>
    <mergeCell ref="N5:N7"/>
    <mergeCell ref="O5:P6"/>
    <mergeCell ref="Q5:R6"/>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B2:G17"/>
  <sheetViews>
    <sheetView workbookViewId="0">
      <selection activeCell="E14" sqref="E14"/>
    </sheetView>
  </sheetViews>
  <sheetFormatPr defaultRowHeight="13.5"/>
  <cols>
    <col min="2" max="2" width="16" customWidth="1"/>
  </cols>
  <sheetData>
    <row r="2" spans="2:7">
      <c r="B2" s="3215" t="s">
        <v>3076</v>
      </c>
      <c r="C2" s="3222" t="s">
        <v>3077</v>
      </c>
      <c r="D2" s="3222"/>
      <c r="E2" s="3225"/>
      <c r="F2" s="3215" t="s">
        <v>3078</v>
      </c>
    </row>
    <row r="3" spans="2:7">
      <c r="B3" s="3216"/>
      <c r="C3" s="3226"/>
      <c r="D3" s="3226"/>
      <c r="E3" s="3227"/>
      <c r="F3" s="3216"/>
    </row>
    <row r="4" spans="2:7">
      <c r="B4" s="3216"/>
      <c r="C4" s="3218" t="s">
        <v>3086</v>
      </c>
      <c r="D4" s="3235" t="s">
        <v>3087</v>
      </c>
      <c r="E4" s="3257" t="s">
        <v>3088</v>
      </c>
      <c r="F4" s="3216"/>
    </row>
    <row r="5" spans="2:7">
      <c r="B5" s="3216"/>
      <c r="C5" s="3256"/>
      <c r="D5" s="3231"/>
      <c r="E5" s="3258"/>
      <c r="F5" s="3216"/>
    </row>
    <row r="6" spans="2:7" ht="16.5">
      <c r="B6" s="3217"/>
      <c r="C6" s="2967" t="s">
        <v>3071</v>
      </c>
      <c r="D6" s="2964" t="s">
        <v>3071</v>
      </c>
      <c r="E6" s="2968" t="s">
        <v>3071</v>
      </c>
      <c r="F6" s="3217"/>
    </row>
    <row r="7" spans="2:7" ht="14.25">
      <c r="B7" s="2977"/>
      <c r="C7" s="2978">
        <f>SUM(C8:C12)</f>
        <v>193290.08000000002</v>
      </c>
      <c r="D7" s="2979">
        <f>SUM(D8:D12)</f>
        <v>139931</v>
      </c>
      <c r="E7" s="2980">
        <f t="shared" ref="E7:E12" si="0">SUM(C7:D7)</f>
        <v>333221.08</v>
      </c>
      <c r="F7" s="2981"/>
    </row>
    <row r="8" spans="2:7" ht="14.25">
      <c r="B8" s="2990" t="s">
        <v>3094</v>
      </c>
      <c r="C8" s="2991">
        <v>66949.08</v>
      </c>
      <c r="D8" s="2992"/>
      <c r="E8" s="2993">
        <f t="shared" si="0"/>
        <v>66949.08</v>
      </c>
      <c r="F8" s="2994" t="s">
        <v>3080</v>
      </c>
      <c r="G8" s="3113">
        <f>(C13*C8+D13*D8)/E8</f>
        <v>0</v>
      </c>
    </row>
    <row r="9" spans="2:7" ht="14.25">
      <c r="B9" s="2990" t="s">
        <v>3095</v>
      </c>
      <c r="C9" s="2991">
        <v>70576</v>
      </c>
      <c r="D9" s="2992"/>
      <c r="E9" s="2993">
        <f t="shared" si="0"/>
        <v>70576</v>
      </c>
      <c r="F9" s="2994" t="s">
        <v>3080</v>
      </c>
      <c r="G9" s="3113">
        <f>(C13*C9+D13*D9)/E9</f>
        <v>0</v>
      </c>
    </row>
    <row r="10" spans="2:7" ht="14.25">
      <c r="B10" s="2990" t="s">
        <v>3096</v>
      </c>
      <c r="C10" s="2991">
        <v>23374</v>
      </c>
      <c r="D10" s="2992"/>
      <c r="E10" s="2993">
        <f t="shared" si="0"/>
        <v>23374</v>
      </c>
      <c r="F10" s="2994" t="s">
        <v>3080</v>
      </c>
      <c r="G10" s="3113">
        <f>(C13*C10+D13*D10)/E10</f>
        <v>0</v>
      </c>
    </row>
    <row r="11" spans="2:7" ht="14.25">
      <c r="B11" s="2990" t="s">
        <v>3097</v>
      </c>
      <c r="C11" s="2991">
        <v>29865</v>
      </c>
      <c r="D11" s="2992">
        <v>15470</v>
      </c>
      <c r="E11" s="2993">
        <f t="shared" si="0"/>
        <v>45335</v>
      </c>
      <c r="F11" s="2994" t="s">
        <v>3079</v>
      </c>
      <c r="G11" s="3113">
        <f>(C13*C11+D13*D11)/E11</f>
        <v>0.20474247270320944</v>
      </c>
    </row>
    <row r="12" spans="2:7" ht="14.25">
      <c r="B12" s="3007" t="s">
        <v>3098</v>
      </c>
      <c r="C12" s="2991">
        <v>2526</v>
      </c>
      <c r="D12" s="2992">
        <v>124461</v>
      </c>
      <c r="E12" s="2993">
        <f t="shared" si="0"/>
        <v>126987</v>
      </c>
      <c r="F12" s="2994" t="s">
        <v>3079</v>
      </c>
      <c r="G12" s="3113">
        <f>(C13*C12+D13*D12)/E12</f>
        <v>0.58806492003118427</v>
      </c>
    </row>
    <row r="13" spans="2:7" ht="14.25">
      <c r="C13" s="3113">
        <v>0</v>
      </c>
      <c r="D13" s="3113">
        <v>0.6</v>
      </c>
      <c r="E13" s="3114"/>
      <c r="G13" s="3116">
        <f>D7*D13/E7</f>
        <v>0.25196065026858439</v>
      </c>
    </row>
    <row r="14" spans="2:7" ht="14.25">
      <c r="B14" s="3115" t="s">
        <v>3138</v>
      </c>
      <c r="C14" s="3113">
        <f>G8</f>
        <v>0</v>
      </c>
      <c r="D14" s="3131" t="s">
        <v>3271</v>
      </c>
      <c r="E14" s="3116">
        <f>ROUND((C13*C8+C13*C11+D13*D11)/(E11+E8),2)</f>
        <v>0.08</v>
      </c>
    </row>
    <row r="15" spans="2:7" ht="14.25">
      <c r="B15" s="3115" t="s">
        <v>3139</v>
      </c>
      <c r="C15" s="3116">
        <f>ROUND((C13*C11+D13*D11)/E11,2)</f>
        <v>0.2</v>
      </c>
    </row>
    <row r="16" spans="2:7" ht="14.25">
      <c r="B16" s="3115" t="s">
        <v>3135</v>
      </c>
      <c r="C16" s="3116">
        <f>(C13*C9+D13*D9+C13*C10+D13*D10)/(E9+E10)</f>
        <v>0</v>
      </c>
    </row>
    <row r="17" spans="2:3" ht="14.25">
      <c r="B17" s="3115" t="s">
        <v>3136</v>
      </c>
      <c r="C17" s="3116">
        <f>ROUND(G12,2)</f>
        <v>0.59</v>
      </c>
    </row>
  </sheetData>
  <mergeCells count="6">
    <mergeCell ref="B2:B6"/>
    <mergeCell ref="C2:E3"/>
    <mergeCell ref="F2:F6"/>
    <mergeCell ref="C4:C5"/>
    <mergeCell ref="D4:D5"/>
    <mergeCell ref="E4:E5"/>
  </mergeCells>
  <phoneticPr fontId="143"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279" t="s">
        <v>1935</v>
      </c>
      <c r="B2" s="3279"/>
      <c r="C2" s="3279"/>
      <c r="D2" s="970" t="s">
        <v>1911</v>
      </c>
      <c r="E2" s="2228" t="s">
        <v>1912</v>
      </c>
      <c r="F2" s="1395"/>
      <c r="G2" s="2229"/>
      <c r="H2" s="2230"/>
      <c r="I2" s="2231" t="s">
        <v>1936</v>
      </c>
      <c r="J2" s="1395"/>
      <c r="K2" s="1395"/>
      <c r="L2" s="1395"/>
      <c r="M2" s="1395"/>
      <c r="N2" s="1430"/>
      <c r="O2" s="1395"/>
      <c r="P2" s="1395"/>
    </row>
    <row r="3" spans="1:16" ht="15.75" thickBot="1">
      <c r="A3" s="3280" t="s">
        <v>1909</v>
      </c>
      <c r="B3" s="3280"/>
      <c r="C3" s="3280"/>
      <c r="D3" s="46">
        <f>'数据-基础表'!AY6</f>
        <v>165503</v>
      </c>
      <c r="E3" s="46">
        <f>'数据-基础表'!AZ5</f>
        <v>333221.08</v>
      </c>
      <c r="F3" s="1395"/>
      <c r="G3" s="1402"/>
      <c r="H3" s="1250" t="s">
        <v>1910</v>
      </c>
      <c r="I3" s="55">
        <f>ROUND('数据-基础表'!B3/'数据-基础表'!A3,2)</f>
        <v>2.0099999999999998</v>
      </c>
      <c r="J3" s="1395"/>
      <c r="K3" s="1395"/>
      <c r="L3" s="1395"/>
      <c r="M3" s="1395"/>
      <c r="N3" s="1430"/>
      <c r="O3" s="1395"/>
      <c r="P3" s="1395"/>
    </row>
    <row r="4" spans="1:16" ht="15">
      <c r="A4" s="3281"/>
      <c r="B4" s="3282"/>
      <c r="C4" s="3283"/>
      <c r="D4" s="2232" t="s">
        <v>1911</v>
      </c>
      <c r="E4" s="2233" t="s">
        <v>1912</v>
      </c>
      <c r="F4" s="1395"/>
      <c r="G4" s="2234" t="s">
        <v>1937</v>
      </c>
      <c r="H4" s="1250" t="s">
        <v>1917</v>
      </c>
      <c r="I4" s="55">
        <f>ROUND(SUMIF('数据-基础表'!I9:AS9,"地上",'数据-基础表'!I5:AS5)/'数据-基础表'!A3,2)</f>
        <v>1.17</v>
      </c>
      <c r="J4" s="1395"/>
      <c r="K4" s="1395"/>
      <c r="L4" s="1395"/>
      <c r="M4" s="1395"/>
      <c r="N4" s="1430"/>
      <c r="O4" s="1395"/>
      <c r="P4" s="1395"/>
    </row>
    <row r="5" spans="1:16">
      <c r="A5" s="47" t="s">
        <v>1913</v>
      </c>
      <c r="B5" s="3284" t="s">
        <v>1914</v>
      </c>
      <c r="C5" s="3284"/>
      <c r="D5" s="48">
        <f>ROUND($D$3*E5/$E$3,2)</f>
        <v>0</v>
      </c>
      <c r="E5" s="49">
        <f>SUMIF('数据-基础表'!$11:$11,"住宅",'数据-基础表'!$5:$5)</f>
        <v>0</v>
      </c>
      <c r="F5" s="1395"/>
      <c r="G5" s="1402"/>
      <c r="H5" s="1250" t="s">
        <v>1910</v>
      </c>
      <c r="I5" s="55">
        <f>ROUND(E31/D31,2)</f>
        <v>2.0099999999999998</v>
      </c>
      <c r="J5" s="1395"/>
      <c r="K5" s="1395"/>
      <c r="L5" s="1395"/>
      <c r="M5" s="1395"/>
      <c r="N5" s="1395"/>
      <c r="O5" s="1395"/>
      <c r="P5" s="1395"/>
    </row>
    <row r="6" spans="1:16" ht="15" thickBot="1">
      <c r="A6" s="2235"/>
      <c r="B6" s="3284" t="s">
        <v>1915</v>
      </c>
      <c r="C6" s="3284"/>
      <c r="D6" s="48">
        <f>ROUND($D$3*E6/$E$3,2)</f>
        <v>165503</v>
      </c>
      <c r="E6" s="49">
        <f>E3-E5</f>
        <v>333221.08</v>
      </c>
      <c r="F6" s="1395"/>
      <c r="G6" s="2236" t="s">
        <v>1916</v>
      </c>
      <c r="H6" s="1402" t="s">
        <v>1917</v>
      </c>
      <c r="I6" s="942">
        <f>ROUND(F31/D31,2)</f>
        <v>1.17</v>
      </c>
      <c r="J6" s="1395"/>
      <c r="K6" s="1395"/>
      <c r="L6" s="1395"/>
      <c r="M6" s="1395"/>
      <c r="N6" s="1395"/>
      <c r="O6" s="1395"/>
      <c r="P6" s="1395"/>
    </row>
    <row r="7" spans="1:16" ht="15">
      <c r="A7" s="3276"/>
      <c r="B7" s="3277"/>
      <c r="C7" s="3278"/>
      <c r="D7" s="2232" t="s">
        <v>1911</v>
      </c>
      <c r="E7" s="2237" t="s">
        <v>1918</v>
      </c>
      <c r="F7" s="1395"/>
      <c r="G7" s="2229" t="s">
        <v>1919</v>
      </c>
      <c r="H7" s="64"/>
      <c r="I7" s="420"/>
      <c r="J7" s="1395"/>
      <c r="K7" s="1395"/>
      <c r="L7" s="1395"/>
      <c r="M7" s="1395"/>
      <c r="N7" s="1395"/>
      <c r="O7" s="1395"/>
      <c r="P7" s="1395"/>
    </row>
    <row r="8" spans="1:16">
      <c r="A8" s="47" t="s">
        <v>1920</v>
      </c>
      <c r="B8" s="50" t="s">
        <v>1921</v>
      </c>
      <c r="C8" s="48" t="s">
        <v>1922</v>
      </c>
      <c r="D8" s="48">
        <f t="shared" ref="D8:D15" si="0">ROUND($D$3*E8/$E$3,2)</f>
        <v>94747.99</v>
      </c>
      <c r="E8" s="51">
        <f>SUMIF('数据-基础表'!BB10:BK10,"地上",'数据-基础表'!BB5:BK5)</f>
        <v>190764.08000000002</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7683.58</v>
      </c>
      <c r="E10" s="51">
        <f>SUMPRODUCT(('数据-基础表'!BB10:BK10="地下")*('数据-基础表'!BB11:BK11="商业")*('数据-基础表'!BB5:BK5))</f>
        <v>15470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102431.57</v>
      </c>
      <c r="E16" s="53">
        <f>SUM(E8:E15)</f>
        <v>206234.08000000002</v>
      </c>
      <c r="F16" s="1395"/>
      <c r="G16" s="2238"/>
      <c r="H16" s="2241" t="s">
        <v>1939</v>
      </c>
      <c r="I16" s="2242"/>
      <c r="J16" s="1395"/>
      <c r="K16" s="3273" t="s">
        <v>1939</v>
      </c>
      <c r="L16" s="3274"/>
      <c r="M16" s="3274"/>
      <c r="N16" s="3274"/>
      <c r="O16" s="3274"/>
      <c r="P16" s="3275"/>
    </row>
    <row r="17" spans="1:19" ht="15">
      <c r="A17" s="2243" t="s">
        <v>1940</v>
      </c>
      <c r="B17" s="2244" t="s">
        <v>1941</v>
      </c>
      <c r="C17" s="2245" t="s">
        <v>1942</v>
      </c>
      <c r="D17" s="2246" t="s">
        <v>1930</v>
      </c>
      <c r="E17" s="2247" t="s">
        <v>1931</v>
      </c>
      <c r="F17" s="2248"/>
      <c r="G17" s="2249"/>
      <c r="H17" s="2250" t="s">
        <v>1943</v>
      </c>
      <c r="I17" s="2251" t="s">
        <v>1928</v>
      </c>
      <c r="J17" s="1395"/>
      <c r="K17" s="3270" t="s">
        <v>1944</v>
      </c>
      <c r="L17" s="3271"/>
      <c r="M17" s="3272"/>
      <c r="N17" s="3270" t="s">
        <v>1945</v>
      </c>
      <c r="O17" s="3271"/>
      <c r="P17" s="3272"/>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3112" t="s">
        <v>3269</v>
      </c>
      <c r="D19" s="48">
        <f>ROUND($D$3*E19/$E$3,2)</f>
        <v>55768.84</v>
      </c>
      <c r="E19" s="56">
        <f t="shared" ref="E19:E26" si="1">SUM(F19:G19)</f>
        <v>112284.08</v>
      </c>
      <c r="F19" s="57">
        <f>'数据-基础表'!I13+'数据-基础表'!I16</f>
        <v>96814.080000000002</v>
      </c>
      <c r="G19" s="58">
        <f>'数据-基础表'!K16</f>
        <v>15470</v>
      </c>
      <c r="H19" s="723">
        <f>ROUND($D$3*I19/$E$3,2)</f>
        <v>34339.22</v>
      </c>
      <c r="I19" s="51">
        <f t="shared" ref="I19:I26" si="2">IF($I$17="自定义",P19,M19)</f>
        <v>69138.03</v>
      </c>
      <c r="J19" s="1395"/>
      <c r="K19" s="1394">
        <f t="shared" ref="K19:K26" si="3">ROUND(E$28*E19/E$27,2)</f>
        <v>69138.03</v>
      </c>
      <c r="L19" s="1250">
        <f t="shared" ref="L19:L26" si="4">ROUND(IF(COUNTIF(C19,"*住宅*")&gt;0,E$29*E19/E$32,0),2)</f>
        <v>0</v>
      </c>
      <c r="M19" s="1406">
        <f>K19+L19</f>
        <v>69138.03</v>
      </c>
      <c r="N19" s="2261"/>
      <c r="O19" s="2262"/>
      <c r="P19" s="1406">
        <f>N19+O19</f>
        <v>0</v>
      </c>
      <c r="R19" s="1250">
        <f t="shared" ref="R19:S26" si="5">D19+H19</f>
        <v>90108.06</v>
      </c>
      <c r="S19" s="1251">
        <f t="shared" si="5"/>
        <v>181422.11</v>
      </c>
    </row>
    <row r="20" spans="1:19">
      <c r="A20" s="2263"/>
      <c r="B20" s="50" t="s">
        <v>1957</v>
      </c>
      <c r="C20" s="3112" t="s">
        <v>3270</v>
      </c>
      <c r="D20" s="48">
        <f t="shared" ref="D20:D26" si="6">ROUND($D$3*E20/$E$3,2)</f>
        <v>46662.73</v>
      </c>
      <c r="E20" s="56">
        <f t="shared" si="1"/>
        <v>93950</v>
      </c>
      <c r="F20" s="57">
        <f>'数据-基础表'!I14+'数据-基础表'!I15</f>
        <v>93950</v>
      </c>
      <c r="G20" s="58"/>
      <c r="H20" s="723">
        <f t="shared" ref="H20:H26" si="7">ROUND($D$3*I20/$E$3,2)</f>
        <v>28732.21</v>
      </c>
      <c r="I20" s="51">
        <f t="shared" si="2"/>
        <v>57848.97</v>
      </c>
      <c r="J20" s="1395"/>
      <c r="K20" s="1394">
        <f t="shared" si="3"/>
        <v>57848.97</v>
      </c>
      <c r="L20" s="1250">
        <f t="shared" si="4"/>
        <v>0</v>
      </c>
      <c r="M20" s="1406">
        <f t="shared" ref="M20:M26" si="8">K20+L20</f>
        <v>57848.97</v>
      </c>
      <c r="N20" s="2261"/>
      <c r="O20" s="2262"/>
      <c r="P20" s="1406">
        <f t="shared" ref="P20:P26" si="9">N20+O20</f>
        <v>0</v>
      </c>
      <c r="R20" s="1250">
        <f t="shared" si="5"/>
        <v>75394.94</v>
      </c>
      <c r="S20" s="1251">
        <f t="shared" si="5"/>
        <v>151798.97</v>
      </c>
    </row>
    <row r="21" spans="1:19">
      <c r="A21" s="2263"/>
      <c r="B21" s="50" t="s">
        <v>1957</v>
      </c>
      <c r="C21" s="3112"/>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102431.57</v>
      </c>
      <c r="E27" s="1397">
        <f>IF(SUM(E19:E26)='数据-基础表'!BA5,SUM(E19:E26),IF(F27="地上面积有误","面积有误","地下面积有误"))</f>
        <v>206234.08000000002</v>
      </c>
      <c r="F27" s="1396">
        <f>IF(SUM(F19:F26)=E8,SUM(F19:F26),"地上面积有误")</f>
        <v>190764.08000000002</v>
      </c>
      <c r="G27" s="1398">
        <f>SUM(G19:G26)</f>
        <v>15470</v>
      </c>
      <c r="H27" s="1399">
        <f>SUM(H19:H26)</f>
        <v>63071.43</v>
      </c>
      <c r="I27" s="1400">
        <f>SUM(I19:I26)</f>
        <v>126987</v>
      </c>
      <c r="J27" s="1395"/>
      <c r="K27" s="1403">
        <f>SUM(K19:K26)</f>
        <v>126987</v>
      </c>
      <c r="L27" s="1404">
        <f>SUM(L19:L26)</f>
        <v>0</v>
      </c>
      <c r="M27" s="1407">
        <f>SUM(M19:M26)</f>
        <v>126987</v>
      </c>
      <c r="N27" s="1403">
        <f t="shared" ref="N27:O27" si="10">SUM(N19:N26)</f>
        <v>0</v>
      </c>
      <c r="O27" s="1404">
        <f t="shared" si="10"/>
        <v>0</v>
      </c>
      <c r="P27" s="1405">
        <f>SUM(P19:P26)</f>
        <v>0</v>
      </c>
      <c r="R27" s="1252">
        <f>IF(SUM(R19:R26)=$D$3,SUM(R19:R26),SUM(R19:R26)&amp;"误差"&amp;ROUND(SUM(R19:R26)-$D$3,2))</f>
        <v>165503</v>
      </c>
      <c r="S27" s="1250">
        <f>IF(SUM(S19:S26)=$E$3,SUM(S19:S26),SUM(S19:S26)&amp;"误差"&amp;ROUND(SUM(S19:S26)-E3,2))</f>
        <v>333221.07999999996</v>
      </c>
    </row>
    <row r="28" spans="1:19">
      <c r="A28" s="2263"/>
      <c r="B28" s="50" t="s">
        <v>1959</v>
      </c>
      <c r="C28" s="1262" t="s">
        <v>1960</v>
      </c>
      <c r="D28" s="48">
        <f>ROUND($D$3*E28/$E$3,2)</f>
        <v>63071.43</v>
      </c>
      <c r="E28" s="56">
        <f>SUM(F28:G28)</f>
        <v>126987</v>
      </c>
      <c r="F28" s="64">
        <f>'数据-基础表'!BQ5+'数据-基础表'!BS5</f>
        <v>2526</v>
      </c>
      <c r="G28" s="65">
        <f>'数据-基础表'!BR5+'数据-基础表'!BT5</f>
        <v>124461</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63071.43</v>
      </c>
      <c r="E30" s="1396">
        <f>SUM(E28:E29)</f>
        <v>126987</v>
      </c>
      <c r="F30" s="1396">
        <f>SUM(F28:F29)</f>
        <v>2526</v>
      </c>
      <c r="G30" s="1398">
        <f>SUM(G28:G29)</f>
        <v>124461</v>
      </c>
      <c r="H30" s="1395"/>
      <c r="I30" s="1395"/>
      <c r="J30" s="1395"/>
      <c r="K30" s="1395"/>
      <c r="L30" s="1395"/>
      <c r="M30" s="1395"/>
      <c r="N30" s="1395"/>
      <c r="O30" s="1395"/>
      <c r="P30" s="1395"/>
    </row>
    <row r="31" spans="1:19" ht="15.75" thickBot="1">
      <c r="A31" s="2269"/>
      <c r="B31" s="2270"/>
      <c r="C31" s="1010" t="s">
        <v>1962</v>
      </c>
      <c r="D31" s="729">
        <f>D27+D30</f>
        <v>165503</v>
      </c>
      <c r="E31" s="729">
        <f>E27+E30</f>
        <v>333221.08</v>
      </c>
      <c r="F31" s="730">
        <f>F27+F30</f>
        <v>193290.08000000002</v>
      </c>
      <c r="G31" s="731">
        <f>G27+G30</f>
        <v>139931</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M7" sqref="M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1965</v>
      </c>
      <c r="B2" s="1269">
        <f>项目基本情况!D3</f>
        <v>43516</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5" t="s">
        <v>1970</v>
      </c>
      <c r="AA4" s="2245"/>
      <c r="AB4" s="2245"/>
      <c r="AC4" s="2245"/>
      <c r="AD4" s="2245"/>
      <c r="AE4" s="2243" t="s">
        <v>1971</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5" t="s">
        <v>2006</v>
      </c>
      <c r="AP5" s="1252" t="s">
        <v>2007</v>
      </c>
      <c r="AQ5" s="2305" t="s">
        <v>2008</v>
      </c>
      <c r="AR5" s="2305"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6" t="str">
        <f>'数据-汇总表'!C19</f>
        <v>商业</v>
      </c>
      <c r="B6" s="2307" t="str">
        <f>IF(A6=0,"","经营性")</f>
        <v>经营性</v>
      </c>
      <c r="C6" s="2308" t="s">
        <v>1373</v>
      </c>
      <c r="D6" s="1054">
        <f>SUMIF(项目基本情况!D$12:I$12,C6,项目基本情况!D$14:I$14)</f>
        <v>40</v>
      </c>
      <c r="E6" s="1051">
        <f>IF(B6="","",SUMIF(项目基本情况!D$12:I$12,C6,项目基本情况!D$13:I$13))</f>
        <v>58126</v>
      </c>
      <c r="F6" s="72">
        <f>SUMIF(项目基本情况!D$12:I$12,C6,项目基本情况!D$15:I$15)</f>
        <v>40</v>
      </c>
      <c r="G6" s="73">
        <f>IF(ISERROR(ROUND(POWER(1+H6,D6-F6)*(POWER(1+H6,F6)-1)/(POWER(1+H6,D6)-1),3)),0,ROUND(POWER(1+H6,D6-F6)*(POWER(1+H6,F6)-1)/(POWER(1+H6,D6)-1),3))</f>
        <v>1</v>
      </c>
      <c r="H6" s="802">
        <v>4.4999999999999998E-2</v>
      </c>
      <c r="I6" s="802">
        <v>5.5E-2</v>
      </c>
      <c r="J6" s="74">
        <v>8.5000000000000006E-2</v>
      </c>
      <c r="K6" s="1254">
        <f>SUMIF('数据-汇总表'!C$19:C$33,A6,'数据-汇总表'!E$19:E$33)</f>
        <v>112284.08</v>
      </c>
      <c r="L6" s="803">
        <v>3000</v>
      </c>
      <c r="M6" s="75">
        <f t="shared" ref="M6:M14" si="0">ROUND(K6*L6/10000,0)</f>
        <v>33685</v>
      </c>
      <c r="N6" s="801">
        <v>0.1</v>
      </c>
      <c r="O6" s="75">
        <f>IF($N$5="成新度","——",ROUND(M6*N6,0))</f>
        <v>3369</v>
      </c>
      <c r="P6" s="76">
        <f>IF($N$5="成新度","——",M6-O6)</f>
        <v>30316</v>
      </c>
      <c r="Q6" s="804">
        <v>0.2</v>
      </c>
      <c r="R6" s="77">
        <f ca="1">SUMIF('数据-汇总表'!C$19:C$33,A6,'数据-汇总表'!R$19:R$27)</f>
        <v>90108.06</v>
      </c>
      <c r="S6" s="54">
        <f>IF('数据-汇总表'!$I$17="按面积比例",SUMIF('数据-汇总表'!C$19:C$33,A6,'数据-汇总表'!K$19:K$33),SUMIF('数据-汇总表'!C$19:C$33,A6,'数据-汇总表'!N$19:N$33))</f>
        <v>69138.03</v>
      </c>
      <c r="T6" s="1446">
        <f>ROUND($L$14*S6/10000,0)</f>
        <v>20741</v>
      </c>
      <c r="U6" s="78">
        <v>4.5</v>
      </c>
      <c r="V6" s="79">
        <v>3.5000000000000003E-2</v>
      </c>
      <c r="W6" s="79">
        <v>0.15</v>
      </c>
      <c r="X6" s="1264"/>
      <c r="Y6" s="80">
        <v>1</v>
      </c>
      <c r="Z6" s="81"/>
      <c r="AA6" s="74"/>
      <c r="AB6" s="74"/>
      <c r="AC6" s="1264"/>
      <c r="AD6" s="82"/>
      <c r="AE6" s="1265">
        <f ca="1">IF(AN6="",0,SUMIF(INDIRECT("'"&amp;AN6&amp;"'"&amp;"!E:E"),$AE$5,INDIRECT("'"&amp;AN6&amp;"'"&amp;"!F:F")))</f>
        <v>38.6</v>
      </c>
      <c r="AF6" s="1807"/>
      <c r="AG6" s="147">
        <f>IF(AF6="",0,AE6-AF6)</f>
        <v>0</v>
      </c>
      <c r="AH6" s="83"/>
      <c r="AI6" s="85">
        <v>365</v>
      </c>
      <c r="AJ6" s="86"/>
      <c r="AK6" s="87">
        <v>1.4999999999999999E-2</v>
      </c>
      <c r="AL6" s="88">
        <v>1.5E-3</v>
      </c>
      <c r="AM6" s="89">
        <v>0.01</v>
      </c>
      <c r="AN6" s="2309" t="s">
        <v>3226</v>
      </c>
      <c r="AO6" s="55">
        <f ca="1">SUMIF(INDIRECT("'"&amp;AN6&amp;"'"&amp;"!A:A"),"总价",INDIRECT("'"&amp;AN6&amp;"'"&amp;"!B:B"))</f>
        <v>297660</v>
      </c>
      <c r="AP6" s="2310">
        <f>IF(C6="住宅",K6*L6,0)</f>
        <v>0</v>
      </c>
      <c r="AQ6" s="55">
        <f>ROUND($L$14*$N$14*S6/10000,0)</f>
        <v>12445</v>
      </c>
      <c r="AR6" s="55">
        <f>ROUND($L$14*(1-$N$14)*S6/10000,0)</f>
        <v>8297</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t="str">
        <f>'数据-汇总表'!C20</f>
        <v>公寓</v>
      </c>
      <c r="B7" s="2307" t="str">
        <f t="shared" ref="B7:B13" si="1">IF(A7=0,"","经营性")</f>
        <v>经营性</v>
      </c>
      <c r="C7" s="2308" t="s">
        <v>1373</v>
      </c>
      <c r="D7" s="1054">
        <f>SUMIF(项目基本情况!D$12:I$12,C7,项目基本情况!D$14:I$14)</f>
        <v>40</v>
      </c>
      <c r="E7" s="1051">
        <f>IF(B7="","",SUMIF(项目基本情况!D$12:I$12,C7,项目基本情况!D$13:I$13))</f>
        <v>58126</v>
      </c>
      <c r="F7" s="72">
        <f>SUMIF(项目基本情况!D$12:I$12,C7,项目基本情况!D$15:I$15)</f>
        <v>40</v>
      </c>
      <c r="G7" s="73">
        <f t="shared" ref="G7:G11" si="2">IF(ISERROR(ROUND(POWER(1+H7,D7-F7)*(POWER(1+H7,F7)-1)/(POWER(1+H7,D7)-1),3)),0,ROUND(POWER(1+H7,D7-F7)*(POWER(1+H7,F7)-1)/(POWER(1+H7,D7)-1),3))</f>
        <v>1</v>
      </c>
      <c r="H7" s="802">
        <v>4.4999999999999998E-2</v>
      </c>
      <c r="I7" s="802">
        <v>0.05</v>
      </c>
      <c r="J7" s="74">
        <v>8.5000000000000006E-2</v>
      </c>
      <c r="K7" s="1254">
        <f>SUMIF('数据-汇总表'!C$19:C$33,A7,'数据-汇总表'!E$19:E$33)</f>
        <v>93950</v>
      </c>
      <c r="L7" s="803">
        <v>4000</v>
      </c>
      <c r="M7" s="75">
        <f t="shared" si="0"/>
        <v>37580</v>
      </c>
      <c r="N7" s="801">
        <f>Sheet2!C16</f>
        <v>0</v>
      </c>
      <c r="O7" s="75">
        <f t="shared" ref="O7:O14" si="3">IF($N$5="成新度","——",ROUND(M7*N7,0))</f>
        <v>0</v>
      </c>
      <c r="P7" s="76">
        <f t="shared" ref="P7:P14" si="4">IF($N$5="成新度","——",M7-O7)</f>
        <v>37580</v>
      </c>
      <c r="Q7" s="804">
        <v>0.2</v>
      </c>
      <c r="R7" s="77">
        <f ca="1">SUMIF('数据-汇总表'!C$19:C$33,A7,'数据-汇总表'!R$19:R$27)</f>
        <v>75394.94</v>
      </c>
      <c r="S7" s="54">
        <f>IF('数据-汇总表'!$I$17="按面积比例",SUMIF('数据-汇总表'!C$19:C$33,A7,'数据-汇总表'!K$19:K$33),SUMIF('数据-汇总表'!C$19:C$33,A7,'数据-汇总表'!N$19:N$33))</f>
        <v>57848.97</v>
      </c>
      <c r="T7" s="1446">
        <f t="shared" ref="T7:T13" si="5">ROUND($L$14*S7/10000,0)</f>
        <v>17355</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10413</v>
      </c>
      <c r="AR7" s="55">
        <f t="shared" ref="AR7:AR13" si="11">ROUND($L$14*(1-$N$14)*S7/10000,0)</f>
        <v>6942</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126987</v>
      </c>
      <c r="L14" s="91">
        <v>3000</v>
      </c>
      <c r="M14" s="75">
        <f t="shared" si="0"/>
        <v>38096</v>
      </c>
      <c r="N14" s="92">
        <v>0.6</v>
      </c>
      <c r="O14" s="75">
        <f t="shared" si="3"/>
        <v>22858</v>
      </c>
      <c r="P14" s="76">
        <f t="shared" si="4"/>
        <v>15238</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22.5" customHeight="1" thickBot="1">
      <c r="A16" s="2313" t="s">
        <v>2014</v>
      </c>
      <c r="B16" s="97"/>
      <c r="C16" s="1008"/>
      <c r="D16" s="2314"/>
      <c r="E16" s="97"/>
      <c r="F16" s="97"/>
      <c r="G16" s="98">
        <f>ROUND(SUMPRODUCT(G6:G13,K6:K13)/SUMPRODUCT((G6:G13&gt;0)*(K6:K13)),3)</f>
        <v>1</v>
      </c>
      <c r="H16" s="99">
        <f>ROUND(SUMPRODUCT(H6:H13,K6:K13)/SUMPRODUCT((H6:H13&gt;0)*(K6:K13)),3)</f>
        <v>4.4999999999999998E-2</v>
      </c>
      <c r="I16" s="100"/>
      <c r="J16" s="100"/>
      <c r="K16" s="101">
        <f>SUM(K6:K15)</f>
        <v>333221.08</v>
      </c>
      <c r="L16" s="102">
        <f>ROUND(M16*10000/SUM(K6:K14),0)</f>
        <v>3282</v>
      </c>
      <c r="M16" s="102">
        <f>SUM(M6:M14)</f>
        <v>109361</v>
      </c>
      <c r="N16" s="103">
        <f>ROUND(SUMPRODUCT(M6:M14,N6:N14)/M16,3)</f>
        <v>0.24</v>
      </c>
      <c r="O16" s="102">
        <f>SUM(O6:O14)</f>
        <v>26227</v>
      </c>
      <c r="P16" s="102">
        <f>SUM(P6:P14)</f>
        <v>83134</v>
      </c>
      <c r="Q16" s="104">
        <f>ROUND(SUMPRODUCT(Q6:Q13,K6:K13)/SUMPRODUCT((Q6:Q13&gt;0)*(K6:K13)),2)</f>
        <v>0.2</v>
      </c>
      <c r="R16" s="1258">
        <f ca="1">SUM(R6:R13)</f>
        <v>165503</v>
      </c>
      <c r="S16" s="105">
        <f>SUM(S6:S13)</f>
        <v>126987</v>
      </c>
      <c r="T16" s="106">
        <f>IF(SUMIF(T6:T13,"&lt;9E307")=M14,SUMIF(T6:T13,"&lt;9E307"),"有误，请检查")</f>
        <v>38096</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3132">
        <v>0.6</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0.6</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1.4</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130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 ca="1">成本法!C10</f>
        <v>4332</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f>ROUND(2600*'数据-汇总表'!D3/'数据-汇总表'!E3,0)</f>
        <v>1291</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1291</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0.05</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0.03</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1.4999999999999999E-2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v>0</v>
      </c>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5</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5</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285" t="s">
        <v>2081</v>
      </c>
      <c r="B1" s="3286"/>
      <c r="C1" s="3286"/>
      <c r="D1" s="3286"/>
      <c r="E1" s="3286"/>
      <c r="F1" s="3286"/>
      <c r="G1" s="328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8"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8" t="s">
        <v>2093</v>
      </c>
      <c r="C5" s="2374" t="s">
        <v>2094</v>
      </c>
      <c r="D5" s="2371"/>
      <c r="E5" s="2375"/>
      <c r="F5" s="1798" t="s">
        <v>2095</v>
      </c>
      <c r="G5" s="2376" t="s">
        <v>2096</v>
      </c>
      <c r="H5" s="2368"/>
      <c r="I5" s="2368"/>
      <c r="J5" s="2368"/>
      <c r="K5" s="2368"/>
      <c r="L5" s="2368"/>
      <c r="M5" s="2368"/>
      <c r="N5" s="2368"/>
      <c r="O5" s="2368"/>
      <c r="P5" s="2368"/>
      <c r="Q5" s="2368"/>
      <c r="R5" s="2368"/>
    </row>
    <row r="6" spans="1:29" ht="54">
      <c r="A6" s="431"/>
      <c r="B6" s="1798" t="s">
        <v>2097</v>
      </c>
      <c r="C6" s="2376" t="s">
        <v>2092</v>
      </c>
      <c r="D6" s="2371"/>
      <c r="E6" s="2375"/>
      <c r="F6" s="1798" t="s">
        <v>2098</v>
      </c>
      <c r="G6" s="2376" t="s">
        <v>2099</v>
      </c>
      <c r="H6" s="2368"/>
      <c r="I6" s="2368"/>
      <c r="J6" s="2368"/>
      <c r="K6" s="2368"/>
      <c r="L6" s="2368"/>
      <c r="M6" s="2368"/>
      <c r="N6" s="2368"/>
      <c r="O6" s="2368"/>
      <c r="P6" s="2368"/>
      <c r="Q6" s="2368"/>
      <c r="R6" s="2368"/>
    </row>
    <row r="7" spans="1:29" ht="41.25" thickBot="1">
      <c r="A7" s="431"/>
      <c r="B7" s="1798"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8" t="s">
        <v>2098</v>
      </c>
      <c r="C8" s="2376" t="s">
        <v>2099</v>
      </c>
      <c r="D8" s="2377"/>
      <c r="E8" s="2377"/>
      <c r="F8" s="1136"/>
      <c r="G8" s="1136"/>
      <c r="H8" s="2368"/>
      <c r="I8" s="2368"/>
      <c r="J8" s="2368"/>
      <c r="K8" s="2368"/>
      <c r="L8" s="2368"/>
      <c r="M8" s="2368"/>
      <c r="N8" s="2368"/>
      <c r="O8" s="2368"/>
      <c r="P8" s="2368"/>
      <c r="Q8" s="2368"/>
      <c r="R8" s="2368"/>
    </row>
    <row r="9" spans="1:29" ht="27">
      <c r="A9" s="431"/>
      <c r="B9" s="1798" t="s">
        <v>2102</v>
      </c>
      <c r="C9" s="2374" t="s">
        <v>2103</v>
      </c>
      <c r="D9" s="2371"/>
      <c r="E9" s="2377"/>
      <c r="F9" s="1136"/>
      <c r="G9" s="1136"/>
      <c r="H9" s="2368"/>
      <c r="I9" s="2368"/>
      <c r="J9" s="2368"/>
      <c r="K9" s="2368"/>
      <c r="L9" s="2368"/>
      <c r="M9" s="2368"/>
      <c r="N9" s="2368"/>
      <c r="O9" s="2368"/>
      <c r="P9" s="2368"/>
      <c r="Q9" s="2368"/>
      <c r="R9" s="2368"/>
    </row>
    <row r="10" spans="1:29" s="117" customFormat="1" ht="15.75" thickBot="1">
      <c r="A10" s="2381"/>
      <c r="B10" s="2382" t="s">
        <v>2104</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70" t="s">
        <v>2085</v>
      </c>
      <c r="C15" s="2403" t="str">
        <f>C3</f>
        <v>估价对象周边居住用地比例、居住小区规模和社区发展完善程度，综合评价居住社区成熟度一般</v>
      </c>
      <c r="D15" s="2371"/>
      <c r="E15" s="2404" t="s">
        <v>2109</v>
      </c>
      <c r="F15" s="1270"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72"/>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72"/>
      <c r="D19" s="2371"/>
      <c r="E19" s="2407"/>
      <c r="F19" s="1798"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8" t="s">
        <v>2114</v>
      </c>
      <c r="G20" s="136" t="str">
        <f>G6</f>
        <v>估价对象所在区域基础设施水平</v>
      </c>
    </row>
    <row r="21" spans="1:18" ht="28.5">
      <c r="A21" s="645"/>
      <c r="B21" s="1798" t="s">
        <v>2095</v>
      </c>
      <c r="C21" s="136" t="str">
        <f>C7</f>
        <v>估价对象所在区域公共配套设施齐备情况</v>
      </c>
      <c r="D21" s="2371"/>
      <c r="E21" s="2407"/>
      <c r="F21" s="2408" t="s">
        <v>2115</v>
      </c>
      <c r="G21" s="2409"/>
    </row>
    <row r="22" spans="1:18" ht="13.5" customHeight="1">
      <c r="A22" s="645"/>
      <c r="B22" s="1798" t="s">
        <v>2098</v>
      </c>
      <c r="C22" s="136" t="str">
        <f>C8</f>
        <v>估价对象所在区域基础设施水平</v>
      </c>
      <c r="D22" s="2371"/>
      <c r="E22" s="2407"/>
      <c r="F22" s="2408" t="s">
        <v>2104</v>
      </c>
      <c r="G22" s="1572"/>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tabSelected="1" workbookViewId="0">
      <selection activeCell="E9" sqref="E9"/>
    </sheetView>
  </sheetViews>
  <sheetFormatPr defaultColWidth="9" defaultRowHeight="13.5"/>
  <cols>
    <col min="1" max="1" width="23.375" style="1741" customWidth="1"/>
    <col min="2" max="9" width="15.75" style="1741" customWidth="1"/>
    <col min="10" max="16384" width="9" style="1741"/>
  </cols>
  <sheetData>
    <row r="1" spans="1:11" ht="16.5">
      <c r="A1" s="1746" t="s">
        <v>1361</v>
      </c>
      <c r="B1" s="1746">
        <f>SUM(B14:B23)</f>
        <v>628412.12000000011</v>
      </c>
      <c r="C1" s="1745"/>
      <c r="D1" s="1745"/>
      <c r="E1" s="1745"/>
      <c r="F1" s="1745"/>
      <c r="G1" s="1743"/>
    </row>
    <row r="2" spans="1:11" ht="16.5">
      <c r="A2" s="1746" t="s">
        <v>1349</v>
      </c>
      <c r="B2" s="1746">
        <f>SUM(C14:C23)</f>
        <v>515024</v>
      </c>
      <c r="C2" s="1745"/>
      <c r="D2" s="1745"/>
      <c r="E2" s="1745"/>
      <c r="F2" s="1745"/>
      <c r="G2" s="1743"/>
    </row>
    <row r="3" spans="1:11" ht="16.5">
      <c r="A3" s="1746" t="s">
        <v>1358</v>
      </c>
      <c r="B3" s="1747">
        <f>项目基本情况!D3</f>
        <v>43516</v>
      </c>
      <c r="C3" s="1745"/>
      <c r="D3" s="1745"/>
      <c r="E3" s="1745"/>
      <c r="F3" s="1745"/>
      <c r="G3" s="1743"/>
    </row>
    <row r="4" spans="1:11" ht="33">
      <c r="A4" s="1746" t="s">
        <v>1357</v>
      </c>
      <c r="B4" s="1746" t="s">
        <v>1356</v>
      </c>
      <c r="C4" s="1746" t="s">
        <v>1355</v>
      </c>
      <c r="D4" s="1746" t="s">
        <v>1354</v>
      </c>
      <c r="E4" s="1745"/>
      <c r="F4" s="1743"/>
      <c r="G4" s="1743"/>
    </row>
    <row r="5" spans="1:11" ht="16.5">
      <c r="A5" s="1746" t="s">
        <v>1353</v>
      </c>
      <c r="B5" s="1746">
        <f ca="1">SUM(D14:D23)</f>
        <v>605693</v>
      </c>
      <c r="C5" s="1746">
        <f ca="1">ROUND(B5*10000/$B$1,0)</f>
        <v>9638</v>
      </c>
      <c r="D5" s="1746">
        <f ca="1">ROUND(B5*10000/$B$2,0)</f>
        <v>11760</v>
      </c>
      <c r="E5" s="1745"/>
      <c r="F5" s="1743"/>
      <c r="G5" s="1743"/>
    </row>
    <row r="6" spans="1:11" ht="16.5">
      <c r="A6" s="1746" t="s">
        <v>1352</v>
      </c>
      <c r="B6" s="1746">
        <f ca="1">SUM(G14:G23)</f>
        <v>605693</v>
      </c>
      <c r="C6" s="1746">
        <f ca="1">ROUND(B6*10000/$B$1,0)</f>
        <v>9638</v>
      </c>
      <c r="D6" s="1746">
        <f ca="1">ROUND(B6*10000/$B$2,0)</f>
        <v>11760</v>
      </c>
      <c r="E6" s="1745"/>
      <c r="F6" s="1743"/>
      <c r="G6" s="1743"/>
    </row>
    <row r="7" spans="1:11" ht="16.5">
      <c r="A7" s="1746" t="s">
        <v>1360</v>
      </c>
      <c r="B7" s="1746">
        <f>SUM(H14:H23)</f>
        <v>0</v>
      </c>
      <c r="C7" s="1746">
        <f>ROUND(B7*10000/$B$1,0)</f>
        <v>0</v>
      </c>
      <c r="D7" s="1746">
        <f>ROUND(B7*10000/$B$2,0)</f>
        <v>0</v>
      </c>
      <c r="E7" s="1745"/>
      <c r="F7" s="1743"/>
      <c r="G7" s="1743"/>
    </row>
    <row r="8" spans="1:11" ht="16.5">
      <c r="A8" s="1746" t="s">
        <v>1281</v>
      </c>
      <c r="B8" s="1746">
        <f>SUM(I14:I23)</f>
        <v>0</v>
      </c>
      <c r="C8" s="1746">
        <f>ROUND(B8*10000/$B$1,0)</f>
        <v>0</v>
      </c>
      <c r="D8" s="1746">
        <f>ROUND(B8*10000/$B$2,0)</f>
        <v>0</v>
      </c>
      <c r="E8" s="1745"/>
      <c r="F8" s="1743"/>
      <c r="G8" s="1743"/>
    </row>
    <row r="9" spans="1:11" ht="16.5">
      <c r="A9" s="1746" t="s">
        <v>1351</v>
      </c>
      <c r="B9" s="1748"/>
      <c r="C9" s="1745"/>
      <c r="D9" s="1745"/>
      <c r="E9" s="1745"/>
      <c r="F9" s="1743"/>
      <c r="G9" s="1743"/>
    </row>
    <row r="10" spans="1:11" ht="16.5">
      <c r="A10" s="1746" t="s">
        <v>1350</v>
      </c>
      <c r="B10" s="1748"/>
      <c r="C10" s="1745"/>
      <c r="D10" s="1745"/>
      <c r="E10" s="1745"/>
      <c r="F10" s="1743"/>
      <c r="G10" s="1743"/>
    </row>
    <row r="11" spans="1:11" ht="16.5">
      <c r="A11" s="1746" t="s">
        <v>1366</v>
      </c>
      <c r="B11" s="1748"/>
      <c r="C11" s="1745"/>
      <c r="D11" s="1745"/>
      <c r="E11" s="1745"/>
      <c r="F11" s="1743"/>
      <c r="G11" s="1743"/>
    </row>
    <row r="12" spans="1:11" ht="16.5">
      <c r="A12" s="1745"/>
      <c r="B12" s="1745"/>
      <c r="C12" s="1745"/>
      <c r="D12" s="1745"/>
      <c r="E12" s="1745"/>
      <c r="F12" s="1743"/>
      <c r="G12" s="1743"/>
    </row>
    <row r="13" spans="1:11" ht="33">
      <c r="A13" s="1751" t="s">
        <v>1365</v>
      </c>
      <c r="B13" s="1744" t="s">
        <v>1362</v>
      </c>
      <c r="C13" s="1744" t="s">
        <v>1364</v>
      </c>
      <c r="D13" s="1744" t="s">
        <v>1363</v>
      </c>
      <c r="E13" s="1746" t="s">
        <v>1355</v>
      </c>
      <c r="F13" s="1746" t="s">
        <v>1354</v>
      </c>
      <c r="G13" s="1744" t="s">
        <v>1348</v>
      </c>
      <c r="H13" s="1744" t="s">
        <v>1359</v>
      </c>
      <c r="I13" s="1744" t="s">
        <v>1347</v>
      </c>
      <c r="J13" s="1743"/>
    </row>
    <row r="14" spans="1:11" ht="16.5">
      <c r="A14" s="1742" t="s">
        <v>1346</v>
      </c>
      <c r="B14" s="1744">
        <f>结果表!B118</f>
        <v>333221.08</v>
      </c>
      <c r="C14" s="1744">
        <f>结果表!C118</f>
        <v>165503</v>
      </c>
      <c r="D14" s="1744">
        <f ca="1">结果表!H118</f>
        <v>281294</v>
      </c>
      <c r="E14" s="1744">
        <f ca="1">ROUND(D14*10000/B14,0)</f>
        <v>8442</v>
      </c>
      <c r="F14" s="1744">
        <f ca="1">ROUND(D14*10000/C14,0)</f>
        <v>16996</v>
      </c>
      <c r="G14" s="1744">
        <f ca="1">结果表!D122</f>
        <v>281294</v>
      </c>
      <c r="H14" s="1744" t="str">
        <f>结果表!D124</f>
        <v>——</v>
      </c>
      <c r="I14" s="1744" t="str">
        <f>结果表!D126</f>
        <v>——</v>
      </c>
      <c r="J14" s="1743">
        <v>287833</v>
      </c>
      <c r="K14" s="1741">
        <f ca="1">J14-G14</f>
        <v>6539</v>
      </c>
    </row>
    <row r="15" spans="1:11" ht="16.5">
      <c r="A15" s="1742" t="s">
        <v>1345</v>
      </c>
      <c r="B15" s="1749">
        <f>[1]系统读取表!$B$14</f>
        <v>192095</v>
      </c>
      <c r="C15" s="1749">
        <f>[1]系统读取表!$C$14</f>
        <v>99229</v>
      </c>
      <c r="D15" s="1749">
        <f ca="1">[1]系统读取表!$D$14</f>
        <v>171207</v>
      </c>
      <c r="E15" s="1744">
        <f t="shared" ref="E15:E23" ca="1" si="0">ROUND(D15*10000/B15,0)</f>
        <v>8913</v>
      </c>
      <c r="F15" s="1744">
        <f t="shared" ref="F15:F23" ca="1" si="1">ROUND(D15*10000/C15,0)</f>
        <v>17254</v>
      </c>
      <c r="G15" s="1750">
        <f ca="1">[1]系统读取表!$G$14</f>
        <v>171207</v>
      </c>
      <c r="H15" s="1750" t="str">
        <f>[1]系统读取表!$H$14</f>
        <v>——</v>
      </c>
      <c r="I15" s="1749" t="str">
        <f>[1]系统读取表!$I$14</f>
        <v>——</v>
      </c>
      <c r="J15" s="1743">
        <v>162496</v>
      </c>
      <c r="K15" s="1741">
        <f t="shared" ref="K15:K16" ca="1" si="2">J15-G15</f>
        <v>-8711</v>
      </c>
    </row>
    <row r="16" spans="1:11" ht="16.5">
      <c r="A16" s="1742" t="s">
        <v>1344</v>
      </c>
      <c r="B16" s="1749">
        <f>[2]系统读取表!$B$14</f>
        <v>103096.04000000001</v>
      </c>
      <c r="C16" s="1749">
        <f>[2]系统读取表!$C$14</f>
        <v>250292</v>
      </c>
      <c r="D16" s="1749">
        <f ca="1">[2]系统读取表!$D$14</f>
        <v>153192</v>
      </c>
      <c r="E16" s="1744">
        <f t="shared" ca="1" si="0"/>
        <v>14859</v>
      </c>
      <c r="F16" s="1744">
        <f t="shared" ca="1" si="1"/>
        <v>6121</v>
      </c>
      <c r="G16" s="1750">
        <f ca="1">[2]系统读取表!$G$14</f>
        <v>153192</v>
      </c>
      <c r="H16" s="1750" t="str">
        <f>[3]系统读取表!$H$14</f>
        <v>——</v>
      </c>
      <c r="I16" s="1749" t="str">
        <f>[3]系统读取表!$I$14</f>
        <v>——</v>
      </c>
      <c r="J16" s="1741">
        <v>149879</v>
      </c>
      <c r="K16" s="1741">
        <f t="shared" ca="1" si="2"/>
        <v>-3313</v>
      </c>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133" t="str">
        <f>项目基本情况!B1</f>
        <v>河北省崇礼县太子城出让国有建设用地使用权及在建建筑物房地产抵押价值预评估</v>
      </c>
      <c r="C37" s="3133"/>
      <c r="D37" s="3133"/>
      <c r="E37" s="3133"/>
      <c r="F37" s="3133"/>
      <c r="G37" s="3133"/>
      <c r="H37" s="3133"/>
      <c r="I37" s="313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吴薇（注册号：0)、崔锴（注册号：0)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E106" zoomScaleNormal="100" zoomScaleSheetLayoutView="100" zoomScalePageLayoutView="80" workbookViewId="0">
      <selection activeCell="D118" sqref="D118:I11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2118</v>
      </c>
      <c r="B1" s="2419"/>
      <c r="C1" s="2420"/>
      <c r="D1" s="2419"/>
      <c r="E1" s="2419"/>
      <c r="F1" s="2421" t="s">
        <v>2119</v>
      </c>
      <c r="G1" s="2072" t="s">
        <v>2120</v>
      </c>
      <c r="H1" s="2422" t="str">
        <f>IF(G1="现房","——","估价对象范围")</f>
        <v>估价对象范围</v>
      </c>
      <c r="I1" s="2423" t="s">
        <v>3140</v>
      </c>
    </row>
    <row r="2" spans="1:12" ht="21.75" customHeight="1" thickBot="1">
      <c r="A2" s="3359" t="str">
        <f>项目基本情况!S2</f>
        <v>河北省崇礼县太子城出让国有建设用地使用权及在建建筑物房地产</v>
      </c>
      <c r="B2" s="3360"/>
      <c r="C2" s="3360"/>
      <c r="D2" s="3360"/>
      <c r="E2" s="3360"/>
      <c r="F2" s="3360"/>
      <c r="G2" s="3360"/>
      <c r="H2" s="3360"/>
      <c r="I2" s="3361"/>
    </row>
    <row r="3" spans="1:12" ht="12.75">
      <c r="A3" s="3362" t="s">
        <v>2121</v>
      </c>
      <c r="B3" s="3363"/>
      <c r="C3" s="3363"/>
      <c r="D3" s="3363"/>
      <c r="E3" s="3363"/>
      <c r="F3" s="3363"/>
      <c r="G3" s="3363"/>
      <c r="H3" s="3363"/>
      <c r="I3" s="3363"/>
    </row>
    <row r="4" spans="1:12" ht="14.25">
      <c r="A4" s="2426" t="s">
        <v>2122</v>
      </c>
      <c r="B4" s="2427" t="s">
        <v>2123</v>
      </c>
      <c r="C4" s="2428" t="s">
        <v>3141</v>
      </c>
      <c r="D4" s="2428" t="s">
        <v>3142</v>
      </c>
      <c r="E4" s="3343" t="s">
        <v>2124</v>
      </c>
      <c r="F4" s="3356"/>
      <c r="G4" s="3356"/>
      <c r="H4" s="3356"/>
      <c r="I4" s="334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334" t="s">
        <v>2125</v>
      </c>
      <c r="B5" s="3199">
        <v>25</v>
      </c>
      <c r="C5" s="3364"/>
      <c r="D5" s="3352"/>
      <c r="E5" s="140" t="s">
        <v>2126</v>
      </c>
      <c r="F5" s="2430"/>
      <c r="G5" s="2430"/>
      <c r="H5" s="2430"/>
      <c r="I5" s="1834"/>
    </row>
    <row r="6" spans="1:12" ht="12.75">
      <c r="A6" s="3334"/>
      <c r="B6" s="3199"/>
      <c r="C6" s="3366"/>
      <c r="D6" s="3352"/>
      <c r="E6" s="140" t="s">
        <v>2127</v>
      </c>
      <c r="F6" s="2430"/>
      <c r="G6" s="2430"/>
      <c r="H6" s="2430"/>
      <c r="I6" s="1834"/>
    </row>
    <row r="7" spans="1:12" ht="12.75">
      <c r="A7" s="3334"/>
      <c r="B7" s="3199"/>
      <c r="C7" s="3365"/>
      <c r="D7" s="3352"/>
      <c r="E7" s="140" t="s">
        <v>2128</v>
      </c>
      <c r="F7" s="2430"/>
      <c r="G7" s="2430"/>
      <c r="H7" s="2430"/>
      <c r="I7" s="1834"/>
    </row>
    <row r="8" spans="1:12" ht="12.75">
      <c r="A8" s="3334" t="s">
        <v>2129</v>
      </c>
      <c r="B8" s="3199">
        <v>15</v>
      </c>
      <c r="C8" s="3364"/>
      <c r="D8" s="3352"/>
      <c r="E8" s="140" t="s">
        <v>2130</v>
      </c>
      <c r="F8" s="2430"/>
      <c r="G8" s="2430"/>
      <c r="H8" s="2430"/>
      <c r="I8" s="1834"/>
    </row>
    <row r="9" spans="1:12" ht="12.75">
      <c r="A9" s="3334"/>
      <c r="B9" s="3199"/>
      <c r="C9" s="3365"/>
      <c r="D9" s="3352"/>
      <c r="E9" s="140" t="s">
        <v>2131</v>
      </c>
      <c r="F9" s="2430"/>
      <c r="G9" s="2430"/>
      <c r="H9" s="2430"/>
      <c r="I9" s="1834"/>
    </row>
    <row r="10" spans="1:12" ht="12.75">
      <c r="A10" s="3334" t="s">
        <v>2132</v>
      </c>
      <c r="B10" s="3199">
        <v>15</v>
      </c>
      <c r="C10" s="3364"/>
      <c r="D10" s="3352"/>
      <c r="E10" s="140" t="s">
        <v>2133</v>
      </c>
      <c r="F10" s="2430"/>
      <c r="G10" s="2430"/>
      <c r="H10" s="2430"/>
      <c r="I10" s="1834"/>
    </row>
    <row r="11" spans="1:12" ht="12.75">
      <c r="A11" s="3334"/>
      <c r="B11" s="3199"/>
      <c r="C11" s="3365"/>
      <c r="D11" s="3352"/>
      <c r="E11" s="140" t="s">
        <v>2134</v>
      </c>
      <c r="F11" s="2430"/>
      <c r="G11" s="2430"/>
      <c r="H11" s="2430"/>
      <c r="I11" s="1834"/>
    </row>
    <row r="12" spans="1:12" ht="12.75">
      <c r="A12" s="3334" t="s">
        <v>2135</v>
      </c>
      <c r="B12" s="3199">
        <v>15</v>
      </c>
      <c r="C12" s="3364"/>
      <c r="D12" s="3352"/>
      <c r="E12" s="140" t="s">
        <v>2136</v>
      </c>
      <c r="F12" s="2430"/>
      <c r="G12" s="2430"/>
      <c r="H12" s="2430"/>
      <c r="I12" s="1834"/>
    </row>
    <row r="13" spans="1:12" ht="12.75">
      <c r="A13" s="3334"/>
      <c r="B13" s="3199"/>
      <c r="C13" s="3365"/>
      <c r="D13" s="3352"/>
      <c r="E13" s="140" t="s">
        <v>2137</v>
      </c>
      <c r="F13" s="2430"/>
      <c r="G13" s="2430"/>
      <c r="H13" s="2430"/>
      <c r="I13" s="1834"/>
    </row>
    <row r="14" spans="1:12" ht="12.75">
      <c r="A14" s="3334" t="s">
        <v>2138</v>
      </c>
      <c r="B14" s="3199">
        <v>30</v>
      </c>
      <c r="C14" s="3364">
        <v>4</v>
      </c>
      <c r="D14" s="3352">
        <v>6</v>
      </c>
      <c r="E14" s="140" t="s">
        <v>2139</v>
      </c>
      <c r="F14" s="2430"/>
      <c r="G14" s="2430"/>
      <c r="H14" s="2430"/>
      <c r="I14" s="1834"/>
    </row>
    <row r="15" spans="1:12" ht="12.75">
      <c r="A15" s="3334"/>
      <c r="B15" s="3199"/>
      <c r="C15" s="3366"/>
      <c r="D15" s="3352"/>
      <c r="E15" s="140" t="s">
        <v>2140</v>
      </c>
      <c r="F15" s="2430"/>
      <c r="G15" s="2430"/>
      <c r="H15" s="2430"/>
      <c r="I15" s="1834"/>
    </row>
    <row r="16" spans="1:12" ht="12.75">
      <c r="A16" s="3334"/>
      <c r="B16" s="3199"/>
      <c r="C16" s="3365"/>
      <c r="D16" s="3352"/>
      <c r="E16" s="140" t="s">
        <v>2141</v>
      </c>
      <c r="F16" s="2430"/>
      <c r="G16" s="2430"/>
      <c r="H16" s="2430"/>
      <c r="I16" s="1834"/>
    </row>
    <row r="17" spans="1:35" ht="15">
      <c r="A17" s="2431" t="s">
        <v>2142</v>
      </c>
      <c r="B17" s="64"/>
      <c r="C17" s="141">
        <f>SUM(C5:C16)</f>
        <v>4</v>
      </c>
      <c r="D17" s="141">
        <f>SUM(D5:D16)</f>
        <v>6</v>
      </c>
      <c r="E17" s="138"/>
      <c r="F17" s="138"/>
      <c r="G17" s="138"/>
      <c r="H17" s="138"/>
      <c r="I17" s="138"/>
      <c r="K17" s="2429"/>
      <c r="L17" s="2432" t="s">
        <v>2143</v>
      </c>
      <c r="M17" s="2432" t="s">
        <v>2144</v>
      </c>
    </row>
    <row r="18" spans="1:35" ht="15.75" thickBot="1">
      <c r="A18" s="2433" t="s">
        <v>2145</v>
      </c>
      <c r="B18" s="2434"/>
      <c r="C18" s="142">
        <f>ROUND(C17/SUM(C17:D17),2)</f>
        <v>0.4</v>
      </c>
      <c r="D18" s="142">
        <f>1-C18</f>
        <v>0.6</v>
      </c>
      <c r="E18" s="138"/>
      <c r="F18" s="138"/>
      <c r="G18" s="138"/>
      <c r="H18" s="138"/>
      <c r="I18" s="138"/>
      <c r="K18" s="2429" t="s">
        <v>2146</v>
      </c>
      <c r="L18" s="2429">
        <f>IF(C1="",'数据-汇总表'!E3,SUMIF(项目类型,C1,'数据-汇总表'!E17:E26)+SUMIF(项目类型,C1,'数据-汇总表'!I17:I26))</f>
        <v>333221.08</v>
      </c>
      <c r="M18" s="2429">
        <f>IF(C1="",'数据-汇总表'!E3,SUMIF(项目类型,C1,'数据-汇总表'!E17:E26))</f>
        <v>333221.08</v>
      </c>
    </row>
    <row r="19" spans="1:35" ht="15">
      <c r="A19" s="2435" t="s">
        <v>2147</v>
      </c>
      <c r="B19" s="2436" t="s">
        <v>2148</v>
      </c>
      <c r="C19" s="143">
        <f ca="1">SUMIF(INDIRECT("'"&amp;C4&amp;"'"&amp;"!A:A"),结果表!B19,INDIRECT("'"&amp;C4&amp;"'"&amp;"!B:B"))</f>
        <v>158390</v>
      </c>
      <c r="D19" s="144">
        <f ca="1">SUMIF(INDIRECT("'"&amp;D4&amp;"'"&amp;"!A:A"),结果表!B19,INDIRECT("'"&amp;D4&amp;"'"&amp;"!B:B"))</f>
        <v>363230</v>
      </c>
      <c r="E19" s="2435" t="s">
        <v>2149</v>
      </c>
      <c r="F19" s="2436" t="s">
        <v>2148</v>
      </c>
      <c r="G19" s="145">
        <f ca="1">ROUND(C19*$C$18+D19*$D$18,0)</f>
        <v>281294</v>
      </c>
      <c r="H19" s="2437" t="s">
        <v>2150</v>
      </c>
      <c r="I19" s="138"/>
      <c r="K19" s="2429" t="s">
        <v>2151</v>
      </c>
      <c r="L19" s="2429">
        <f>IF(C1="",'数据-汇总表'!D3,SUMIF(项目类型,C1,'数据-汇总表'!D17:D26)+SUMIF(项目类型,C1,'数据-汇总表'!H17:H27))</f>
        <v>165503</v>
      </c>
      <c r="M19" s="2429">
        <f>IF(C1="",'数据-汇总表'!D3,SUMIF(项目类型,C1,'数据-汇总表'!D17:D26))</f>
        <v>165503</v>
      </c>
    </row>
    <row r="20" spans="1:35" ht="15">
      <c r="A20" s="2438"/>
      <c r="B20" s="1250" t="s">
        <v>2152</v>
      </c>
      <c r="C20" s="146">
        <f ca="1">SUMIF(INDIRECT("'"&amp;C4&amp;"'"&amp;"!A:A"),结果表!B20,INDIRECT("'"&amp;C4&amp;"'"&amp;"!B:B"))</f>
        <v>4753</v>
      </c>
      <c r="D20" s="147">
        <f ca="1">SUMIF(INDIRECT("'"&amp;D4&amp;"'"&amp;"!A:A"),结果表!B20,INDIRECT("'"&amp;D4&amp;"'"&amp;"!B:B"))</f>
        <v>10901</v>
      </c>
      <c r="E20" s="2438"/>
      <c r="F20" s="1250" t="s">
        <v>2152</v>
      </c>
      <c r="G20" s="148">
        <f ca="1">ROUND(C20*$C$18+D20*$D$18,0)</f>
        <v>8442</v>
      </c>
      <c r="H20" s="983" t="s">
        <v>2153</v>
      </c>
      <c r="I20" s="138"/>
    </row>
    <row r="21" spans="1:35" ht="15" customHeight="1" thickBot="1">
      <c r="A21" s="1003"/>
      <c r="B21" s="2439" t="s">
        <v>2154</v>
      </c>
      <c r="C21" s="789">
        <f ca="1">ROUND(C19*10000/L19,0)</f>
        <v>9570</v>
      </c>
      <c r="D21" s="790">
        <f ca="1">ROUND(D19*10000/L19,0)</f>
        <v>21947</v>
      </c>
      <c r="E21" s="1003"/>
      <c r="F21" s="2439" t="s">
        <v>2154</v>
      </c>
      <c r="G21" s="149">
        <f ca="1">ROUND(G19*10000/L19,0)</f>
        <v>16996</v>
      </c>
      <c r="H21" s="2440" t="s">
        <v>2153</v>
      </c>
      <c r="I21" s="138"/>
    </row>
    <row r="22" spans="1:35" ht="15" thickBot="1">
      <c r="A22" s="2281" t="s">
        <v>2155</v>
      </c>
      <c r="B22" s="2441"/>
      <c r="C22" s="2442"/>
      <c r="D22" s="791">
        <f ca="1">IF(C19&lt;D19,D19/C19-1,C19/D19-1)</f>
        <v>1.2932634636025</v>
      </c>
      <c r="E22" s="138"/>
      <c r="F22" s="138"/>
      <c r="G22" s="138"/>
      <c r="H22" s="138"/>
      <c r="I22" s="138"/>
    </row>
    <row r="23" spans="1:35" ht="13.5" thickBot="1">
      <c r="A23" s="2419"/>
      <c r="B23" s="2419"/>
      <c r="C23" s="2419"/>
      <c r="D23" s="2419"/>
      <c r="E23" s="138"/>
      <c r="F23" s="138"/>
      <c r="G23" s="138"/>
      <c r="H23" s="138"/>
      <c r="I23" s="138"/>
    </row>
    <row r="24" spans="1:35" ht="14.25">
      <c r="A24" s="3373" t="s">
        <v>2156</v>
      </c>
      <c r="B24" s="2436" t="s">
        <v>2148</v>
      </c>
      <c r="C24" s="145">
        <f>IF(B30=0,0,D30)</f>
        <v>0</v>
      </c>
      <c r="D24" s="2443"/>
      <c r="E24" s="138"/>
      <c r="F24" s="138"/>
      <c r="G24" s="138"/>
      <c r="H24" s="138"/>
      <c r="I24" s="138"/>
    </row>
    <row r="25" spans="1:35" ht="14.25">
      <c r="A25" s="3374"/>
      <c r="B25" s="1250"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23"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281294</v>
      </c>
      <c r="D32" s="2450" t="s">
        <v>2163</v>
      </c>
      <c r="E32" s="138"/>
      <c r="F32" s="138"/>
      <c r="G32" s="138"/>
      <c r="H32" s="138"/>
      <c r="I32" s="138"/>
    </row>
    <row r="33" spans="1:15" ht="15">
      <c r="A33" s="960" t="s">
        <v>2164</v>
      </c>
      <c r="B33" s="2451"/>
      <c r="C33" s="2452" t="s">
        <v>3227</v>
      </c>
      <c r="D33" s="2453" t="s">
        <v>3141</v>
      </c>
      <c r="E33" s="2454" t="s">
        <v>2165</v>
      </c>
      <c r="F33" s="2455" t="str">
        <f>IF(D32="楼面单价","取值（单价）","取值（总价）")</f>
        <v>取值（总价）</v>
      </c>
      <c r="G33" s="138"/>
      <c r="H33" s="138"/>
      <c r="I33" s="138"/>
    </row>
    <row r="34" spans="1:15" ht="15">
      <c r="A34" s="2456"/>
      <c r="B34" s="2457" t="s">
        <v>2166</v>
      </c>
      <c r="C34" s="157">
        <f ca="1">IF(C33="自定义",F34,C32-C35)</f>
        <v>210689</v>
      </c>
      <c r="D34" s="1058">
        <f ca="1">IF(C33="自定义",ROUND(C34/C32,3),IF(C33="收益比率",SUMIF(INDIRECT("'"&amp;D33&amp;"'"&amp;"!b:b"),"土地收益比率",INDIRECT("'"&amp;D33&amp;"'"&amp;"!c:c")),SUMIF(INDIRECT("'"&amp;D33&amp;"'"&amp;"!b:b"),"土地成本比率",INDIRECT("'"&amp;D33&amp;"'"&amp;"!c:c"))))</f>
        <v>0.749</v>
      </c>
      <c r="E34" s="2458" t="s">
        <v>2167</v>
      </c>
      <c r="F34" s="1739"/>
      <c r="G34" s="138"/>
      <c r="H34" s="138"/>
      <c r="I34" s="138"/>
    </row>
    <row r="35" spans="1:15" ht="15.75" thickBot="1">
      <c r="A35" s="2459"/>
      <c r="B35" s="2460" t="s">
        <v>2168</v>
      </c>
      <c r="C35" s="1444">
        <f ca="1">IF(C33="自定义",F35,ROUND(C32*D35,0))</f>
        <v>70605</v>
      </c>
      <c r="D35" s="1445">
        <f ca="1">IF(C33="自定义",ROUND(C35/C32,3),IF(C33="收益比率",SUMIF(INDIRECT("'"&amp;D33&amp;"'"&amp;"!b:b"),"建筑物收益比率",INDIRECT("'"&amp;D33&amp;"'"&amp;"!c:c")),SUMIF(INDIRECT("'"&amp;D33&amp;"'"&amp;"!b:b"),"建筑物成本比率",INDIRECT("'"&amp;D33&amp;"'"&amp;"!c:c"))))</f>
        <v>0.251</v>
      </c>
      <c r="E35" s="2461" t="s">
        <v>2169</v>
      </c>
      <c r="F35" s="163"/>
      <c r="G35" s="138"/>
      <c r="H35" s="138"/>
      <c r="I35" s="138"/>
    </row>
    <row r="36" spans="1:15" ht="15.75" thickBot="1">
      <c r="A36" s="3353" t="s">
        <v>2170</v>
      </c>
      <c r="B36" s="2462" t="s">
        <v>2171</v>
      </c>
      <c r="C36" s="154"/>
      <c r="D36" s="2463"/>
      <c r="E36" s="2464"/>
      <c r="F36" s="2465"/>
      <c r="G36" s="138"/>
      <c r="H36" s="138"/>
      <c r="I36" s="138"/>
    </row>
    <row r="37" spans="1:15" ht="15.75" thickBot="1">
      <c r="A37" s="3354"/>
      <c r="B37" s="2267" t="s">
        <v>2172</v>
      </c>
      <c r="C37" s="156"/>
      <c r="D37" s="1395"/>
      <c r="E37" s="1395"/>
      <c r="F37" s="2465"/>
      <c r="G37" s="138"/>
      <c r="H37" s="138"/>
      <c r="I37" s="138"/>
    </row>
    <row r="38" spans="1:15" ht="15.75" thickBot="1">
      <c r="A38" s="3355"/>
      <c r="B38" s="2466" t="s">
        <v>2173</v>
      </c>
      <c r="C38" s="727"/>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370" t="s">
        <v>2184</v>
      </c>
      <c r="B45" s="3371"/>
      <c r="C45" s="3372"/>
      <c r="D45" s="164">
        <f ca="1">ROUND(H101*F45,0)</f>
        <v>281294</v>
      </c>
      <c r="E45" s="165" t="s">
        <v>2185</v>
      </c>
      <c r="F45" s="166">
        <v>1</v>
      </c>
      <c r="G45" s="167" t="s">
        <v>2186</v>
      </c>
      <c r="H45" s="138"/>
      <c r="I45" s="138"/>
      <c r="J45" s="3289" t="s">
        <v>2187</v>
      </c>
      <c r="K45" s="3289"/>
      <c r="L45" s="3289"/>
      <c r="M45" s="3289"/>
      <c r="N45" s="3289"/>
      <c r="O45" s="3289"/>
    </row>
    <row r="46" spans="1:15" ht="14.25" customHeight="1">
      <c r="A46" s="3367" t="s">
        <v>2188</v>
      </c>
      <c r="B46" s="3368"/>
      <c r="C46" s="3368"/>
      <c r="D46" s="3368"/>
      <c r="E46" s="3368"/>
      <c r="F46" s="3368"/>
      <c r="G46" s="3369"/>
      <c r="H46" s="2481"/>
      <c r="I46" s="168"/>
      <c r="J46" s="1812">
        <v>1</v>
      </c>
      <c r="K46" s="3289" t="s">
        <v>2189</v>
      </c>
      <c r="L46" s="3289"/>
      <c r="M46" s="3290"/>
      <c r="N46" s="3290"/>
      <c r="O46" s="3290"/>
    </row>
    <row r="47" spans="1:15" ht="12" customHeight="1">
      <c r="A47" s="169" t="s">
        <v>2190</v>
      </c>
      <c r="B47" s="170"/>
      <c r="C47" s="171"/>
      <c r="D47" s="172" t="s">
        <v>2191</v>
      </c>
      <c r="E47" s="24" t="s">
        <v>2192</v>
      </c>
      <c r="F47" s="173" t="s">
        <v>2193</v>
      </c>
      <c r="G47" s="174" t="s">
        <v>2194</v>
      </c>
      <c r="H47" s="2481"/>
      <c r="I47" s="168"/>
      <c r="J47" s="1812">
        <v>2</v>
      </c>
      <c r="K47" s="3289" t="s">
        <v>2195</v>
      </c>
      <c r="L47" s="3289"/>
      <c r="M47" s="3291">
        <f>'数据-取费表'!B2</f>
        <v>43516</v>
      </c>
      <c r="N47" s="3291"/>
      <c r="O47" s="3291"/>
    </row>
    <row r="48" spans="1:15" ht="25.5">
      <c r="A48" s="3357" t="s">
        <v>2196</v>
      </c>
      <c r="B48" s="3358"/>
      <c r="C48" s="3358"/>
      <c r="D48" s="140">
        <f>IF(H48="情况1",0,IF(H48="情况2",D52,IF(H48="情况3",D53,IF(H48="情况4",D54))))</f>
        <v>0</v>
      </c>
      <c r="E48" s="1801" t="str">
        <f>IF(H48="情况4","(销售额-原购置价)×税（费）率","销售额×税（费）率")</f>
        <v>销售额×税（费）率</v>
      </c>
      <c r="F48" s="175" t="str">
        <f>IF(H48="情况1","免征",'数据-取费表'!B41)</f>
        <v>免征</v>
      </c>
      <c r="G48" s="2482" t="s">
        <v>2197</v>
      </c>
      <c r="H48" s="2483" t="s">
        <v>2198</v>
      </c>
      <c r="I48" s="2481"/>
      <c r="J48" s="1812">
        <v>3</v>
      </c>
      <c r="K48" s="3289" t="s">
        <v>2199</v>
      </c>
      <c r="L48" s="3289"/>
      <c r="M48" s="3292">
        <f ca="1">H101</f>
        <v>281294</v>
      </c>
      <c r="N48" s="3292"/>
      <c r="O48" s="3292"/>
    </row>
    <row r="49" spans="1:35" ht="25.5" customHeight="1">
      <c r="A49" s="176" t="s">
        <v>2200</v>
      </c>
      <c r="B49" s="3337" t="s">
        <v>2201</v>
      </c>
      <c r="C49" s="3337"/>
      <c r="D49" s="177">
        <v>0</v>
      </c>
      <c r="E49" s="23" t="s">
        <v>2202</v>
      </c>
      <c r="F49" s="28" t="s">
        <v>34</v>
      </c>
      <c r="G49" s="3318"/>
      <c r="H49" s="138"/>
      <c r="I49" s="2484"/>
      <c r="J49" s="1812">
        <v>4</v>
      </c>
      <c r="K49" s="3289" t="str">
        <f>IF(项目基本情况!E8="房地产抵押价值","房地产抵押价值","抵押担保权已注销时的房地产抵押价值")</f>
        <v>房地产抵押价值</v>
      </c>
      <c r="L49" s="3289"/>
      <c r="M49" s="3292">
        <f ca="1">IF(项目基本情况!E8="房地产抵押价值",H107,H109)</f>
        <v>281294</v>
      </c>
      <c r="N49" s="3292"/>
      <c r="O49" s="3292"/>
    </row>
    <row r="50" spans="1:35" ht="25.5" customHeight="1">
      <c r="A50" s="178"/>
      <c r="B50" s="3337" t="s">
        <v>2203</v>
      </c>
      <c r="C50" s="3337"/>
      <c r="D50" s="179"/>
      <c r="E50" s="31"/>
      <c r="F50" s="180"/>
      <c r="G50" s="3319"/>
      <c r="H50" s="138"/>
      <c r="I50" s="2484"/>
      <c r="J50" s="3289" t="s">
        <v>2204</v>
      </c>
      <c r="K50" s="3289"/>
      <c r="L50" s="3289"/>
      <c r="M50" s="3289"/>
      <c r="N50" s="3289"/>
      <c r="O50" s="3289"/>
    </row>
    <row r="51" spans="1:35" ht="12" customHeight="1">
      <c r="A51" s="181"/>
      <c r="B51" s="3337" t="s">
        <v>2205</v>
      </c>
      <c r="C51" s="3337"/>
      <c r="D51" s="182"/>
      <c r="E51" s="30"/>
      <c r="F51" s="180"/>
      <c r="G51" s="3320"/>
      <c r="H51" s="138"/>
      <c r="I51" s="2484"/>
      <c r="J51" s="2485" t="s">
        <v>2206</v>
      </c>
      <c r="K51" s="3289" t="s">
        <v>2207</v>
      </c>
      <c r="L51" s="3289"/>
      <c r="M51" s="2485" t="s">
        <v>2208</v>
      </c>
      <c r="N51" s="2485" t="s">
        <v>2209</v>
      </c>
      <c r="O51" s="2485" t="s">
        <v>2210</v>
      </c>
    </row>
    <row r="52" spans="1:35" ht="24" customHeight="1">
      <c r="A52" s="183" t="s">
        <v>2211</v>
      </c>
      <c r="B52" s="3337" t="s">
        <v>2212</v>
      </c>
      <c r="C52" s="3337"/>
      <c r="D52" s="182">
        <f ca="1">ROUND(D45*'数据-取费表'!B41/(1+'数据-取费表'!C42),0)</f>
        <v>15002</v>
      </c>
      <c r="E52" s="11" t="s">
        <v>2213</v>
      </c>
      <c r="F52" s="184">
        <f>'数据-取费表'!B41</f>
        <v>5.6000000000000001E-2</v>
      </c>
      <c r="G52" s="2486"/>
      <c r="H52" s="138"/>
      <c r="I52" s="2484"/>
      <c r="J52" s="1812">
        <v>1</v>
      </c>
      <c r="K52" s="3312" t="s">
        <v>2214</v>
      </c>
      <c r="L52" s="3312"/>
      <c r="M52" s="1754">
        <f>D48</f>
        <v>0</v>
      </c>
      <c r="N52" s="1812" t="str">
        <f>E48</f>
        <v>销售额×税（费）率</v>
      </c>
      <c r="O52" s="1755" t="str">
        <f>F48</f>
        <v>免征</v>
      </c>
    </row>
    <row r="53" spans="1:35" ht="12" customHeight="1">
      <c r="A53" s="183" t="s">
        <v>2215</v>
      </c>
      <c r="B53" s="3338" t="s">
        <v>2216</v>
      </c>
      <c r="C53" s="3339"/>
      <c r="D53" s="182">
        <f ca="1">ROUND(D45*'数据-取费表'!B41/(1+'数据-取费表'!C42),0)</f>
        <v>15002</v>
      </c>
      <c r="E53" s="11" t="s">
        <v>2213</v>
      </c>
      <c r="F53" s="184">
        <f>'数据-取费表'!B41</f>
        <v>5.6000000000000001E-2</v>
      </c>
      <c r="G53" s="2486"/>
      <c r="H53" s="138"/>
      <c r="I53" s="2484"/>
      <c r="J53" s="1812">
        <v>2</v>
      </c>
      <c r="K53" s="3312" t="s">
        <v>2217</v>
      </c>
      <c r="L53" s="3312"/>
      <c r="M53" s="1754">
        <f t="shared" ref="M53:O54" ca="1" si="0">D55</f>
        <v>141</v>
      </c>
      <c r="N53" s="1812" t="str">
        <f t="shared" si="0"/>
        <v>销售额×税（费）率</v>
      </c>
      <c r="O53" s="1755">
        <f t="shared" si="0"/>
        <v>5.0000000000000001E-4</v>
      </c>
    </row>
    <row r="54" spans="1:35" ht="12" customHeight="1">
      <c r="A54" s="183" t="s">
        <v>2218</v>
      </c>
      <c r="B54" s="3338" t="s">
        <v>2219</v>
      </c>
      <c r="C54" s="3339"/>
      <c r="D54" s="182">
        <f ca="1">C68</f>
        <v>15002</v>
      </c>
      <c r="E54" s="30" t="s">
        <v>2220</v>
      </c>
      <c r="F54" s="184">
        <f>'数据-取费表'!B41</f>
        <v>5.6000000000000001E-2</v>
      </c>
      <c r="G54" s="2486"/>
      <c r="H54" s="2487"/>
      <c r="I54" s="2484"/>
      <c r="J54" s="1812">
        <v>3</v>
      </c>
      <c r="K54" s="3312" t="s">
        <v>2221</v>
      </c>
      <c r="L54" s="3312"/>
      <c r="M54" s="1754">
        <f t="shared" ca="1" si="0"/>
        <v>159213</v>
      </c>
      <c r="N54" s="1812" t="str">
        <f t="shared" si="0"/>
        <v>增值额×税（费）率</v>
      </c>
      <c r="O54" s="1756" t="str">
        <f t="shared" si="0"/>
        <v>——</v>
      </c>
    </row>
    <row r="55" spans="1:35" ht="24" customHeight="1">
      <c r="A55" s="3376" t="s">
        <v>2222</v>
      </c>
      <c r="B55" s="3358"/>
      <c r="C55" s="3358"/>
      <c r="D55" s="185">
        <f ca="1">IF(H55="个人住宅",0,ROUND(D45*I55,0))</f>
        <v>141</v>
      </c>
      <c r="E55" s="11" t="s">
        <v>2223</v>
      </c>
      <c r="F55" s="184">
        <f>IF(H55="正常",I55,"免征")</f>
        <v>5.0000000000000001E-4</v>
      </c>
      <c r="G55" s="2486"/>
      <c r="H55" s="2483" t="s">
        <v>2224</v>
      </c>
      <c r="I55" s="186">
        <f>'数据-取费表'!B49</f>
        <v>5.0000000000000001E-4</v>
      </c>
      <c r="J55" s="1812" t="str">
        <f>IF(H59="非个人房产","",4)</f>
        <v/>
      </c>
      <c r="K55" s="3312" t="str">
        <f>IF(H59="非个人房产","——","个人所得税")</f>
        <v>——</v>
      </c>
      <c r="L55" s="3312"/>
      <c r="M55" s="1757" t="str">
        <f>D59</f>
        <v>——</v>
      </c>
      <c r="N55" s="1810" t="str">
        <f>E59</f>
        <v>——</v>
      </c>
      <c r="O55" s="1758" t="str">
        <f>F59</f>
        <v>——</v>
      </c>
    </row>
    <row r="56" spans="1:35" ht="24.75">
      <c r="A56" s="3376" t="s">
        <v>2225</v>
      </c>
      <c r="B56" s="3358"/>
      <c r="C56" s="3358"/>
      <c r="D56" s="185">
        <f ca="1">IF(H56="个人住宅",D57,D58)</f>
        <v>159213</v>
      </c>
      <c r="E56" s="11" t="s">
        <v>2226</v>
      </c>
      <c r="F56" s="184" t="str">
        <f>IF(H56="正常",F58,"免征")</f>
        <v>——</v>
      </c>
      <c r="G56" s="2488" t="s">
        <v>2227</v>
      </c>
      <c r="H56" s="2489" t="s">
        <v>2224</v>
      </c>
      <c r="I56" s="2490"/>
      <c r="J56" s="1812" t="str">
        <f>IF(项目基本情况!K6="上海银行",IF(J55="",4,J55+1),"")</f>
        <v/>
      </c>
      <c r="K56" s="3295" t="str">
        <f>IF(项目基本情况!K6="上海银行","其他处置费用","")</f>
        <v/>
      </c>
      <c r="L56" s="3296"/>
      <c r="M56" s="1754" t="str">
        <f>IF(项目基本情况!K6="上海银行",M69,"")</f>
        <v/>
      </c>
      <c r="N56" s="3298" t="str">
        <f>IF(项目基本情况!K6="上海银行","包含处置中涉及的律师、诉讼、拍卖、评估等费用","")</f>
        <v/>
      </c>
      <c r="O56" s="3299"/>
    </row>
    <row r="57" spans="1:35" ht="12.75">
      <c r="A57" s="183" t="s">
        <v>2200</v>
      </c>
      <c r="B57" s="3343" t="s">
        <v>2228</v>
      </c>
      <c r="C57" s="3344"/>
      <c r="D57" s="187">
        <v>0</v>
      </c>
      <c r="E57" s="23" t="s">
        <v>2202</v>
      </c>
      <c r="F57" s="155"/>
      <c r="G57" s="2486"/>
      <c r="H57" s="2490"/>
      <c r="I57" s="2490"/>
      <c r="J57" s="3312">
        <f>IF(AND(J55="",J56=""),4,IF(项目基本情况!K6="上海银行",结果表!J56+1,结果表!J55+1))</f>
        <v>4</v>
      </c>
      <c r="K57" s="3312" t="s">
        <v>2229</v>
      </c>
      <c r="L57" s="2491" t="s">
        <v>2230</v>
      </c>
      <c r="M57" s="1759"/>
      <c r="N57" s="1760">
        <f ca="1">SUMIF(M52:M56,"&lt;9e307")</f>
        <v>159354</v>
      </c>
      <c r="O57" s="2492"/>
      <c r="P57" s="1753">
        <f ca="1">N57/M49</f>
        <v>0.56650337369442649</v>
      </c>
    </row>
    <row r="58" spans="1:35" ht="24.75">
      <c r="A58" s="183" t="s">
        <v>2211</v>
      </c>
      <c r="B58" s="3343" t="s">
        <v>2231</v>
      </c>
      <c r="C58" s="3356"/>
      <c r="D58" s="185">
        <f ca="1">IF(H58="转让取得",C81,C97)</f>
        <v>159213</v>
      </c>
      <c r="E58" s="11" t="s">
        <v>2226</v>
      </c>
      <c r="F58" s="24" t="s">
        <v>34</v>
      </c>
      <c r="G58" s="2486"/>
      <c r="H58" s="2489" t="s">
        <v>2232</v>
      </c>
      <c r="I58" s="2490"/>
      <c r="J58" s="3312"/>
      <c r="K58" s="3312"/>
      <c r="L58" s="2491" t="s">
        <v>2233</v>
      </c>
      <c r="M58" s="1761"/>
      <c r="N58" s="2493" t="str">
        <f ca="1">NUMBERSTRING(INT(N57*10000),2)&amp;"元整"</f>
        <v>壹拾伍亿玖仟叁佰伍拾肆万元整</v>
      </c>
      <c r="O58" s="2494"/>
    </row>
    <row r="59" spans="1:35" ht="24.75" thickBot="1">
      <c r="A59" s="3316" t="s">
        <v>2234</v>
      </c>
      <c r="B59" s="3317"/>
      <c r="C59" s="3317"/>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314">
        <f>J57+1</f>
        <v>5</v>
      </c>
      <c r="K59" s="3312" t="s">
        <v>2236</v>
      </c>
      <c r="L59" s="1812" t="s">
        <v>2230</v>
      </c>
      <c r="M59" s="1762"/>
      <c r="N59" s="1763">
        <f ca="1">M49-N57</f>
        <v>121940</v>
      </c>
      <c r="O59" s="2496"/>
    </row>
    <row r="60" spans="1:35" ht="12" customHeight="1">
      <c r="A60" s="2497"/>
      <c r="B60" s="2419"/>
      <c r="C60" s="2419"/>
      <c r="D60" s="2419"/>
      <c r="E60" s="2167"/>
      <c r="F60" s="2490"/>
      <c r="G60" s="2490"/>
      <c r="H60" s="2498"/>
      <c r="I60" s="138"/>
      <c r="J60" s="3315"/>
      <c r="K60" s="3312"/>
      <c r="L60" s="2491" t="s">
        <v>2233</v>
      </c>
      <c r="M60" s="1761"/>
      <c r="N60" s="2493" t="str">
        <f ca="1">NUMBERSTRING(INT(N59*10000),2)&amp;"元整"</f>
        <v>壹拾贰亿壹仟玖佰肆拾万元整</v>
      </c>
      <c r="O60" s="2494"/>
    </row>
    <row r="61" spans="1:35" ht="13.5" thickBot="1">
      <c r="A61" s="3375" t="s">
        <v>2237</v>
      </c>
      <c r="B61" s="3375"/>
      <c r="C61" s="3375"/>
      <c r="D61" s="3375"/>
      <c r="E61" s="3375"/>
      <c r="F61" s="2490"/>
      <c r="G61" s="2490"/>
      <c r="H61" s="2498"/>
      <c r="I61" s="138"/>
      <c r="J61" s="1812">
        <f>J59+1</f>
        <v>6</v>
      </c>
      <c r="K61" s="3312" t="s">
        <v>2238</v>
      </c>
      <c r="L61" s="3312"/>
      <c r="M61" s="1764"/>
      <c r="N61" s="1765">
        <f ca="1">ROUND(N59*10000/'数据-汇总表'!E3,0)</f>
        <v>3659</v>
      </c>
      <c r="O61" s="2499"/>
    </row>
    <row r="62" spans="1:35" ht="12.75">
      <c r="A62" s="3332" t="s">
        <v>2239</v>
      </c>
      <c r="B62" s="3333"/>
      <c r="C62" s="1804"/>
      <c r="D62" s="1804" t="s">
        <v>2240</v>
      </c>
      <c r="E62" s="192" t="s">
        <v>2241</v>
      </c>
      <c r="F62" s="2490"/>
      <c r="G62" s="2490"/>
      <c r="H62" s="2498"/>
      <c r="I62" s="138"/>
    </row>
    <row r="63" spans="1:35" ht="12.75">
      <c r="A63" s="203" t="s">
        <v>775</v>
      </c>
      <c r="B63" s="193" t="s">
        <v>2242</v>
      </c>
      <c r="C63" s="194">
        <f ca="1">ROUND((C64+C65)/(1+'数据-取费表'!C42),0)</f>
        <v>267899</v>
      </c>
      <c r="D63" s="195"/>
      <c r="E63" s="196"/>
      <c r="F63" s="2490"/>
      <c r="G63" s="2490"/>
      <c r="H63" s="2498"/>
      <c r="I63" s="138"/>
      <c r="J63" s="3297" t="s">
        <v>2243</v>
      </c>
      <c r="K63" s="2500" t="s">
        <v>2244</v>
      </c>
      <c r="L63" s="1752">
        <f ca="1">IF(M49&gt;10000,M49*0.5%,IF(AND(M49&gt;1000,M49&lt;=10000),M49*1%,IF(AND(M49&gt;100,M49&lt;=1000),M49*3%,IF(AND(M49&gt;10,M49&lt;=100),M49*5%,M49*8%))))</f>
        <v>1406.47</v>
      </c>
      <c r="M63" s="24">
        <f ca="1">ROUND(L63,1)</f>
        <v>1406.5</v>
      </c>
      <c r="Z63" s="2424"/>
      <c r="AI63" s="2425"/>
    </row>
    <row r="64" spans="1:35" ht="14.25" customHeight="1">
      <c r="A64" s="197" t="s">
        <v>770</v>
      </c>
      <c r="B64" s="198" t="s">
        <v>2245</v>
      </c>
      <c r="C64" s="199">
        <f ca="1">D45</f>
        <v>281294</v>
      </c>
      <c r="D64" s="200" t="s">
        <v>32</v>
      </c>
      <c r="E64" s="201"/>
      <c r="F64" s="2490"/>
      <c r="G64" s="2490"/>
      <c r="H64" s="2498"/>
      <c r="I64" s="138"/>
      <c r="J64" s="3297"/>
      <c r="K64" s="2500" t="s">
        <v>2246</v>
      </c>
      <c r="L64" s="1752">
        <f ca="1">IF(M49&gt;2000,M49*0.5%,IF(AND(M49&gt;1000,M49&lt;=2000),M49*0.6%,IF(AND(M49&gt;500,M49&lt;=1000),M49*0.7%,IF(AND(M49&gt;200,M49&lt;=500),M49*0.8%,IF(AND(M49&gt;100,M49&lt;=200),M49*0.9%,IF(AND(M49&gt;50,M49&lt;=100),M49*1%,IF(AND(M49&gt;20,M49&lt;=50),M49*1.5%,IF(AND(M49&gt;10,M49&lt;=20),M49*2%,IF(AND(M49&gt;1,M49&lt;=10),M49*2.5%)))))))))</f>
        <v>1406.47</v>
      </c>
      <c r="M64" s="24">
        <f t="shared" ref="M64:M65" ca="1" si="1">ROUND(L64,1)</f>
        <v>1406.5</v>
      </c>
      <c r="N64" s="138" t="s">
        <v>2247</v>
      </c>
      <c r="Z64" s="2424"/>
      <c r="AI64" s="2425"/>
    </row>
    <row r="65" spans="1:35" ht="14.25" customHeight="1">
      <c r="A65" s="197" t="s">
        <v>771</v>
      </c>
      <c r="B65" s="198" t="s">
        <v>2248</v>
      </c>
      <c r="C65" s="202"/>
      <c r="D65" s="200"/>
      <c r="E65" s="201"/>
      <c r="F65" s="2490"/>
      <c r="G65" s="2490"/>
      <c r="H65" s="2498"/>
      <c r="I65" s="138"/>
      <c r="J65" s="3297"/>
      <c r="K65" s="2500" t="s">
        <v>2249</v>
      </c>
      <c r="L65" s="1752">
        <f ca="1">IF(M49&gt;1000,M49*0.1%,IF(AND(M49&gt;500,M49&lt;=1000),M49*0.5%,IF(AND(M49&gt;50,M49&lt;=500),M49*1%,IF(AND(M49&gt;1,M49&lt;=50),M49*1.5%))))</f>
        <v>281.29399999999998</v>
      </c>
      <c r="M65" s="24">
        <f t="shared" ca="1" si="1"/>
        <v>281.3</v>
      </c>
      <c r="N65" s="138" t="s">
        <v>2247</v>
      </c>
      <c r="Z65" s="2424"/>
      <c r="AI65" s="2425"/>
    </row>
    <row r="66" spans="1:35" ht="14.25" customHeight="1">
      <c r="A66" s="203" t="s">
        <v>772</v>
      </c>
      <c r="B66" s="204" t="s">
        <v>2250</v>
      </c>
      <c r="C66" s="205"/>
      <c r="D66" s="206" t="s">
        <v>32</v>
      </c>
      <c r="E66" s="1776" t="s">
        <v>1367</v>
      </c>
      <c r="F66" s="2490"/>
      <c r="G66" s="2490"/>
      <c r="H66" s="2498"/>
      <c r="I66" s="138"/>
      <c r="J66" s="3297"/>
      <c r="K66" s="2500" t="s">
        <v>2251</v>
      </c>
      <c r="L66" s="1752">
        <f ca="1">M49*0.5%</f>
        <v>1406.47</v>
      </c>
      <c r="M66" s="24">
        <f ca="1">IF(L66&gt;0.5,0.5,ROUND(L66,0))</f>
        <v>0.5</v>
      </c>
      <c r="N66" s="138" t="s">
        <v>2252</v>
      </c>
      <c r="Z66" s="2424"/>
      <c r="AI66" s="2425"/>
    </row>
    <row r="67" spans="1:35" ht="14.25" customHeight="1">
      <c r="A67" s="203" t="s">
        <v>773</v>
      </c>
      <c r="B67" s="204" t="s">
        <v>2253</v>
      </c>
      <c r="C67" s="207">
        <f ca="1">C63-C66</f>
        <v>267899</v>
      </c>
      <c r="D67" s="200" t="s">
        <v>32</v>
      </c>
      <c r="E67" s="201"/>
      <c r="F67" s="2490"/>
      <c r="G67" s="2490"/>
      <c r="H67" s="2498"/>
      <c r="I67" s="138"/>
      <c r="J67" s="3297"/>
      <c r="K67" s="2500" t="s">
        <v>2254</v>
      </c>
      <c r="L67" s="1752">
        <f ca="1">IF(M49&gt;=10000,(8.25+(M49-10000)*0.01%),IF(AND(M49&gt;=8000,M49&lt;10000),(7.85+(M49-8000)*0.02%),IF(AND(M49&gt;=5000,M49&lt;8000),(6.65+(M49-5000)*0.04%),IF(AND(M49&gt;=2000,M49&lt;5000),(4.25+(PM49-2000)*0.08%),IF(AND(M49&gt;=1000,M49&lt;2000),(2.75+(M49-1000)*0.15%),IF(AND(M49&gt;=100,M49&lt;1000),(0.5+(M49-100)*0.25%),IF(AND(M49&gt;0,M49&lt;100),M49*0.5%)))))))</f>
        <v>35.379400000000004</v>
      </c>
      <c r="M67" s="24">
        <f ca="1">ROUND(L67*0.9,1)</f>
        <v>31.8</v>
      </c>
      <c r="Z67" s="2424"/>
      <c r="AI67" s="2425"/>
    </row>
    <row r="68" spans="1:35" ht="14.25" customHeight="1" thickBot="1">
      <c r="A68" s="208" t="s">
        <v>774</v>
      </c>
      <c r="B68" s="209" t="s">
        <v>2255</v>
      </c>
      <c r="C68" s="210">
        <f ca="1">IF(C67&lt;=0,0,ROUND(C67*D68,0))</f>
        <v>15002</v>
      </c>
      <c r="D68" s="211">
        <f>'数据-取费表'!B41</f>
        <v>5.6000000000000001E-2</v>
      </c>
      <c r="E68" s="212"/>
      <c r="F68" s="2490"/>
      <c r="G68" s="2490"/>
      <c r="H68" s="2498"/>
      <c r="I68" s="138"/>
      <c r="J68" s="3297"/>
      <c r="K68" s="2500" t="s">
        <v>2256</v>
      </c>
      <c r="L68" s="1752">
        <f ca="1">IF(M49&gt;10000,M49*0.5%,IF(AND(M49&gt;5000,M49&lt;=10000),M49*1%,IF(AND(M49&gt;1000,M49&lt;=5000),M49*2%,IF(AND(M49&gt;200,M49&lt;=1000),M49*3%,M49*5%))))</f>
        <v>1406.47</v>
      </c>
      <c r="M68" s="24">
        <f ca="1">ROUND(L68,1)</f>
        <v>1406.5</v>
      </c>
      <c r="Z68" s="2424"/>
      <c r="AI68" s="2425"/>
    </row>
    <row r="69" spans="1:35" s="2447" customFormat="1" ht="16.5" customHeight="1">
      <c r="A69" s="2501"/>
      <c r="B69" s="2502"/>
      <c r="C69" s="2503"/>
      <c r="D69" s="2504"/>
      <c r="E69" s="2505"/>
      <c r="F69" s="2167"/>
      <c r="G69" s="2167"/>
      <c r="H69" s="2166"/>
      <c r="I69" s="2419"/>
      <c r="J69" s="3297"/>
      <c r="K69" s="2500" t="s">
        <v>2257</v>
      </c>
      <c r="L69" s="2506"/>
      <c r="M69" s="24">
        <f ca="1">ROUND(SUM(M63:M68),0)</f>
        <v>4533</v>
      </c>
      <c r="N69" s="1753">
        <f ca="1">M69/M49</f>
        <v>1.6114812260481916E-2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341" t="s">
        <v>2258</v>
      </c>
      <c r="B70" s="3342"/>
      <c r="C70" s="3342"/>
      <c r="D70" s="3342"/>
      <c r="E70" s="3342"/>
      <c r="F70" s="3342"/>
      <c r="G70" s="3342"/>
      <c r="H70" s="3342"/>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332" t="s">
        <v>2239</v>
      </c>
      <c r="B71" s="3333"/>
      <c r="C71" s="1804"/>
      <c r="D71" s="1804"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267899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1607</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338" t="s">
        <v>2267</v>
      </c>
      <c r="F76" s="3337"/>
      <c r="G76" s="3337"/>
      <c r="H76" s="3340"/>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4" t="s">
        <v>2270</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1607</v>
      </c>
      <c r="D78" s="226">
        <f>'数据-取费表'!B43</f>
        <v>6.000000000000001E-3</v>
      </c>
      <c r="E78" s="3329" t="s">
        <v>2272</v>
      </c>
      <c r="F78" s="3330"/>
      <c r="G78" s="3330"/>
      <c r="H78" s="3331"/>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266292</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165.70752955818296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159213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341" t="s">
        <v>2276</v>
      </c>
      <c r="B83" s="3342"/>
      <c r="C83" s="3342"/>
      <c r="D83" s="3342"/>
      <c r="E83" s="3342"/>
      <c r="F83" s="3342"/>
      <c r="G83" s="3342"/>
      <c r="H83" s="3342"/>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332" t="s">
        <v>2239</v>
      </c>
      <c r="B84" s="3333"/>
      <c r="C84" s="1804"/>
      <c r="D84" s="1804"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267899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1607</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1800"/>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329" t="s">
        <v>2285</v>
      </c>
      <c r="F91" s="3330"/>
      <c r="G91" s="3330"/>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329" t="s">
        <v>2289</v>
      </c>
      <c r="F92" s="3330"/>
      <c r="G92" s="3330"/>
      <c r="H92" s="3331"/>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1607</v>
      </c>
      <c r="D93" s="226">
        <f>'数据-取费表'!B43</f>
        <v>6.000000000000001E-3</v>
      </c>
      <c r="E93" s="3329" t="s">
        <v>2272</v>
      </c>
      <c r="F93" s="3330"/>
      <c r="G93" s="3330"/>
      <c r="H93" s="3331"/>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377" t="s">
        <v>2293</v>
      </c>
      <c r="F94" s="3378"/>
      <c r="G94" s="3378"/>
      <c r="H94" s="3379"/>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266292</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165.70752955818296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159213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2294</v>
      </c>
      <c r="B99" s="2419"/>
      <c r="C99" s="2419"/>
      <c r="D99" s="2419"/>
      <c r="E99" s="2167"/>
      <c r="F99" s="2167"/>
      <c r="G99" s="2167"/>
      <c r="H99" s="2166"/>
      <c r="I99" s="138"/>
    </row>
    <row r="100" spans="1:35" ht="18.75" customHeight="1">
      <c r="A100" s="3281" t="s">
        <v>2295</v>
      </c>
      <c r="B100" s="3282"/>
      <c r="C100" s="3282"/>
      <c r="D100" s="3313"/>
      <c r="E100" s="3282" t="s">
        <v>2296</v>
      </c>
      <c r="F100" s="3282"/>
      <c r="G100" s="3282"/>
      <c r="H100" s="3313"/>
      <c r="I100" s="138"/>
    </row>
    <row r="101" spans="1:35" ht="18.75" customHeight="1">
      <c r="A101" s="3321" t="s">
        <v>2297</v>
      </c>
      <c r="B101" s="3322"/>
      <c r="C101" s="736" t="str">
        <f>C4</f>
        <v>成本法</v>
      </c>
      <c r="D101" s="737" t="str">
        <f>D4</f>
        <v>假设开发法</v>
      </c>
      <c r="E101" s="3293" t="s">
        <v>2298</v>
      </c>
      <c r="F101" s="3294"/>
      <c r="G101" s="2521" t="s">
        <v>2299</v>
      </c>
      <c r="H101" s="1048">
        <f ca="1">H118</f>
        <v>281294</v>
      </c>
      <c r="I101" s="138"/>
    </row>
    <row r="102" spans="1:35" ht="18.75" customHeight="1">
      <c r="A102" s="3323" t="s">
        <v>2300</v>
      </c>
      <c r="B102" s="2521" t="s">
        <v>2299</v>
      </c>
      <c r="C102" s="736">
        <f ca="1">C19</f>
        <v>158390</v>
      </c>
      <c r="D102" s="737">
        <f ca="1">D19</f>
        <v>363230</v>
      </c>
      <c r="E102" s="3293"/>
      <c r="F102" s="3294"/>
      <c r="G102" s="2521" t="s">
        <v>2301</v>
      </c>
      <c r="H102" s="371">
        <f ca="1">I118</f>
        <v>8442</v>
      </c>
      <c r="I102" s="138"/>
    </row>
    <row r="103" spans="1:35" ht="42.75" customHeight="1">
      <c r="A103" s="3323"/>
      <c r="B103" s="2521" t="s">
        <v>2301</v>
      </c>
      <c r="C103" s="738">
        <f ca="1">C20</f>
        <v>4753</v>
      </c>
      <c r="D103" s="739">
        <f ca="1">D20</f>
        <v>10901</v>
      </c>
      <c r="E103" s="3287" t="s">
        <v>2302</v>
      </c>
      <c r="F103" s="3288"/>
      <c r="G103" s="2522" t="s">
        <v>2303</v>
      </c>
      <c r="H103" s="1048">
        <f>IF(D36="正常操作",H104+H105+H106,H105+H106)</f>
        <v>0</v>
      </c>
      <c r="I103" s="138"/>
    </row>
    <row r="104" spans="1:35" ht="18.75" customHeight="1">
      <c r="A104" s="3323" t="s">
        <v>2304</v>
      </c>
      <c r="B104" s="2523" t="s">
        <v>2299</v>
      </c>
      <c r="C104" s="740">
        <f ca="1">H118</f>
        <v>281294</v>
      </c>
      <c r="D104" s="741"/>
      <c r="E104" s="2267" t="s">
        <v>2305</v>
      </c>
      <c r="F104" s="2259"/>
      <c r="G104" s="2522" t="s">
        <v>2303</v>
      </c>
      <c r="H104" s="1049">
        <f>IF(D36="同一抵押权人同一抵押物续贷",C36&amp;"（未扣减，详见特别提示）",C36)</f>
        <v>0</v>
      </c>
      <c r="I104" s="138"/>
    </row>
    <row r="105" spans="1:35" ht="18.75" customHeight="1" thickBot="1">
      <c r="A105" s="3335"/>
      <c r="B105" s="2524" t="s">
        <v>2301</v>
      </c>
      <c r="C105" s="742">
        <f ca="1">I118</f>
        <v>8442</v>
      </c>
      <c r="D105" s="743"/>
      <c r="E105" s="2267" t="s">
        <v>2306</v>
      </c>
      <c r="F105" s="2259"/>
      <c r="G105" s="2522" t="s">
        <v>2303</v>
      </c>
      <c r="H105" s="1049">
        <f>C37</f>
        <v>0</v>
      </c>
      <c r="I105" s="138"/>
    </row>
    <row r="106" spans="1:35" ht="18.75" customHeight="1">
      <c r="A106" s="2419" t="s">
        <v>2307</v>
      </c>
      <c r="B106" s="2419"/>
      <c r="C106" s="2419"/>
      <c r="D106" s="2419"/>
      <c r="E106" s="2525" t="s">
        <v>2308</v>
      </c>
      <c r="F106" s="2259"/>
      <c r="G106" s="2522" t="s">
        <v>2303</v>
      </c>
      <c r="H106" s="1049">
        <f>C38</f>
        <v>0</v>
      </c>
      <c r="I106" s="138"/>
    </row>
    <row r="107" spans="1:35" ht="18.75" customHeight="1">
      <c r="A107" s="138"/>
      <c r="B107" s="138"/>
      <c r="C107" s="138"/>
      <c r="D107" s="138"/>
      <c r="E107" s="3324" t="str">
        <f>IF(项目基本情况!E8="已注销","——","3.房地产抵押价值")</f>
        <v>3.房地产抵押价值</v>
      </c>
      <c r="F107" s="3294"/>
      <c r="G107" s="2521" t="s">
        <v>2299</v>
      </c>
      <c r="H107" s="1048">
        <f ca="1">IF(E107="——","——",H101-H103)</f>
        <v>281294</v>
      </c>
      <c r="I107" s="138"/>
    </row>
    <row r="108" spans="1:35" ht="18.75" customHeight="1">
      <c r="A108" s="138"/>
      <c r="B108" s="138"/>
      <c r="C108" s="138"/>
      <c r="D108" s="138"/>
      <c r="E108" s="3324"/>
      <c r="F108" s="3294"/>
      <c r="G108" s="2521" t="s">
        <v>2301</v>
      </c>
      <c r="H108" s="371">
        <f ca="1">ROUND(H107*10000/'数据-汇总表'!E3,0)</f>
        <v>8442</v>
      </c>
      <c r="I108" s="138"/>
    </row>
    <row r="109" spans="1:35" ht="18.75" customHeight="1">
      <c r="A109" s="138"/>
      <c r="B109" s="138"/>
      <c r="C109" s="138"/>
      <c r="D109" s="138"/>
      <c r="E109" s="3324" t="str">
        <f>IF(项目基本情况!E8="已注销及未注销","4.抵押担保权已注销时的房地产抵押价值",IF(项目基本情况!E8="已注销","3.抵押担保权已注销时的房地产抵押价值","——"))</f>
        <v>——</v>
      </c>
      <c r="F109" s="3294"/>
      <c r="G109" s="2521" t="s">
        <v>2299</v>
      </c>
      <c r="H109" s="348" t="str">
        <f>IF(E109="——","——",H101-H105-H106)</f>
        <v>——</v>
      </c>
      <c r="I109" s="138"/>
    </row>
    <row r="110" spans="1:35" ht="18.75" customHeight="1">
      <c r="A110" s="138"/>
      <c r="B110" s="138"/>
      <c r="C110" s="138"/>
      <c r="D110" s="138"/>
      <c r="E110" s="3324"/>
      <c r="F110" s="3294"/>
      <c r="G110" s="2521" t="s">
        <v>2301</v>
      </c>
      <c r="H110" s="371" t="str">
        <f>IF(H109="——","——",ROUND(H109*10000/'数据-汇总表'!E3,0))</f>
        <v>——</v>
      </c>
      <c r="I110" s="138"/>
    </row>
    <row r="111" spans="1:35" ht="18.75" customHeight="1">
      <c r="A111" s="138"/>
      <c r="B111" s="138"/>
      <c r="C111" s="138"/>
      <c r="D111" s="138"/>
      <c r="E111" s="3325" t="str">
        <f>IF(项目基本情况!E9="抵押净值",IF(OR(项目基本情况!E8="已注销",项目基本情况!E8="房地产抵押价值"),"4.抵押净值","5.抵押净值"),"——")</f>
        <v>——</v>
      </c>
      <c r="F111" s="3326"/>
      <c r="G111" s="2521" t="s">
        <v>2299</v>
      </c>
      <c r="H111" s="1048" t="str">
        <f>IF(E111="——","——",N59)</f>
        <v>——</v>
      </c>
      <c r="I111" s="138"/>
    </row>
    <row r="112" spans="1:35" ht="18.75" customHeight="1" thickBot="1">
      <c r="A112" s="138"/>
      <c r="B112" s="138"/>
      <c r="C112" s="138"/>
      <c r="D112" s="138"/>
      <c r="E112" s="3327"/>
      <c r="F112" s="3328"/>
      <c r="G112" s="2526" t="s">
        <v>2301</v>
      </c>
      <c r="H112" s="790" t="str">
        <f>IF(E111="——","——",N61)</f>
        <v>——</v>
      </c>
      <c r="I112" s="138"/>
    </row>
    <row r="113" spans="1:11" ht="18.75" customHeight="1">
      <c r="A113" s="138"/>
      <c r="B113" s="138"/>
      <c r="C113" s="138"/>
      <c r="D113" s="138"/>
      <c r="E113" s="3336" t="s">
        <v>2307</v>
      </c>
      <c r="F113" s="3336"/>
      <c r="G113" s="3336"/>
      <c r="H113" s="3336"/>
      <c r="I113" s="138"/>
    </row>
    <row r="114" spans="1:11" ht="3.75" customHeight="1">
      <c r="A114" s="2419"/>
      <c r="B114" s="2419"/>
      <c r="C114" s="2419"/>
      <c r="D114" s="2419"/>
      <c r="E114" s="2497"/>
      <c r="F114" s="2497"/>
      <c r="G114" s="2497"/>
      <c r="H114" s="2497"/>
      <c r="I114" s="2419"/>
    </row>
    <row r="115" spans="1:11" ht="18.75" customHeight="1">
      <c r="A115" s="3349" t="s">
        <v>2309</v>
      </c>
      <c r="B115" s="3350"/>
      <c r="C115" s="3350"/>
      <c r="D115" s="3350"/>
      <c r="E115" s="3350"/>
      <c r="F115" s="3350"/>
      <c r="G115" s="3350"/>
      <c r="H115" s="3350"/>
      <c r="I115" s="3351"/>
    </row>
    <row r="116" spans="1:11" ht="27" customHeight="1">
      <c r="A116" s="3199" t="s">
        <v>2310</v>
      </c>
      <c r="B116" s="3303" t="s">
        <v>2311</v>
      </c>
      <c r="C116" s="3303" t="s">
        <v>2312</v>
      </c>
      <c r="D116" s="3309" t="s">
        <v>2313</v>
      </c>
      <c r="E116" s="3310"/>
      <c r="F116" s="3345" t="s">
        <v>2314</v>
      </c>
      <c r="G116" s="3345"/>
      <c r="H116" s="3199" t="s">
        <v>2315</v>
      </c>
      <c r="I116" s="3199"/>
    </row>
    <row r="117" spans="1:11" ht="18.75" customHeight="1">
      <c r="A117" s="3199"/>
      <c r="B117" s="3304"/>
      <c r="C117" s="3304"/>
      <c r="D117" s="1798" t="s">
        <v>2316</v>
      </c>
      <c r="E117" s="1798" t="s">
        <v>2317</v>
      </c>
      <c r="F117" s="1798" t="s">
        <v>2316</v>
      </c>
      <c r="G117" s="1798" t="s">
        <v>2318</v>
      </c>
      <c r="H117" s="1798" t="s">
        <v>2316</v>
      </c>
      <c r="I117" s="1798" t="s">
        <v>2318</v>
      </c>
    </row>
    <row r="118" spans="1:11" ht="24.75" customHeight="1">
      <c r="A118" s="2527" t="str">
        <f>项目基本情况!S2</f>
        <v>河北省崇礼县太子城出让国有建设用地使用权及在建建筑物房地产</v>
      </c>
      <c r="B118" s="1798">
        <f>M18</f>
        <v>333221.08</v>
      </c>
      <c r="C118" s="1798">
        <f>M19</f>
        <v>165503</v>
      </c>
      <c r="D118" s="1798">
        <f ca="1">ROUND(IF(D32="总价",C34,E118*B118/10000),0)</f>
        <v>210689</v>
      </c>
      <c r="E118" s="1798">
        <f ca="1">ROUND(IF(C33="自定义",IF(D32="楼面单价",C34,D118*10000/B118),I118-G118),0)</f>
        <v>6323</v>
      </c>
      <c r="F118" s="1798">
        <f ca="1">ROUND(IF(D32="总价",C35,G118*B118/10000),0)</f>
        <v>70605</v>
      </c>
      <c r="G118" s="1798">
        <f ca="1">ROUND(IF(D32="楼面单价",C35,F118*10000/B118),0)</f>
        <v>2119</v>
      </c>
      <c r="H118" s="1798">
        <f ca="1">ROUND(IF(D32="总价",C32,I118*B118/10000),0)</f>
        <v>281294</v>
      </c>
      <c r="I118" s="1798">
        <f ca="1">ROUND(IF(D32="楼面单价",C32,H118*10000/B118),0)</f>
        <v>8442</v>
      </c>
    </row>
    <row r="119" spans="1:11" ht="18.75" customHeight="1">
      <c r="A119" s="3199" t="s">
        <v>2319</v>
      </c>
      <c r="B119" s="3199"/>
      <c r="C119" s="3199"/>
      <c r="D119" s="3305" t="str">
        <f ca="1">NUMBERSTRING(INT(D118*10000),2)&amp;"元整"</f>
        <v>贰拾壹亿零陆佰捌拾玖万元整</v>
      </c>
      <c r="E119" s="3306"/>
      <c r="F119" s="3305" t="str">
        <f ca="1">NUMBERSTRING(INT(F118*10000),2)&amp;"元整"</f>
        <v>柒亿零陆佰零伍万元整</v>
      </c>
      <c r="G119" s="3306"/>
      <c r="H119" s="3305" t="str">
        <f ca="1">NUMBERSTRING(INT(H118*10000),2)&amp;"元整"</f>
        <v>贰拾捌亿壹仟贰佰玖拾肆万元整</v>
      </c>
      <c r="I119" s="3306"/>
    </row>
    <row r="120" spans="1:11" ht="18.75" customHeight="1">
      <c r="A120" s="3300" t="str">
        <f>IF(项目基本情况!B9="房地产市场价值","",MID(E103,3,LEN(E103)-2))</f>
        <v>估价师知悉的法定优先受偿款</v>
      </c>
      <c r="B120" s="3301"/>
      <c r="C120" s="3302"/>
      <c r="D120" s="3300">
        <f>H103</f>
        <v>0</v>
      </c>
      <c r="E120" s="3301"/>
      <c r="F120" s="3301"/>
      <c r="G120" s="3301"/>
      <c r="H120" s="3301"/>
      <c r="I120" s="3302"/>
      <c r="K120" s="2424" t="str">
        <f>IF(D120=0,"故，本次评估不存在"&amp;A120,"故，本次评估"&amp;A120&amp;"为人民币"&amp;D120&amp;"万元整。")</f>
        <v>故，本次评估不存在估价师知悉的法定优先受偿款</v>
      </c>
    </row>
    <row r="121" spans="1:11" ht="18.75" customHeight="1">
      <c r="A121" s="3346" t="s">
        <v>2319</v>
      </c>
      <c r="B121" s="3347"/>
      <c r="C121" s="3348"/>
      <c r="D121" s="3305" t="str">
        <f>IF(D120=0,"零元整",NUMBERSTRING(INT(D120*10000),2)&amp;"元整")</f>
        <v>零元整</v>
      </c>
      <c r="E121" s="3307"/>
      <c r="F121" s="3307"/>
      <c r="G121" s="3307"/>
      <c r="H121" s="3307"/>
      <c r="I121" s="3306"/>
    </row>
    <row r="122" spans="1:11" ht="18.75" customHeight="1">
      <c r="A122" s="3311" t="str">
        <f>IF(项目基本情况!B9="房地产市场价值","",MID(E107,3,LEN(E107)-2))</f>
        <v>房地产抵押价值</v>
      </c>
      <c r="B122" s="3311"/>
      <c r="C122" s="3311"/>
      <c r="D122" s="3300">
        <f ca="1">H107</f>
        <v>281294</v>
      </c>
      <c r="E122" s="3301"/>
      <c r="F122" s="3301"/>
      <c r="G122" s="3301"/>
      <c r="H122" s="3301"/>
      <c r="I122" s="3302"/>
    </row>
    <row r="123" spans="1:11" ht="18.75" customHeight="1">
      <c r="A123" s="3199" t="s">
        <v>2319</v>
      </c>
      <c r="B123" s="3199"/>
      <c r="C123" s="3199"/>
      <c r="D123" s="3305" t="str">
        <f ca="1">NUMBERSTRING(INT(D122*10000),2)&amp;"元整"</f>
        <v>贰拾捌亿壹仟贰佰玖拾肆万元整</v>
      </c>
      <c r="E123" s="3307"/>
      <c r="F123" s="3307"/>
      <c r="G123" s="3307"/>
      <c r="H123" s="3307"/>
      <c r="I123" s="3306"/>
    </row>
    <row r="124" spans="1:11" ht="18.75" customHeight="1">
      <c r="A124" s="3311" t="str">
        <f>IF(项目基本情况!B9="房地产市场价值","",MID(E109,3,LEN(E109)-2))</f>
        <v/>
      </c>
      <c r="B124" s="3311"/>
      <c r="C124" s="3311"/>
      <c r="D124" s="3300" t="str">
        <f>H109</f>
        <v>——</v>
      </c>
      <c r="E124" s="3301"/>
      <c r="F124" s="3301"/>
      <c r="G124" s="3301"/>
      <c r="H124" s="3301"/>
      <c r="I124" s="3302"/>
    </row>
    <row r="125" spans="1:11" ht="18.75" customHeight="1">
      <c r="A125" s="3199" t="s">
        <v>2319</v>
      </c>
      <c r="B125" s="3199"/>
      <c r="C125" s="3199"/>
      <c r="D125" s="3305" t="e">
        <f>NUMBERSTRING(INT(D124*10000),2)&amp;"元整"</f>
        <v>#VALUE!</v>
      </c>
      <c r="E125" s="3307"/>
      <c r="F125" s="3307"/>
      <c r="G125" s="3307"/>
      <c r="H125" s="3307"/>
      <c r="I125" s="3306"/>
    </row>
    <row r="126" spans="1:11" ht="18.75" customHeight="1">
      <c r="A126" s="3311" t="str">
        <f>IF(项目基本情况!B9="房地产市场价值","",MID(E111,3,LEN(E111)-2))</f>
        <v/>
      </c>
      <c r="B126" s="3311"/>
      <c r="C126" s="3311"/>
      <c r="D126" s="3300" t="str">
        <f>H111</f>
        <v>——</v>
      </c>
      <c r="E126" s="3301"/>
      <c r="F126" s="3301"/>
      <c r="G126" s="3301"/>
      <c r="H126" s="3301"/>
      <c r="I126" s="3302"/>
    </row>
    <row r="127" spans="1:11" ht="18.75" customHeight="1">
      <c r="A127" s="3199" t="s">
        <v>2319</v>
      </c>
      <c r="B127" s="3199"/>
      <c r="C127" s="3199"/>
      <c r="D127" s="3305" t="e">
        <f>NUMBERSTRING(INT(D126*10000),2)&amp;"元整"</f>
        <v>#VALUE!</v>
      </c>
      <c r="E127" s="3307"/>
      <c r="F127" s="3307"/>
      <c r="G127" s="3307"/>
      <c r="H127" s="3307"/>
      <c r="I127" s="3306"/>
    </row>
    <row r="128" spans="1:11" ht="21.75" customHeight="1">
      <c r="A128" s="3308" t="s">
        <v>2320</v>
      </c>
      <c r="B128" s="3308"/>
      <c r="C128" s="3308"/>
      <c r="D128" s="3308"/>
      <c r="E128" s="3308"/>
      <c r="F128" s="3308"/>
      <c r="G128" s="3308"/>
      <c r="H128" s="3308"/>
      <c r="I128" s="3308"/>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4"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8</v>
      </c>
    </row>
    <row r="2" spans="1:9" s="244" customFormat="1" ht="18" customHeight="1">
      <c r="A2" s="245" t="s">
        <v>2329</v>
      </c>
      <c r="B2" s="246">
        <f ca="1">IF(D2="——",C52,C52-E2)</f>
        <v>158390</v>
      </c>
      <c r="C2" s="243" t="s">
        <v>2330</v>
      </c>
      <c r="D2" s="2550" t="s">
        <v>70</v>
      </c>
      <c r="E2" s="1443" t="e">
        <f ca="1">SUMIF(INDIRECT("'"&amp;G2&amp;"'"&amp;"!A:A"),"承租人权益价值",INDIRECT("'"&amp;G2&amp;"'"&amp;"!c:c"))</f>
        <v>#REF!</v>
      </c>
      <c r="F2" s="2551" t="s">
        <v>2330</v>
      </c>
      <c r="G2" s="2552"/>
    </row>
    <row r="3" spans="1:9" s="244" customFormat="1" ht="18" customHeight="1" thickBot="1">
      <c r="A3" s="247" t="s">
        <v>2331</v>
      </c>
      <c r="B3" s="248">
        <f ca="1">ROUND(B2*10000/(IF(B1="",'数据-汇总表'!E3,INDIRECT("'数据-取费表'!k"&amp;$G$1))),0)</f>
        <v>4753</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55503</v>
      </c>
      <c r="D5" s="255" t="s">
        <v>2336</v>
      </c>
      <c r="E5" s="256" t="s">
        <v>2337</v>
      </c>
      <c r="F5" s="256" t="s">
        <v>2338</v>
      </c>
      <c r="G5" s="257"/>
    </row>
    <row r="6" spans="1:9" s="258" customFormat="1" ht="13.5" customHeight="1">
      <c r="A6" s="952" t="s">
        <v>2339</v>
      </c>
      <c r="B6" s="259" t="s">
        <v>2340</v>
      </c>
      <c r="C6" s="260">
        <f>ROUND('土地比较法-住宅、综合'!B2,0)</f>
        <v>49656</v>
      </c>
      <c r="D6" s="261"/>
      <c r="E6" s="262"/>
      <c r="F6" s="262"/>
      <c r="G6" s="263"/>
    </row>
    <row r="7" spans="1:9" s="258" customFormat="1" ht="13.5" customHeight="1">
      <c r="A7" s="952" t="s">
        <v>2341</v>
      </c>
      <c r="B7" s="259" t="s">
        <v>2342</v>
      </c>
      <c r="C7" s="264">
        <f>ROUND(C6*F7,0)</f>
        <v>1515</v>
      </c>
      <c r="D7" s="264"/>
      <c r="E7" s="262"/>
      <c r="F7" s="265">
        <f>'数据-取费表'!B48+'数据-取费表'!B49</f>
        <v>3.0499999999999999E-2</v>
      </c>
      <c r="G7" s="263"/>
    </row>
    <row r="8" spans="1:9" s="267" customFormat="1">
      <c r="A8" s="952" t="s">
        <v>2343</v>
      </c>
      <c r="B8" s="259" t="s">
        <v>2344</v>
      </c>
      <c r="C8" s="264">
        <f ca="1">IF(G8="已包含在土地购买价格中","0",IF(B1="",'数据-取费表'!B29,IF(G9="全部缴纳",C9+C10,H9)))</f>
        <v>4332</v>
      </c>
      <c r="D8" s="266"/>
      <c r="E8" s="264"/>
      <c r="F8" s="265"/>
      <c r="G8" s="2553" t="s">
        <v>3272</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0</v>
      </c>
      <c r="F9" s="265"/>
      <c r="G9" s="2554"/>
      <c r="H9" s="1393"/>
      <c r="I9" s="2555" t="s">
        <v>2346</v>
      </c>
    </row>
    <row r="10" spans="1:9" s="258" customFormat="1" ht="13.5" customHeight="1">
      <c r="A10" s="953" t="s">
        <v>801</v>
      </c>
      <c r="B10" s="268" t="s">
        <v>2347</v>
      </c>
      <c r="C10" s="269">
        <f ca="1">ROUND(D10*E10/10000,0)</f>
        <v>4332</v>
      </c>
      <c r="D10" s="1035">
        <f ca="1">IF(B1="",'数据-汇总表'!E6,IF(INDIRECT("'数据-取费表'!c"&amp;$G$1)="住宅",INDIRECT("'数据-取费表'!s"&amp;$G$1),INDIRECT("'数据-取费表'!k"&amp;$G$1)+INDIRECT("'数据-取费表'!s"&amp;$G$1)))</f>
        <v>333221.08</v>
      </c>
      <c r="E10" s="269">
        <f>'数据-取费表'!B28</f>
        <v>130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43019</v>
      </c>
      <c r="D19" s="1039">
        <f ca="1">D9+D10</f>
        <v>333221.08</v>
      </c>
      <c r="E19" s="255">
        <f>'数据-取费表'!B31</f>
        <v>1291</v>
      </c>
      <c r="F19" s="275"/>
      <c r="G19" s="2553" t="s">
        <v>1071</v>
      </c>
    </row>
    <row r="20" spans="1:7" s="258" customFormat="1" ht="13.5" customHeight="1">
      <c r="A20" s="299" t="s">
        <v>2360</v>
      </c>
      <c r="B20" s="254" t="s">
        <v>2361</v>
      </c>
      <c r="C20" s="276">
        <f ca="1">ROUND((C5+C19)*F20,0)</f>
        <v>2956</v>
      </c>
      <c r="D20" s="276"/>
      <c r="E20" s="276"/>
      <c r="F20" s="277">
        <f>'数据-取费表'!B37</f>
        <v>0.03</v>
      </c>
      <c r="G20" s="278" t="s">
        <v>2362</v>
      </c>
    </row>
    <row r="21" spans="1:7" s="258" customFormat="1" ht="13.5" customHeight="1">
      <c r="A21" s="299" t="s">
        <v>2363</v>
      </c>
      <c r="B21" s="254" t="s">
        <v>2364</v>
      </c>
      <c r="C21" s="279">
        <f>F21</f>
        <v>1.4999999999999999E-2</v>
      </c>
      <c r="D21" s="280" t="s">
        <v>2365</v>
      </c>
      <c r="E21" s="276"/>
      <c r="F21" s="277">
        <f>'数据-取费表'!B38</f>
        <v>1.4999999999999999E-2</v>
      </c>
      <c r="G21" s="278" t="s">
        <v>2366</v>
      </c>
    </row>
    <row r="22" spans="1:7" s="258" customFormat="1" ht="13.5" customHeight="1">
      <c r="A22" s="299" t="s">
        <v>2367</v>
      </c>
      <c r="B22" s="254" t="s">
        <v>2368</v>
      </c>
      <c r="C22" s="1357">
        <f ca="1">ROUND(SUM(C23:C25),0)</f>
        <v>2823</v>
      </c>
      <c r="D22" s="279">
        <f ca="1">C26</f>
        <v>2.0000000000000001E-4</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1567</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1215</v>
      </c>
      <c r="D24" s="282"/>
      <c r="E24" s="282"/>
      <c r="F24" s="283"/>
      <c r="G24" s="284" t="s">
        <v>2374</v>
      </c>
    </row>
    <row r="25" spans="1:7" s="258" customFormat="1" ht="24">
      <c r="A25" s="954" t="s">
        <v>2375</v>
      </c>
      <c r="B25" s="259" t="s">
        <v>2376</v>
      </c>
      <c r="C25" s="1358">
        <f ca="1">ROUND(IF('数据-取费表'!B22&lt;=1,C20*F22*'数据-取费表'!B23/2,C20*(POWER((1+F22),'数据-取费表'!B23/2)-1)),0)</f>
        <v>41</v>
      </c>
      <c r="D25" s="282"/>
      <c r="E25" s="285"/>
      <c r="F25" s="283"/>
      <c r="G25" s="286" t="s">
        <v>2377</v>
      </c>
    </row>
    <row r="26" spans="1:7" s="258" customFormat="1">
      <c r="A26" s="954" t="s">
        <v>795</v>
      </c>
      <c r="B26" s="259" t="s">
        <v>2378</v>
      </c>
      <c r="C26" s="282">
        <f ca="1">ROUND(IF('数据-取费表'!B22&lt;=1,F21*F22*'数据-取费表'!B23/2,F21*(POWER((1+F22),'数据-取费表'!B23/2)-1)),4)</f>
        <v>2.0000000000000001E-4</v>
      </c>
      <c r="D26" s="282"/>
      <c r="E26" s="285"/>
      <c r="F26" s="283"/>
      <c r="G26" s="287"/>
    </row>
    <row r="27" spans="1:7" s="258" customFormat="1" ht="24.75">
      <c r="A27" s="299" t="s">
        <v>2379</v>
      </c>
      <c r="B27" s="288" t="s">
        <v>2380</v>
      </c>
      <c r="C27" s="289">
        <f ca="1">C28</f>
        <v>6089</v>
      </c>
      <c r="D27" s="279">
        <f ca="1">C29</f>
        <v>8.9999999999999998E-4</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6089</v>
      </c>
      <c r="D28" s="279"/>
      <c r="E28" s="280"/>
      <c r="F28" s="290"/>
      <c r="G28" s="291"/>
    </row>
    <row r="29" spans="1:7" s="258" customFormat="1" ht="13.5" customHeight="1">
      <c r="A29" s="954" t="s">
        <v>792</v>
      </c>
      <c r="B29" s="292" t="s">
        <v>2384</v>
      </c>
      <c r="C29" s="282">
        <f ca="1">ROUND(C21*F27*'数据-取费表'!B21/'数据-取费表'!B20,4)</f>
        <v>8.9999999999999998E-4</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118622</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29530</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26227</v>
      </c>
      <c r="D34" s="261"/>
      <c r="E34" s="264"/>
      <c r="F34" s="301">
        <f ca="1">IF('数据-取费表'!B24=0,1,IF(B1="",'数据-取费表'!N16,INDIRECT("'数据-取费表'!n"&amp;$G$1)))</f>
        <v>0.24</v>
      </c>
      <c r="G34" s="263" t="s">
        <v>2393</v>
      </c>
    </row>
    <row r="35" spans="1:7" ht="13.5" customHeight="1">
      <c r="A35" s="954" t="s">
        <v>796</v>
      </c>
      <c r="B35" s="259" t="s">
        <v>2394</v>
      </c>
      <c r="C35" s="264">
        <f ca="1">ROUND(C34*F35,0)</f>
        <v>1311</v>
      </c>
      <c r="D35" s="264"/>
      <c r="E35" s="264"/>
      <c r="F35" s="303">
        <f>'数据-取费表'!B33</f>
        <v>0.05</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1599</v>
      </c>
      <c r="D37" s="261">
        <f ca="1">D19</f>
        <v>333221.08</v>
      </c>
      <c r="E37" s="293">
        <f>'数据-取费表'!B35</f>
        <v>200</v>
      </c>
      <c r="F37" s="303"/>
      <c r="G37" s="305" t="s">
        <v>2399</v>
      </c>
    </row>
    <row r="38" spans="1:7" ht="13.5" customHeight="1">
      <c r="A38" s="954" t="s">
        <v>799</v>
      </c>
      <c r="B38" s="259" t="s">
        <v>2400</v>
      </c>
      <c r="C38" s="264">
        <f ca="1">ROUND(C34*F38,0)</f>
        <v>393</v>
      </c>
      <c r="D38" s="264"/>
      <c r="E38" s="264"/>
      <c r="F38" s="303">
        <f>'数据-取费表'!B36</f>
        <v>1.4999999999999999E-2</v>
      </c>
      <c r="G38" s="263" t="s">
        <v>2395</v>
      </c>
    </row>
    <row r="39" spans="1:7" s="258" customFormat="1" ht="13.5" customHeight="1">
      <c r="A39" s="299" t="s">
        <v>2401</v>
      </c>
      <c r="B39" s="254" t="s">
        <v>2402</v>
      </c>
      <c r="C39" s="276">
        <f ca="1">ROUND(C33*F20,0)</f>
        <v>886</v>
      </c>
      <c r="D39" s="276"/>
      <c r="E39" s="276"/>
      <c r="F39" s="277"/>
      <c r="G39" s="278" t="s">
        <v>2403</v>
      </c>
    </row>
    <row r="40" spans="1:7" s="258" customFormat="1" ht="13.5" customHeight="1">
      <c r="A40" s="299" t="s">
        <v>2404</v>
      </c>
      <c r="B40" s="254" t="s">
        <v>2405</v>
      </c>
      <c r="C40" s="1731">
        <f>F21</f>
        <v>1.4999999999999999E-2</v>
      </c>
      <c r="D40" s="280" t="s">
        <v>2406</v>
      </c>
      <c r="E40" s="276"/>
      <c r="F40" s="277"/>
      <c r="G40" s="278" t="s">
        <v>2407</v>
      </c>
    </row>
    <row r="41" spans="1:7" s="258" customFormat="1" ht="13.5" customHeight="1">
      <c r="A41" s="299" t="s">
        <v>2408</v>
      </c>
      <c r="B41" s="254" t="s">
        <v>2409</v>
      </c>
      <c r="C41" s="276">
        <f ca="1">ROUND(SUM(C42:C43),0)</f>
        <v>426</v>
      </c>
      <c r="D41" s="279">
        <f ca="1">C44</f>
        <v>2.0000000000000001E-4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414</v>
      </c>
      <c r="D42" s="282"/>
      <c r="E42" s="282"/>
      <c r="F42" s="283"/>
      <c r="G42" s="3380" t="s">
        <v>2411</v>
      </c>
    </row>
    <row r="43" spans="1:7" ht="13.5" customHeight="1">
      <c r="A43" s="954" t="s">
        <v>792</v>
      </c>
      <c r="B43" s="259" t="s">
        <v>2412</v>
      </c>
      <c r="C43" s="282">
        <f ca="1">ROUND(IF('数据-取费表'!B22&lt;=1,C39*F22*'数据-取费表'!B21/2,C39*(POWER((1+F22),'数据-取费表'!B21/2)-1)),0)</f>
        <v>12</v>
      </c>
      <c r="D43" s="282"/>
      <c r="E43" s="282"/>
      <c r="F43" s="283"/>
      <c r="G43" s="3381"/>
    </row>
    <row r="44" spans="1:7" ht="13.5" customHeight="1">
      <c r="A44" s="954" t="s">
        <v>793</v>
      </c>
      <c r="B44" s="259" t="s">
        <v>2413</v>
      </c>
      <c r="C44" s="282">
        <f ca="1">ROUND(IF('数据-取费表'!B22&lt;=1,C40*F22*'数据-取费表'!B21/2,C40*(POWER((1+F22),'数据-取费表'!B21/2)-1)),4)</f>
        <v>2.0000000000000001E-4</v>
      </c>
      <c r="D44" s="282"/>
      <c r="E44" s="282"/>
      <c r="F44" s="283"/>
      <c r="G44" s="3382"/>
    </row>
    <row r="45" spans="1:7" s="258" customFormat="1" ht="13.5" customHeight="1">
      <c r="A45" s="299" t="s">
        <v>2414</v>
      </c>
      <c r="B45" s="288" t="s">
        <v>2380</v>
      </c>
      <c r="C45" s="289">
        <f ca="1">C46</f>
        <v>6083</v>
      </c>
      <c r="D45" s="279">
        <f ca="1">C47</f>
        <v>3.0000000000000001E-3</v>
      </c>
      <c r="E45" s="280" t="s">
        <v>2406</v>
      </c>
      <c r="F45" s="290"/>
      <c r="G45" s="291" t="s">
        <v>2415</v>
      </c>
    </row>
    <row r="46" spans="1:7" s="258" customFormat="1" ht="13.5" customHeight="1">
      <c r="A46" s="954" t="s">
        <v>791</v>
      </c>
      <c r="B46" s="292" t="s">
        <v>2416</v>
      </c>
      <c r="C46" s="293">
        <f ca="1">ROUND((C33+C39)*F27,0)</f>
        <v>6083</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39768</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39768</v>
      </c>
      <c r="D51" s="276"/>
      <c r="E51" s="276"/>
      <c r="F51" s="308"/>
      <c r="G51" s="278" t="s">
        <v>2427</v>
      </c>
    </row>
    <row r="52" spans="1:7" s="252" customFormat="1" ht="16.5" thickBot="1">
      <c r="A52" s="309" t="s">
        <v>2428</v>
      </c>
      <c r="B52" s="310"/>
      <c r="C52" s="311">
        <f ca="1">C31+C51</f>
        <v>158390</v>
      </c>
      <c r="D52" s="310"/>
      <c r="E52" s="310"/>
      <c r="F52" s="310"/>
      <c r="G52" s="312"/>
    </row>
    <row r="55" spans="1:7" ht="15">
      <c r="B55" s="314" t="s">
        <v>2429</v>
      </c>
      <c r="C55" s="315"/>
    </row>
    <row r="56" spans="1:7">
      <c r="B56" s="317" t="s">
        <v>1509</v>
      </c>
      <c r="C56" s="319">
        <f ca="1">1-C57</f>
        <v>0.749</v>
      </c>
    </row>
    <row r="57" spans="1:7">
      <c r="B57" s="317" t="s">
        <v>1510</v>
      </c>
      <c r="C57" s="318">
        <f ca="1">ROUND(C51/C52,3)</f>
        <v>0.251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6"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238595</v>
      </c>
      <c r="C2" s="243" t="s">
        <v>2330</v>
      </c>
      <c r="D2" s="2550" t="s">
        <v>70</v>
      </c>
      <c r="E2" s="1443" t="e">
        <f ca="1">SUMIF(INDIRECT("'"&amp;G2&amp;"'"&amp;"!A:A"),"承租人权益价值",INDIRECT("'"&amp;G2&amp;"'"&amp;"!c:c"))</f>
        <v>#REF!</v>
      </c>
      <c r="F2" s="2551" t="s">
        <v>2330</v>
      </c>
      <c r="G2" s="2552"/>
    </row>
    <row r="3" spans="1:8" s="244" customFormat="1" ht="18" customHeight="1" thickBot="1">
      <c r="A3" s="247" t="s">
        <v>2331</v>
      </c>
      <c r="B3" s="248">
        <f ca="1">ROUND(B2*10000/(IF(B1="",'数据-汇总表'!E3,INDIRECT("'数据-取费表'!k"&amp;$G$1))),0)</f>
        <v>7160</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43318740</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43318740</v>
      </c>
      <c r="D8" s="266"/>
      <c r="E8" s="264"/>
      <c r="F8" s="265"/>
      <c r="G8" s="2553"/>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2347</v>
      </c>
      <c r="C10" s="269">
        <f ca="1">ROUND(D10*E10,0)</f>
        <v>43318740</v>
      </c>
      <c r="D10" s="1035">
        <f ca="1">IF(B1="",'数据-汇总表'!E6,IF(INDIRECT("'数据-取费表'!c"&amp;$G$1)="住宅",INDIRECT("'数据-取费表'!s"&amp;$G$1),INDIRECT("'数据-取费表'!k"&amp;$G$1)+INDIRECT("'数据-取费表'!s"&amp;$G$1)))</f>
        <v>333221.08</v>
      </c>
      <c r="E10" s="269">
        <f>'数据-取费表'!B28</f>
        <v>130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430188414</v>
      </c>
      <c r="D19" s="1039">
        <f ca="1">D9+D10</f>
        <v>333221.08</v>
      </c>
      <c r="E19" s="255">
        <f>'数据-取费表'!B31</f>
        <v>1291</v>
      </c>
      <c r="F19" s="275"/>
      <c r="G19" s="2553"/>
    </row>
    <row r="20" spans="1:7" s="258" customFormat="1" ht="13.5" customHeight="1">
      <c r="A20" s="299" t="s">
        <v>2441</v>
      </c>
      <c r="B20" s="254" t="s">
        <v>2442</v>
      </c>
      <c r="C20" s="276">
        <f ca="1">ROUND((C5+C19)*F20,0)</f>
        <v>14205215</v>
      </c>
      <c r="D20" s="276"/>
      <c r="E20" s="276"/>
      <c r="F20" s="277">
        <f>'数据-取费表'!B37</f>
        <v>0.03</v>
      </c>
      <c r="G20" s="278" t="s">
        <v>2443</v>
      </c>
    </row>
    <row r="21" spans="1:7" s="258" customFormat="1" ht="13.5" customHeight="1">
      <c r="A21" s="299" t="s">
        <v>2444</v>
      </c>
      <c r="B21" s="254" t="s">
        <v>2445</v>
      </c>
      <c r="C21" s="279">
        <f>F21</f>
        <v>1.4999999999999999E-2</v>
      </c>
      <c r="D21" s="280" t="s">
        <v>2446</v>
      </c>
      <c r="E21" s="276"/>
      <c r="F21" s="277">
        <f>'数据-取费表'!B38</f>
        <v>1.4999999999999999E-2</v>
      </c>
      <c r="G21" s="278" t="s">
        <v>2447</v>
      </c>
    </row>
    <row r="22" spans="1:7" s="258" customFormat="1" ht="13.5" customHeight="1">
      <c r="A22" s="299" t="s">
        <v>2448</v>
      </c>
      <c r="B22" s="254" t="s">
        <v>2449</v>
      </c>
      <c r="C22" s="1383">
        <f ca="1">ROUND(SUM(C23:C25),0)</f>
        <v>46726278</v>
      </c>
      <c r="D22" s="279">
        <f ca="1">C26</f>
        <v>6.9999999999999999E-4</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4213018</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41838512</v>
      </c>
      <c r="D24" s="282"/>
      <c r="E24" s="282"/>
      <c r="F24" s="283"/>
      <c r="G24" s="284" t="s">
        <v>2453</v>
      </c>
    </row>
    <row r="25" spans="1:7" s="258" customFormat="1" ht="24">
      <c r="A25" s="954" t="s">
        <v>2343</v>
      </c>
      <c r="B25" s="259" t="s">
        <v>2454</v>
      </c>
      <c r="C25" s="1384">
        <f ca="1">ROUND(IF('数据-取费表'!B22&lt;=1,C20*F22*'数据-取费表'!B22/2,C20*(POWER((1+F22),'数据-取费表'!B22/2)-1)),0)</f>
        <v>674748</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97542474</v>
      </c>
      <c r="D27" s="279">
        <f ca="1">C29</f>
        <v>3.0000000000000001E-3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97542474</v>
      </c>
      <c r="D28" s="279"/>
      <c r="E28" s="280"/>
      <c r="F28" s="290"/>
      <c r="G28" s="291"/>
    </row>
    <row r="29" spans="1:7" s="258" customFormat="1" ht="13.5" customHeight="1">
      <c r="A29" s="954"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681014139</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1231342317</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1093613240</v>
      </c>
      <c r="D34" s="261"/>
      <c r="E34" s="264"/>
      <c r="F34" s="301"/>
      <c r="G34" s="263"/>
    </row>
    <row r="35" spans="1:7" ht="13.5" customHeight="1">
      <c r="A35" s="954" t="s">
        <v>796</v>
      </c>
      <c r="B35" s="259" t="s">
        <v>2394</v>
      </c>
      <c r="C35" s="264">
        <f ca="1">ROUND(C34*F35,0)</f>
        <v>54680662</v>
      </c>
      <c r="D35" s="264"/>
      <c r="E35" s="264"/>
      <c r="F35" s="303">
        <f>'数据-取费表'!B33</f>
        <v>0.05</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66644216</v>
      </c>
      <c r="D37" s="261">
        <f ca="1">D19</f>
        <v>333221.08</v>
      </c>
      <c r="E37" s="293">
        <f>'数据-取费表'!B35</f>
        <v>200</v>
      </c>
      <c r="F37" s="303"/>
      <c r="G37" s="305"/>
    </row>
    <row r="38" spans="1:7" ht="13.5" customHeight="1">
      <c r="A38" s="954" t="s">
        <v>799</v>
      </c>
      <c r="B38" s="259" t="s">
        <v>2400</v>
      </c>
      <c r="C38" s="264">
        <f ca="1">ROUND(C34*F38,0)</f>
        <v>16404199</v>
      </c>
      <c r="D38" s="264"/>
      <c r="E38" s="264"/>
      <c r="F38" s="303">
        <f>'数据-取费表'!B36</f>
        <v>1.4999999999999999E-2</v>
      </c>
      <c r="G38" s="263" t="s">
        <v>2395</v>
      </c>
    </row>
    <row r="39" spans="1:7" s="258" customFormat="1" ht="13.5" customHeight="1">
      <c r="A39" s="299" t="s">
        <v>2401</v>
      </c>
      <c r="B39" s="254" t="s">
        <v>2402</v>
      </c>
      <c r="C39" s="276">
        <f ca="1">ROUND(C33*F20,0)</f>
        <v>36940270</v>
      </c>
      <c r="D39" s="276"/>
      <c r="E39" s="276"/>
      <c r="F39" s="277"/>
      <c r="G39" s="278" t="s">
        <v>2403</v>
      </c>
    </row>
    <row r="40" spans="1:7" s="258" customFormat="1" ht="13.5" customHeight="1">
      <c r="A40" s="299" t="s">
        <v>2404</v>
      </c>
      <c r="B40" s="254" t="s">
        <v>2405</v>
      </c>
      <c r="C40" s="1731">
        <f>F21</f>
        <v>1.4999999999999999E-2</v>
      </c>
      <c r="D40" s="280" t="s">
        <v>2406</v>
      </c>
      <c r="E40" s="276"/>
      <c r="F40" s="277"/>
      <c r="G40" s="278" t="s">
        <v>2407</v>
      </c>
    </row>
    <row r="41" spans="1:7" s="258" customFormat="1" ht="13.5" customHeight="1">
      <c r="A41" s="299" t="s">
        <v>2408</v>
      </c>
      <c r="B41" s="254" t="s">
        <v>2409</v>
      </c>
      <c r="C41" s="276">
        <f ca="1">ROUND(SUM(C42:C43),0)</f>
        <v>60243423</v>
      </c>
      <c r="D41" s="279">
        <f ca="1">C44</f>
        <v>6.9999999999999999E-4</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58488760</v>
      </c>
      <c r="D42" s="282"/>
      <c r="E42" s="282"/>
      <c r="F42" s="283"/>
      <c r="G42" s="3380" t="s">
        <v>2458</v>
      </c>
    </row>
    <row r="43" spans="1:7" ht="13.5" customHeight="1">
      <c r="A43" s="954" t="s">
        <v>792</v>
      </c>
      <c r="B43" s="259" t="s">
        <v>2412</v>
      </c>
      <c r="C43" s="282">
        <f ca="1">ROUND(IF('数据-取费表'!B22&lt;=1,C39*F22*'数据-取费表'!B20/2,C39*(POWER((1+F22),'数据-取费表'!B20/2)-1)),0)</f>
        <v>1754663</v>
      </c>
      <c r="D43" s="282"/>
      <c r="E43" s="282"/>
      <c r="F43" s="283"/>
      <c r="G43" s="3381"/>
    </row>
    <row r="44" spans="1:7" ht="13.5" customHeight="1">
      <c r="A44" s="954" t="s">
        <v>793</v>
      </c>
      <c r="B44" s="259" t="s">
        <v>2413</v>
      </c>
      <c r="C44" s="282">
        <f ca="1">ROUND(IF('数据-取费表'!B22&lt;=1,C40*F22*'数据-取费表'!B20/2,C40*(POWER((1+F22),'数据-取费表'!B20/2)-1)),4)</f>
        <v>6.9999999999999999E-4</v>
      </c>
      <c r="D44" s="282"/>
      <c r="E44" s="282"/>
      <c r="F44" s="283"/>
      <c r="G44" s="3382"/>
    </row>
    <row r="45" spans="1:7" s="258" customFormat="1" ht="13.5" customHeight="1">
      <c r="A45" s="299" t="s">
        <v>2414</v>
      </c>
      <c r="B45" s="288" t="s">
        <v>2380</v>
      </c>
      <c r="C45" s="289">
        <f ca="1">C46</f>
        <v>253656517</v>
      </c>
      <c r="D45" s="279">
        <f ca="1">C47</f>
        <v>3.0000000000000001E-3</v>
      </c>
      <c r="E45" s="280" t="s">
        <v>2406</v>
      </c>
      <c r="F45" s="290"/>
      <c r="G45" s="291" t="s">
        <v>2415</v>
      </c>
    </row>
    <row r="46" spans="1:7" s="258" customFormat="1" ht="13.5" customHeight="1">
      <c r="A46" s="954" t="s">
        <v>791</v>
      </c>
      <c r="B46" s="292" t="s">
        <v>2416</v>
      </c>
      <c r="C46" s="293">
        <f ca="1">ROUND((C33+C39)*F27,0)</f>
        <v>253656517</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1704938068</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1704938068</v>
      </c>
      <c r="D51" s="276"/>
      <c r="E51" s="276"/>
      <c r="F51" s="308"/>
      <c r="G51" s="278" t="s">
        <v>2427</v>
      </c>
    </row>
    <row r="52" spans="1:7" s="252" customFormat="1" ht="16.5" thickBot="1">
      <c r="A52" s="309" t="s">
        <v>2428</v>
      </c>
      <c r="B52" s="310"/>
      <c r="C52" s="311">
        <f ca="1">C31+C51</f>
        <v>2385952207</v>
      </c>
      <c r="D52" s="310"/>
      <c r="E52" s="310"/>
      <c r="F52" s="310"/>
      <c r="G52" s="312"/>
    </row>
    <row r="55" spans="1:7" ht="15">
      <c r="B55" s="314" t="s">
        <v>2429</v>
      </c>
      <c r="C55" s="315"/>
    </row>
    <row r="56" spans="1:7">
      <c r="B56" s="317" t="s">
        <v>1509</v>
      </c>
      <c r="C56" s="319">
        <f ca="1">1-C57</f>
        <v>0.28500000000000003</v>
      </c>
    </row>
    <row r="57" spans="1:7">
      <c r="B57" s="317" t="s">
        <v>1510</v>
      </c>
      <c r="C57" s="318">
        <f ca="1">ROUND(C51/C52,3)</f>
        <v>0.71499999999999997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13"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C11" sqref="C1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49656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1490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401" t="s">
        <v>2645</v>
      </c>
      <c r="D4" s="3402"/>
      <c r="E4" s="3403" t="s">
        <v>2646</v>
      </c>
      <c r="F4" s="3404"/>
      <c r="G4" s="3401" t="s">
        <v>2647</v>
      </c>
      <c r="H4" s="3402"/>
      <c r="I4" s="3401" t="s">
        <v>2648</v>
      </c>
      <c r="J4" s="3402"/>
      <c r="K4" s="610" t="s">
        <v>2649</v>
      </c>
      <c r="L4" s="1133"/>
      <c r="M4" s="1134"/>
      <c r="N4" s="1134"/>
      <c r="O4" s="1134"/>
      <c r="P4" s="3405" t="s">
        <v>2650</v>
      </c>
      <c r="Q4" s="3406"/>
      <c r="R4" s="3388" t="s">
        <v>2646</v>
      </c>
      <c r="S4" s="3389"/>
      <c r="T4" s="3388" t="s">
        <v>2647</v>
      </c>
      <c r="U4" s="3389"/>
      <c r="V4" s="3413" t="s">
        <v>2648</v>
      </c>
      <c r="W4" s="3413"/>
      <c r="X4" s="1816"/>
      <c r="Y4" s="3388" t="s">
        <v>2650</v>
      </c>
      <c r="Z4" s="3389"/>
      <c r="AA4" s="3383" t="s">
        <v>2646</v>
      </c>
      <c r="AB4" s="3384" t="s">
        <v>2647</v>
      </c>
      <c r="AC4" s="3383" t="s">
        <v>2648</v>
      </c>
    </row>
    <row r="5" spans="1:30" ht="15">
      <c r="A5" s="404"/>
      <c r="B5" s="405"/>
      <c r="C5" s="3394" t="s">
        <v>2541</v>
      </c>
      <c r="D5" s="3395"/>
      <c r="E5" s="3392" t="str">
        <f>Sheet3!A4</f>
        <v>四台嘴乡太子城村</v>
      </c>
      <c r="F5" s="3393"/>
      <c r="G5" s="3394" t="str">
        <f>Sheet3!A5</f>
        <v>西湾子镇大夹道沟村</v>
      </c>
      <c r="H5" s="3395"/>
      <c r="I5" s="3394" t="str">
        <f>Sheet3!A10</f>
        <v>四台嘴乡太子城村</v>
      </c>
      <c r="J5" s="3395"/>
      <c r="K5" s="610"/>
      <c r="L5" s="1133"/>
      <c r="M5" s="1134"/>
      <c r="N5" s="1134"/>
      <c r="O5" s="1134"/>
      <c r="P5" s="3407"/>
      <c r="Q5" s="3408"/>
      <c r="R5" s="3390"/>
      <c r="S5" s="3391"/>
      <c r="T5" s="3390"/>
      <c r="U5" s="3391"/>
      <c r="V5" s="3413"/>
      <c r="W5" s="3413"/>
      <c r="X5" s="1816"/>
      <c r="Y5" s="3390"/>
      <c r="Z5" s="3391"/>
      <c r="AA5" s="3384"/>
      <c r="AB5" s="3384"/>
      <c r="AC5" s="3384"/>
    </row>
    <row r="6" spans="1:30" ht="15.75" thickBot="1">
      <c r="A6" s="406"/>
      <c r="B6" s="407"/>
      <c r="C6" s="3396" t="s">
        <v>2545</v>
      </c>
      <c r="D6" s="3397"/>
      <c r="E6" s="3398" t="s">
        <v>2545</v>
      </c>
      <c r="F6" s="3399"/>
      <c r="G6" s="3396" t="s">
        <v>2545</v>
      </c>
      <c r="H6" s="3397"/>
      <c r="I6" s="3396" t="s">
        <v>2545</v>
      </c>
      <c r="J6" s="3397"/>
      <c r="K6" s="610" t="s">
        <v>2546</v>
      </c>
      <c r="L6" s="1133"/>
      <c r="M6" s="1134"/>
      <c r="N6" s="1134"/>
      <c r="O6" s="1134"/>
      <c r="P6" s="3409"/>
      <c r="Q6" s="3410"/>
      <c r="R6" s="3390"/>
      <c r="S6" s="3391"/>
      <c r="T6" s="3411"/>
      <c r="U6" s="3412"/>
      <c r="V6" s="3413"/>
      <c r="W6" s="3413"/>
      <c r="X6" s="1816"/>
      <c r="Y6" s="3411"/>
      <c r="Z6" s="3412"/>
      <c r="AA6" s="3385"/>
      <c r="AB6" s="3385"/>
      <c r="AC6" s="3385"/>
    </row>
    <row r="7" spans="1:30" s="117" customFormat="1" ht="15.75" thickBot="1">
      <c r="A7" s="408" t="s">
        <v>2547</v>
      </c>
      <c r="B7" s="409"/>
      <c r="C7" s="410">
        <f>'数据-取费表'!B2</f>
        <v>43516</v>
      </c>
      <c r="D7" s="411">
        <v>100</v>
      </c>
      <c r="E7" s="412" t="str">
        <f>Sheet3!H4</f>
        <v>2019-01-14</v>
      </c>
      <c r="F7" s="413">
        <f>SUMIF(70:70,YEAR(E7)&amp;"-"&amp;INT((MONTH(E7)+2)/3),71:71)</f>
        <v>100</v>
      </c>
      <c r="G7" s="2696" t="str">
        <f>Sheet3!H5</f>
        <v>2019-01-14</v>
      </c>
      <c r="H7" s="411">
        <f>SUMIF(70:70,YEAR(G7)&amp;"-"&amp;INT((MONTH(G7)+2)/3),71:71)</f>
        <v>100</v>
      </c>
      <c r="I7" s="2696" t="str">
        <f>Sheet3!H10</f>
        <v>2018-11-07</v>
      </c>
      <c r="J7" s="411">
        <f>SUMIF(70:70,YEAR(I7)&amp;"-"&amp;INT((MONTH(I7)+2)/3),71:71)</f>
        <v>99</v>
      </c>
      <c r="K7" s="611"/>
      <c r="L7" s="1135"/>
      <c r="M7" s="1136"/>
      <c r="N7" s="1136"/>
      <c r="O7" s="1136"/>
      <c r="P7" s="3386" t="s">
        <v>2548</v>
      </c>
      <c r="Q7" s="3414"/>
      <c r="R7" s="770" t="s">
        <v>17</v>
      </c>
      <c r="S7" s="771">
        <f t="shared" ref="S7:S15" si="0">F7</f>
        <v>100</v>
      </c>
      <c r="T7" s="770" t="s">
        <v>17</v>
      </c>
      <c r="U7" s="771">
        <f t="shared" ref="U7:U15" si="1">H7</f>
        <v>100</v>
      </c>
      <c r="V7" s="770" t="s">
        <v>17</v>
      </c>
      <c r="W7" s="771">
        <f t="shared" ref="W7:W15" si="2">J7</f>
        <v>99</v>
      </c>
      <c r="X7" s="772"/>
      <c r="Y7" s="3386" t="s">
        <v>2548</v>
      </c>
      <c r="Z7" s="3387"/>
      <c r="AA7" s="773">
        <f>D7/F7</f>
        <v>1</v>
      </c>
      <c r="AB7" s="773">
        <f>D7/H7</f>
        <v>1</v>
      </c>
      <c r="AC7" s="773">
        <f>D7/J7</f>
        <v>1.0101010101010102</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386" t="s">
        <v>2551</v>
      </c>
      <c r="Q8" s="3387"/>
      <c r="R8" s="770" t="s">
        <v>17</v>
      </c>
      <c r="S8" s="771">
        <f t="shared" si="0"/>
        <v>100</v>
      </c>
      <c r="T8" s="770" t="s">
        <v>17</v>
      </c>
      <c r="U8" s="771">
        <f t="shared" si="1"/>
        <v>100</v>
      </c>
      <c r="V8" s="770" t="s">
        <v>17</v>
      </c>
      <c r="W8" s="771">
        <f t="shared" si="2"/>
        <v>100</v>
      </c>
      <c r="X8" s="772"/>
      <c r="Y8" s="3386" t="s">
        <v>2551</v>
      </c>
      <c r="Z8" s="3387"/>
      <c r="AA8" s="773">
        <f t="shared" ref="AA8:AA45" si="3">D8/F8</f>
        <v>1</v>
      </c>
      <c r="AB8" s="773">
        <f t="shared" ref="AB8:AB45" si="4">D8/H8</f>
        <v>1</v>
      </c>
      <c r="AC8" s="773">
        <f t="shared" ref="AC8:AC45" si="5">D8/J8</f>
        <v>1</v>
      </c>
    </row>
    <row r="9" spans="1:30" s="117" customFormat="1">
      <c r="A9" s="415" t="s">
        <v>2552</v>
      </c>
      <c r="B9" s="71" t="s">
        <v>2553</v>
      </c>
      <c r="C9" s="2699" t="s">
        <v>1373</v>
      </c>
      <c r="D9" s="135">
        <v>100</v>
      </c>
      <c r="E9" s="2699" t="s">
        <v>1373</v>
      </c>
      <c r="F9" s="135">
        <f>SUMIF(75:75,E9,76:76)-SUMIF(75:75,C9,76:76)+100</f>
        <v>100</v>
      </c>
      <c r="G9" s="2699" t="s">
        <v>1373</v>
      </c>
      <c r="H9" s="135">
        <f>SUMIF(75:75,G9,76:76)-SUMIF(75:75,C9,76:76)+100</f>
        <v>100</v>
      </c>
      <c r="I9" s="2699" t="s">
        <v>1373</v>
      </c>
      <c r="J9" s="135">
        <f>SUMIF(75:75,I9,76:76)-SUMIF(75:75,C9,76:76)+100</f>
        <v>100</v>
      </c>
      <c r="K9" s="611"/>
      <c r="L9" s="1135"/>
      <c r="M9" s="1136"/>
      <c r="N9" s="1136"/>
      <c r="O9" s="1137"/>
      <c r="P9" s="3400" t="s">
        <v>2554</v>
      </c>
      <c r="Q9" s="1798" t="str">
        <f t="shared" ref="Q9:Q15" si="6">B9</f>
        <v>用途</v>
      </c>
      <c r="R9" s="770" t="s">
        <v>17</v>
      </c>
      <c r="S9" s="771">
        <f t="shared" si="0"/>
        <v>100</v>
      </c>
      <c r="T9" s="770" t="s">
        <v>17</v>
      </c>
      <c r="U9" s="771">
        <f t="shared" si="1"/>
        <v>100</v>
      </c>
      <c r="V9" s="770" t="s">
        <v>17</v>
      </c>
      <c r="W9" s="771">
        <f t="shared" si="2"/>
        <v>100</v>
      </c>
      <c r="X9" s="772"/>
      <c r="Y9" s="3199" t="s">
        <v>2555</v>
      </c>
      <c r="Z9" s="55" t="str">
        <f t="shared" ref="Z9:Z15" si="7">Q9</f>
        <v>用途</v>
      </c>
      <c r="AA9" s="773">
        <f t="shared" si="3"/>
        <v>1</v>
      </c>
      <c r="AB9" s="773">
        <f t="shared" si="4"/>
        <v>1</v>
      </c>
      <c r="AC9" s="773">
        <f t="shared" si="5"/>
        <v>1</v>
      </c>
    </row>
    <row r="10" spans="1:30" s="427" customFormat="1" ht="27">
      <c r="A10" s="421"/>
      <c r="B10" s="422" t="s">
        <v>2556</v>
      </c>
      <c r="C10" s="432">
        <v>40</v>
      </c>
      <c r="D10" s="136">
        <v>100</v>
      </c>
      <c r="E10" s="432">
        <v>40</v>
      </c>
      <c r="F10" s="136">
        <f>ROUND(100/'数据-取费表'!G16,0)</f>
        <v>100</v>
      </c>
      <c r="G10" s="432">
        <v>40</v>
      </c>
      <c r="H10" s="136">
        <f>ROUND(100/'数据-取费表'!G16,0)</f>
        <v>100</v>
      </c>
      <c r="I10" s="432">
        <v>40</v>
      </c>
      <c r="J10" s="136">
        <f>ROUND(100/'数据-取费表'!G16,0)</f>
        <v>100</v>
      </c>
      <c r="K10" s="672"/>
      <c r="L10" s="1138"/>
      <c r="M10" s="1139"/>
      <c r="N10" s="1139"/>
      <c r="O10" s="1140"/>
      <c r="P10" s="3400"/>
      <c r="Q10" s="1798" t="str">
        <f t="shared" si="6"/>
        <v>土地使用年限（年）</v>
      </c>
      <c r="R10" s="770" t="s">
        <v>17</v>
      </c>
      <c r="S10" s="771">
        <f t="shared" si="0"/>
        <v>100</v>
      </c>
      <c r="T10" s="770" t="s">
        <v>17</v>
      </c>
      <c r="U10" s="771">
        <f t="shared" si="1"/>
        <v>100</v>
      </c>
      <c r="V10" s="770" t="s">
        <v>17</v>
      </c>
      <c r="W10" s="771">
        <f t="shared" si="2"/>
        <v>100</v>
      </c>
      <c r="X10" s="772"/>
      <c r="Y10" s="3199"/>
      <c r="Z10" s="55" t="str">
        <f t="shared" si="7"/>
        <v>土地使用年限（年）</v>
      </c>
      <c r="AA10" s="773">
        <f t="shared" si="3"/>
        <v>1</v>
      </c>
      <c r="AB10" s="773">
        <f t="shared" si="4"/>
        <v>1</v>
      </c>
      <c r="AC10" s="773">
        <f t="shared" si="5"/>
        <v>1</v>
      </c>
    </row>
    <row r="11" spans="1:30" ht="15">
      <c r="A11" s="428"/>
      <c r="B11" s="422" t="s">
        <v>2557</v>
      </c>
      <c r="C11" s="429">
        <f>'数据-汇总表'!I4</f>
        <v>1.17</v>
      </c>
      <c r="D11" s="136">
        <v>100</v>
      </c>
      <c r="E11" s="429">
        <v>1.3</v>
      </c>
      <c r="F11" s="136">
        <f>LOOKUP(E11,80:80,81:81)-LOOKUP(C11,80:80,81:81)+100</f>
        <v>100</v>
      </c>
      <c r="G11" s="430">
        <v>1.5</v>
      </c>
      <c r="H11" s="136">
        <f>LOOKUP(G11,80:80,81:81)-LOOKUP(C11,80:80,81:81)+100</f>
        <v>100</v>
      </c>
      <c r="I11" s="429">
        <v>0.5</v>
      </c>
      <c r="J11" s="136">
        <f>LOOKUP(I11,80:80,81:81)-LOOKUP(C11,80:80,81:81)+100</f>
        <v>102</v>
      </c>
      <c r="K11" s="673">
        <v>2</v>
      </c>
      <c r="L11" s="1141"/>
      <c r="M11" s="1134"/>
      <c r="N11" s="1134"/>
      <c r="O11" s="1142"/>
      <c r="P11" s="3400"/>
      <c r="Q11" s="1798" t="str">
        <f t="shared" si="6"/>
        <v>容积率</v>
      </c>
      <c r="R11" s="770" t="s">
        <v>17</v>
      </c>
      <c r="S11" s="771">
        <f t="shared" si="0"/>
        <v>100</v>
      </c>
      <c r="T11" s="770" t="s">
        <v>17</v>
      </c>
      <c r="U11" s="771">
        <f t="shared" si="1"/>
        <v>100</v>
      </c>
      <c r="V11" s="770" t="s">
        <v>17</v>
      </c>
      <c r="W11" s="771">
        <f t="shared" si="2"/>
        <v>102</v>
      </c>
      <c r="X11" s="772"/>
      <c r="Y11" s="3199"/>
      <c r="Z11" s="55" t="str">
        <f t="shared" si="7"/>
        <v>容积率</v>
      </c>
      <c r="AA11" s="773">
        <f t="shared" si="3"/>
        <v>1</v>
      </c>
      <c r="AB11" s="773">
        <f t="shared" si="4"/>
        <v>1</v>
      </c>
      <c r="AC11" s="773">
        <f t="shared" si="5"/>
        <v>0.98039215686274506</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400"/>
      <c r="Q12" s="1798" t="str">
        <f t="shared" si="6"/>
        <v>配建</v>
      </c>
      <c r="R12" s="770" t="s">
        <v>17</v>
      </c>
      <c r="S12" s="771">
        <f t="shared" si="0"/>
        <v>100</v>
      </c>
      <c r="T12" s="770" t="s">
        <v>17</v>
      </c>
      <c r="U12" s="771">
        <f t="shared" si="1"/>
        <v>100</v>
      </c>
      <c r="V12" s="770" t="s">
        <v>17</v>
      </c>
      <c r="W12" s="771">
        <f t="shared" si="2"/>
        <v>100</v>
      </c>
      <c r="X12" s="772"/>
      <c r="Y12" s="3199"/>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400"/>
      <c r="Q13" s="1798">
        <f t="shared" si="6"/>
        <v>111</v>
      </c>
      <c r="R13" s="770" t="s">
        <v>17</v>
      </c>
      <c r="S13" s="771">
        <f t="shared" si="0"/>
        <v>100</v>
      </c>
      <c r="T13" s="770" t="s">
        <v>17</v>
      </c>
      <c r="U13" s="771">
        <f t="shared" si="1"/>
        <v>100</v>
      </c>
      <c r="V13" s="770" t="s">
        <v>17</v>
      </c>
      <c r="W13" s="771">
        <f t="shared" si="2"/>
        <v>100</v>
      </c>
      <c r="X13" s="772"/>
      <c r="Y13" s="3199"/>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400"/>
      <c r="Q14" s="1798">
        <f t="shared" si="6"/>
        <v>111</v>
      </c>
      <c r="R14" s="770" t="s">
        <v>17</v>
      </c>
      <c r="S14" s="771">
        <f t="shared" si="0"/>
        <v>100</v>
      </c>
      <c r="T14" s="770" t="s">
        <v>17</v>
      </c>
      <c r="U14" s="771">
        <f t="shared" si="1"/>
        <v>100</v>
      </c>
      <c r="V14" s="770" t="s">
        <v>17</v>
      </c>
      <c r="W14" s="771">
        <f t="shared" si="2"/>
        <v>100</v>
      </c>
      <c r="X14" s="772"/>
      <c r="Y14" s="3199"/>
      <c r="Z14" s="55">
        <f t="shared" si="7"/>
        <v>111</v>
      </c>
      <c r="AA14" s="773">
        <f>D14/F14</f>
        <v>1</v>
      </c>
      <c r="AB14" s="773">
        <f>D14/H14</f>
        <v>1</v>
      </c>
      <c r="AC14" s="773">
        <f>D14/J14</f>
        <v>1</v>
      </c>
    </row>
    <row r="15" spans="1:30" ht="99.75" hidden="1">
      <c r="A15" s="440" t="s">
        <v>2558</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415" t="s">
        <v>2559</v>
      </c>
      <c r="Q15" s="1813" t="str">
        <f t="shared" si="6"/>
        <v>居住社区成熟度</v>
      </c>
      <c r="R15" s="774" t="s">
        <v>17</v>
      </c>
      <c r="S15" s="775">
        <f t="shared" si="0"/>
        <v>100</v>
      </c>
      <c r="T15" s="774" t="s">
        <v>17</v>
      </c>
      <c r="U15" s="775">
        <f t="shared" si="1"/>
        <v>100</v>
      </c>
      <c r="V15" s="774" t="s">
        <v>17</v>
      </c>
      <c r="W15" s="775">
        <f t="shared" si="2"/>
        <v>100</v>
      </c>
      <c r="X15" s="1816"/>
      <c r="Y15" s="3415" t="s">
        <v>2559</v>
      </c>
      <c r="Z15" s="1817" t="str">
        <f t="shared" si="7"/>
        <v>居住社区成熟度</v>
      </c>
      <c r="AA15" s="1814">
        <f t="shared" si="3"/>
        <v>1</v>
      </c>
      <c r="AB15" s="1814">
        <f t="shared" si="4"/>
        <v>1</v>
      </c>
      <c r="AC15" s="1814">
        <f t="shared" si="5"/>
        <v>1</v>
      </c>
    </row>
    <row r="16" spans="1:30" ht="15" hidden="1">
      <c r="A16" s="428"/>
      <c r="B16" s="446"/>
      <c r="C16" s="447"/>
      <c r="D16" s="448"/>
      <c r="E16" s="2607"/>
      <c r="F16" s="448"/>
      <c r="G16" s="2607"/>
      <c r="H16" s="450"/>
      <c r="I16" s="2606"/>
      <c r="J16" s="448"/>
      <c r="K16" s="672"/>
      <c r="L16" s="1143"/>
      <c r="M16" s="1134"/>
      <c r="N16" s="1134"/>
      <c r="O16" s="1142"/>
      <c r="P16" s="3416"/>
      <c r="Q16" s="1813"/>
      <c r="R16" s="774"/>
      <c r="S16" s="775"/>
      <c r="T16" s="774"/>
      <c r="U16" s="775"/>
      <c r="V16" s="774"/>
      <c r="W16" s="775"/>
      <c r="X16" s="1816"/>
      <c r="Y16" s="3416"/>
      <c r="Z16" s="1817"/>
      <c r="AA16" s="1814">
        <v>1</v>
      </c>
      <c r="AB16" s="1814">
        <v>1</v>
      </c>
      <c r="AC16" s="1814">
        <v>1</v>
      </c>
    </row>
    <row r="17" spans="1:29" ht="71.25">
      <c r="A17" s="428"/>
      <c r="B17" s="451" t="s">
        <v>2652</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3</v>
      </c>
      <c r="L17" s="1143"/>
      <c r="M17" s="1134"/>
      <c r="N17" s="1134"/>
      <c r="O17" s="1142"/>
      <c r="P17" s="3416"/>
      <c r="Q17" s="1813" t="str">
        <f>B17</f>
        <v>商业繁华度</v>
      </c>
      <c r="R17" s="774" t="s">
        <v>17</v>
      </c>
      <c r="S17" s="775">
        <f>F17</f>
        <v>100</v>
      </c>
      <c r="T17" s="774" t="s">
        <v>17</v>
      </c>
      <c r="U17" s="775">
        <f>H17</f>
        <v>100</v>
      </c>
      <c r="V17" s="774" t="s">
        <v>17</v>
      </c>
      <c r="W17" s="775">
        <f>J17</f>
        <v>100</v>
      </c>
      <c r="X17" s="1816"/>
      <c r="Y17" s="3416"/>
      <c r="Z17" s="1817" t="str">
        <f>Q17</f>
        <v>商业繁华度</v>
      </c>
      <c r="AA17" s="1814">
        <f t="shared" si="3"/>
        <v>1</v>
      </c>
      <c r="AB17" s="1814">
        <f t="shared" si="4"/>
        <v>1</v>
      </c>
      <c r="AC17" s="1814">
        <f t="shared" si="5"/>
        <v>1</v>
      </c>
    </row>
    <row r="18" spans="1:29" ht="15">
      <c r="A18" s="428"/>
      <c r="B18" s="456"/>
      <c r="C18" s="2610" t="s">
        <v>3232</v>
      </c>
      <c r="D18" s="450"/>
      <c r="E18" s="2610" t="s">
        <v>3232</v>
      </c>
      <c r="F18" s="450"/>
      <c r="G18" s="2610" t="s">
        <v>3232</v>
      </c>
      <c r="H18" s="448"/>
      <c r="I18" s="2610" t="s">
        <v>3232</v>
      </c>
      <c r="J18" s="448"/>
      <c r="K18" s="672"/>
      <c r="L18" s="1143"/>
      <c r="M18" s="1134"/>
      <c r="N18" s="1134"/>
      <c r="O18" s="1142"/>
      <c r="P18" s="3416"/>
      <c r="Q18" s="1813"/>
      <c r="R18" s="774"/>
      <c r="S18" s="775"/>
      <c r="T18" s="774"/>
      <c r="U18" s="775"/>
      <c r="V18" s="774"/>
      <c r="W18" s="775"/>
      <c r="X18" s="1816"/>
      <c r="Y18" s="3416"/>
      <c r="Z18" s="1817"/>
      <c r="AA18" s="1814">
        <v>1</v>
      </c>
      <c r="AB18" s="1814">
        <v>1</v>
      </c>
      <c r="AC18" s="1814">
        <v>1</v>
      </c>
    </row>
    <row r="19" spans="1:29" ht="71.25" hidden="1">
      <c r="A19" s="428"/>
      <c r="B19" s="451" t="s">
        <v>2686</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3</v>
      </c>
      <c r="L19" s="1143"/>
      <c r="M19" s="1134"/>
      <c r="N19" s="1134"/>
      <c r="O19" s="1142"/>
      <c r="P19" s="3416"/>
      <c r="Q19" s="1813" t="str">
        <f>B19</f>
        <v>办公集聚程度</v>
      </c>
      <c r="R19" s="774" t="s">
        <v>17</v>
      </c>
      <c r="S19" s="775">
        <f>F19</f>
        <v>100</v>
      </c>
      <c r="T19" s="774" t="s">
        <v>17</v>
      </c>
      <c r="U19" s="775">
        <f>H19</f>
        <v>100</v>
      </c>
      <c r="V19" s="774" t="s">
        <v>17</v>
      </c>
      <c r="W19" s="775">
        <f>J19</f>
        <v>100</v>
      </c>
      <c r="X19" s="1816"/>
      <c r="Y19" s="3416"/>
      <c r="Z19" s="1817" t="str">
        <f>Q19</f>
        <v>办公集聚程度</v>
      </c>
      <c r="AA19" s="1814">
        <f t="shared" si="3"/>
        <v>1</v>
      </c>
      <c r="AB19" s="1814">
        <f t="shared" si="4"/>
        <v>1</v>
      </c>
      <c r="AC19" s="1814">
        <f t="shared" si="5"/>
        <v>1</v>
      </c>
    </row>
    <row r="20" spans="1:29" ht="15" hidden="1">
      <c r="A20" s="428"/>
      <c r="B20" s="456"/>
      <c r="C20" s="447" t="s">
        <v>3233</v>
      </c>
      <c r="D20" s="448"/>
      <c r="E20" s="447" t="s">
        <v>3233</v>
      </c>
      <c r="F20" s="448"/>
      <c r="G20" s="447" t="s">
        <v>3233</v>
      </c>
      <c r="H20" s="448"/>
      <c r="I20" s="447" t="s">
        <v>3233</v>
      </c>
      <c r="J20" s="448"/>
      <c r="K20" s="672"/>
      <c r="L20" s="1143"/>
      <c r="M20" s="1134"/>
      <c r="N20" s="1134"/>
      <c r="O20" s="1142"/>
      <c r="P20" s="3416"/>
      <c r="Q20" s="1813"/>
      <c r="R20" s="774"/>
      <c r="S20" s="775"/>
      <c r="T20" s="774"/>
      <c r="U20" s="775"/>
      <c r="V20" s="774"/>
      <c r="W20" s="775"/>
      <c r="X20" s="1816"/>
      <c r="Y20" s="3416"/>
      <c r="Z20" s="1817"/>
      <c r="AA20" s="1814">
        <v>1</v>
      </c>
      <c r="AB20" s="1814">
        <v>1</v>
      </c>
      <c r="AC20" s="1814">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90</v>
      </c>
      <c r="G21" s="452"/>
      <c r="H21" s="450">
        <f>SUMIF(94:94,G22,95:95)-SUMIF(94:94,C22,95:95)+100</f>
        <v>90</v>
      </c>
      <c r="I21" s="454"/>
      <c r="J21" s="450">
        <f>SUMIF(94:94,I22,95:95)-SUMIF(94:94,C22,95:95)+100</f>
        <v>90</v>
      </c>
      <c r="K21" s="673">
        <v>10</v>
      </c>
      <c r="L21" s="1143"/>
      <c r="M21" s="1134"/>
      <c r="N21" s="1134"/>
      <c r="O21" s="1142"/>
      <c r="P21" s="3416"/>
      <c r="Q21" s="1813" t="str">
        <f>B21</f>
        <v>交通便捷度</v>
      </c>
      <c r="R21" s="774" t="s">
        <v>17</v>
      </c>
      <c r="S21" s="775">
        <f>F21</f>
        <v>90</v>
      </c>
      <c r="T21" s="774" t="s">
        <v>17</v>
      </c>
      <c r="U21" s="775">
        <f>H21</f>
        <v>90</v>
      </c>
      <c r="V21" s="774" t="s">
        <v>17</v>
      </c>
      <c r="W21" s="775">
        <f>J21</f>
        <v>90</v>
      </c>
      <c r="X21" s="1816"/>
      <c r="Y21" s="3416"/>
      <c r="Z21" s="1817" t="str">
        <f>Q21</f>
        <v>交通便捷度</v>
      </c>
      <c r="AA21" s="1814">
        <f t="shared" si="3"/>
        <v>1.1111111111111112</v>
      </c>
      <c r="AB21" s="1814">
        <f t="shared" si="4"/>
        <v>1.1111111111111112</v>
      </c>
      <c r="AC21" s="1814">
        <f t="shared" si="5"/>
        <v>1.1111111111111112</v>
      </c>
    </row>
    <row r="22" spans="1:29" ht="15">
      <c r="A22" s="428"/>
      <c r="B22" s="1387"/>
      <c r="C22" s="447" t="s">
        <v>3234</v>
      </c>
      <c r="D22" s="450"/>
      <c r="E22" s="2607" t="s">
        <v>3232</v>
      </c>
      <c r="F22" s="448"/>
      <c r="G22" s="2607" t="s">
        <v>3232</v>
      </c>
      <c r="H22" s="448"/>
      <c r="I22" s="2607" t="s">
        <v>3232</v>
      </c>
      <c r="J22" s="448"/>
      <c r="K22" s="672"/>
      <c r="L22" s="1143"/>
      <c r="M22" s="1134"/>
      <c r="N22" s="1134"/>
      <c r="O22" s="1142"/>
      <c r="P22" s="3416"/>
      <c r="Q22" s="1813"/>
      <c r="R22" s="774"/>
      <c r="S22" s="775"/>
      <c r="T22" s="774"/>
      <c r="U22" s="775"/>
      <c r="V22" s="774"/>
      <c r="W22" s="775"/>
      <c r="X22" s="1816"/>
      <c r="Y22" s="3416"/>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416"/>
      <c r="Q23" s="1813" t="str">
        <f t="shared" ref="Q23:Q37" si="8">B23</f>
        <v>区域土地利用方向</v>
      </c>
      <c r="R23" s="774" t="s">
        <v>17</v>
      </c>
      <c r="S23" s="775">
        <f>F23</f>
        <v>100</v>
      </c>
      <c r="T23" s="774" t="s">
        <v>17</v>
      </c>
      <c r="U23" s="775">
        <f>H23</f>
        <v>100</v>
      </c>
      <c r="V23" s="774" t="s">
        <v>17</v>
      </c>
      <c r="W23" s="775">
        <f>J23</f>
        <v>100</v>
      </c>
      <c r="X23" s="1816"/>
      <c r="Y23" s="3416"/>
      <c r="Z23" s="1817" t="str">
        <f>Q23</f>
        <v>区域土地利用方向</v>
      </c>
      <c r="AA23" s="1814">
        <f t="shared" si="3"/>
        <v>1</v>
      </c>
      <c r="AB23" s="1814">
        <f t="shared" si="4"/>
        <v>1</v>
      </c>
      <c r="AC23" s="1814">
        <f t="shared" si="5"/>
        <v>1</v>
      </c>
    </row>
    <row r="24" spans="1:29" ht="15">
      <c r="A24" s="404"/>
      <c r="B24" s="456"/>
      <c r="C24" s="616" t="s">
        <v>3234</v>
      </c>
      <c r="D24" s="448"/>
      <c r="E24" s="616" t="s">
        <v>3234</v>
      </c>
      <c r="F24" s="448"/>
      <c r="G24" s="616" t="s">
        <v>3234</v>
      </c>
      <c r="H24" s="448"/>
      <c r="I24" s="616" t="s">
        <v>3234</v>
      </c>
      <c r="J24" s="448"/>
      <c r="K24" s="812"/>
      <c r="L24" s="1143"/>
      <c r="M24" s="1134"/>
      <c r="N24" s="1134"/>
      <c r="O24" s="1142"/>
      <c r="P24" s="3416"/>
      <c r="Q24" s="1813"/>
      <c r="R24" s="774"/>
      <c r="S24" s="775"/>
      <c r="T24" s="774"/>
      <c r="U24" s="775"/>
      <c r="V24" s="774"/>
      <c r="W24" s="775"/>
      <c r="X24" s="1816"/>
      <c r="Y24" s="3416"/>
      <c r="Z24" s="1817"/>
      <c r="AA24" s="1814"/>
      <c r="AB24" s="1814"/>
      <c r="AC24" s="1814"/>
    </row>
    <row r="25" spans="1:29" ht="57">
      <c r="A25" s="404"/>
      <c r="B25" s="1387" t="s">
        <v>2748</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416"/>
      <c r="Q25" s="1813" t="str">
        <f t="shared" si="8"/>
        <v>自然及人文环境状况</v>
      </c>
      <c r="R25" s="774" t="s">
        <v>17</v>
      </c>
      <c r="S25" s="775">
        <f>F25</f>
        <v>100</v>
      </c>
      <c r="T25" s="774" t="s">
        <v>17</v>
      </c>
      <c r="U25" s="775">
        <f>H25</f>
        <v>100</v>
      </c>
      <c r="V25" s="774" t="s">
        <v>17</v>
      </c>
      <c r="W25" s="775">
        <f>J25</f>
        <v>100</v>
      </c>
      <c r="X25" s="1816"/>
      <c r="Y25" s="3416"/>
      <c r="Z25" s="1817" t="str">
        <f>Q25</f>
        <v>自然及人文环境状况</v>
      </c>
      <c r="AA25" s="1814">
        <f t="shared" si="3"/>
        <v>1</v>
      </c>
      <c r="AB25" s="1814">
        <f t="shared" si="4"/>
        <v>1</v>
      </c>
      <c r="AC25" s="1814">
        <f t="shared" si="5"/>
        <v>1</v>
      </c>
    </row>
    <row r="26" spans="1:29" ht="15">
      <c r="A26" s="404"/>
      <c r="B26" s="456"/>
      <c r="C26" s="447" t="s">
        <v>3234</v>
      </c>
      <c r="D26" s="448"/>
      <c r="E26" s="447" t="s">
        <v>3234</v>
      </c>
      <c r="F26" s="448"/>
      <c r="G26" s="447" t="s">
        <v>3234</v>
      </c>
      <c r="H26" s="448"/>
      <c r="I26" s="447" t="s">
        <v>3234</v>
      </c>
      <c r="J26" s="448"/>
      <c r="K26" s="672"/>
      <c r="L26" s="1143"/>
      <c r="M26" s="1134"/>
      <c r="N26" s="1134"/>
      <c r="O26" s="1142"/>
      <c r="P26" s="3416"/>
      <c r="Q26" s="1813"/>
      <c r="R26" s="774"/>
      <c r="S26" s="775"/>
      <c r="T26" s="774"/>
      <c r="U26" s="775"/>
      <c r="V26" s="774"/>
      <c r="W26" s="775"/>
      <c r="X26" s="1816"/>
      <c r="Y26" s="3416"/>
      <c r="Z26" s="1817"/>
      <c r="AA26" s="1814">
        <v>1</v>
      </c>
      <c r="AB26" s="1814">
        <v>1</v>
      </c>
      <c r="AC26" s="1814">
        <v>1</v>
      </c>
    </row>
    <row r="27" spans="1:29" s="117" customFormat="1" ht="42.75">
      <c r="A27" s="649"/>
      <c r="B27" s="1387"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416"/>
      <c r="Q27" s="1798" t="str">
        <f t="shared" si="8"/>
        <v>公共配套设施</v>
      </c>
      <c r="R27" s="770" t="s">
        <v>17</v>
      </c>
      <c r="S27" s="771">
        <f>F27</f>
        <v>100</v>
      </c>
      <c r="T27" s="770" t="s">
        <v>17</v>
      </c>
      <c r="U27" s="771">
        <f>H27</f>
        <v>100</v>
      </c>
      <c r="V27" s="770" t="s">
        <v>17</v>
      </c>
      <c r="W27" s="771">
        <f>J27</f>
        <v>100</v>
      </c>
      <c r="X27" s="772"/>
      <c r="Y27" s="3416"/>
      <c r="Z27" s="55" t="str">
        <f>Q27</f>
        <v>公共配套设施</v>
      </c>
      <c r="AA27" s="1814">
        <f>D27/F27</f>
        <v>1</v>
      </c>
      <c r="AB27" s="1814">
        <f>D27/H27</f>
        <v>1</v>
      </c>
      <c r="AC27" s="1814">
        <f>D27/J27</f>
        <v>1</v>
      </c>
    </row>
    <row r="28" spans="1:29" s="117" customFormat="1" ht="15">
      <c r="A28" s="649"/>
      <c r="B28" s="456"/>
      <c r="C28" s="2700" t="s">
        <v>3233</v>
      </c>
      <c r="D28" s="448"/>
      <c r="E28" s="2700" t="s">
        <v>3233</v>
      </c>
      <c r="F28" s="448"/>
      <c r="G28" s="2700" t="s">
        <v>3233</v>
      </c>
      <c r="H28" s="448"/>
      <c r="I28" s="2700" t="s">
        <v>3233</v>
      </c>
      <c r="J28" s="448"/>
      <c r="K28" s="672"/>
      <c r="L28" s="1135"/>
      <c r="M28" s="1136"/>
      <c r="N28" s="1136"/>
      <c r="O28" s="1137"/>
      <c r="P28" s="3416"/>
      <c r="Q28" s="1798"/>
      <c r="R28" s="770"/>
      <c r="S28" s="771"/>
      <c r="T28" s="770"/>
      <c r="U28" s="771"/>
      <c r="V28" s="770"/>
      <c r="W28" s="771"/>
      <c r="X28" s="772"/>
      <c r="Y28" s="3416"/>
      <c r="Z28" s="55"/>
      <c r="AA28" s="1814">
        <v>1</v>
      </c>
      <c r="AB28" s="1814">
        <v>1</v>
      </c>
      <c r="AC28" s="1814">
        <v>1</v>
      </c>
    </row>
    <row r="29" spans="1:29" s="117" customFormat="1" ht="28.5">
      <c r="A29" s="649"/>
      <c r="B29" s="1387"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416"/>
      <c r="Q29" s="1798" t="str">
        <f t="shared" ref="Q29" si="9">B29</f>
        <v>基础设施水平</v>
      </c>
      <c r="R29" s="770" t="s">
        <v>17</v>
      </c>
      <c r="S29" s="771">
        <f>F29</f>
        <v>100</v>
      </c>
      <c r="T29" s="770" t="s">
        <v>17</v>
      </c>
      <c r="U29" s="771">
        <f>H29</f>
        <v>100</v>
      </c>
      <c r="V29" s="770" t="s">
        <v>17</v>
      </c>
      <c r="W29" s="771">
        <f>J29</f>
        <v>100</v>
      </c>
      <c r="X29" s="772"/>
      <c r="Y29" s="3416"/>
      <c r="Z29" s="55" t="str">
        <f>Q29</f>
        <v>基础设施水平</v>
      </c>
      <c r="AA29" s="1814">
        <f>D29/F29</f>
        <v>1</v>
      </c>
      <c r="AB29" s="1814">
        <f>D29/H29</f>
        <v>1</v>
      </c>
      <c r="AC29" s="1814">
        <f>D29/J29</f>
        <v>1</v>
      </c>
    </row>
    <row r="30" spans="1:29" s="117" customFormat="1" ht="15.75" thickBot="1">
      <c r="A30" s="649"/>
      <c r="B30" s="456"/>
      <c r="C30" s="2700" t="s">
        <v>3235</v>
      </c>
      <c r="D30" s="448"/>
      <c r="E30" s="2700" t="s">
        <v>3235</v>
      </c>
      <c r="F30" s="448"/>
      <c r="G30" s="2700" t="s">
        <v>3235</v>
      </c>
      <c r="H30" s="448"/>
      <c r="I30" s="2700" t="s">
        <v>3235</v>
      </c>
      <c r="J30" s="448"/>
      <c r="K30" s="672"/>
      <c r="L30" s="1135"/>
      <c r="M30" s="1136"/>
      <c r="N30" s="1136"/>
      <c r="O30" s="1137"/>
      <c r="P30" s="3416"/>
      <c r="Q30" s="1798"/>
      <c r="R30" s="770"/>
      <c r="S30" s="771"/>
      <c r="T30" s="770"/>
      <c r="U30" s="771"/>
      <c r="V30" s="770"/>
      <c r="W30" s="771"/>
      <c r="X30" s="772"/>
      <c r="Y30" s="3416"/>
      <c r="Z30" s="55"/>
      <c r="AA30" s="1814">
        <v>1</v>
      </c>
      <c r="AB30" s="1814">
        <v>1</v>
      </c>
      <c r="AC30" s="1814">
        <v>1</v>
      </c>
    </row>
    <row r="31" spans="1:29" ht="15" hidden="1">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41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416"/>
      <c r="Z31" s="1817" t="str">
        <f t="shared" ref="Z31:Z45" si="13">Q31</f>
        <v>临街状况</v>
      </c>
      <c r="AA31" s="1814">
        <f t="shared" si="3"/>
        <v>1</v>
      </c>
      <c r="AB31" s="1814">
        <f t="shared" si="4"/>
        <v>1</v>
      </c>
      <c r="AC31" s="1814">
        <f t="shared" si="5"/>
        <v>1</v>
      </c>
    </row>
    <row r="32" spans="1:29" ht="27" hidden="1">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416"/>
      <c r="Q32" s="1813" t="str">
        <f t="shared" si="8"/>
        <v>毗邻道路的类型与等级</v>
      </c>
      <c r="R32" s="774" t="s">
        <v>17</v>
      </c>
      <c r="S32" s="775">
        <f t="shared" si="10"/>
        <v>100</v>
      </c>
      <c r="T32" s="774" t="s">
        <v>17</v>
      </c>
      <c r="U32" s="775">
        <f t="shared" si="11"/>
        <v>100</v>
      </c>
      <c r="V32" s="774" t="s">
        <v>17</v>
      </c>
      <c r="W32" s="775">
        <f t="shared" si="12"/>
        <v>100</v>
      </c>
      <c r="X32" s="1816"/>
      <c r="Y32" s="3416"/>
      <c r="Z32" s="1817" t="str">
        <f t="shared" si="13"/>
        <v>毗邻道路的类型与等级</v>
      </c>
      <c r="AA32" s="1814">
        <f t="shared" si="3"/>
        <v>1</v>
      </c>
      <c r="AB32" s="1814">
        <f t="shared" si="4"/>
        <v>1</v>
      </c>
      <c r="AC32" s="1814">
        <f t="shared" si="5"/>
        <v>1</v>
      </c>
    </row>
    <row r="33" spans="1:29" ht="15" hidden="1">
      <c r="A33" s="428"/>
      <c r="B33" s="456"/>
      <c r="C33" s="447"/>
      <c r="D33" s="448"/>
      <c r="E33" s="2613"/>
      <c r="F33" s="448"/>
      <c r="G33" s="2613"/>
      <c r="H33" s="448"/>
      <c r="I33" s="447"/>
      <c r="J33" s="448"/>
      <c r="K33" s="613"/>
      <c r="L33" s="1143"/>
      <c r="M33" s="1134"/>
      <c r="N33" s="1134"/>
      <c r="O33" s="1142"/>
      <c r="P33" s="3416"/>
      <c r="Q33" s="1813"/>
      <c r="R33" s="774"/>
      <c r="S33" s="775"/>
      <c r="T33" s="774"/>
      <c r="U33" s="775"/>
      <c r="V33" s="774"/>
      <c r="W33" s="775"/>
      <c r="X33" s="1816"/>
      <c r="Y33" s="3416"/>
      <c r="Z33" s="1817"/>
      <c r="AA33" s="1814">
        <v>1</v>
      </c>
      <c r="AB33" s="1814">
        <v>1</v>
      </c>
      <c r="AC33" s="1814">
        <v>1</v>
      </c>
    </row>
    <row r="34" spans="1:29" ht="15" hidden="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416"/>
      <c r="Q34" s="1813" t="str">
        <f t="shared" si="8"/>
        <v>土地级别</v>
      </c>
      <c r="R34" s="774" t="s">
        <v>17</v>
      </c>
      <c r="S34" s="775">
        <f t="shared" si="10"/>
        <v>100</v>
      </c>
      <c r="T34" s="774" t="s">
        <v>17</v>
      </c>
      <c r="U34" s="775">
        <f t="shared" si="11"/>
        <v>100</v>
      </c>
      <c r="V34" s="774" t="s">
        <v>17</v>
      </c>
      <c r="W34" s="775">
        <f t="shared" si="12"/>
        <v>100</v>
      </c>
      <c r="X34" s="1816"/>
      <c r="Y34" s="3416"/>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416"/>
      <c r="Q35" s="1813">
        <f t="shared" si="8"/>
        <v>111</v>
      </c>
      <c r="R35" s="774" t="s">
        <v>17</v>
      </c>
      <c r="S35" s="775">
        <f t="shared" si="10"/>
        <v>100</v>
      </c>
      <c r="T35" s="774" t="s">
        <v>17</v>
      </c>
      <c r="U35" s="775">
        <f t="shared" si="11"/>
        <v>100</v>
      </c>
      <c r="V35" s="774" t="s">
        <v>17</v>
      </c>
      <c r="W35" s="775">
        <f t="shared" si="12"/>
        <v>100</v>
      </c>
      <c r="X35" s="1816"/>
      <c r="Y35" s="3416"/>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417" t="s">
        <v>2564</v>
      </c>
      <c r="Q36" s="1813">
        <f t="shared" si="8"/>
        <v>111</v>
      </c>
      <c r="R36" s="774" t="s">
        <v>17</v>
      </c>
      <c r="S36" s="775">
        <f t="shared" si="10"/>
        <v>100</v>
      </c>
      <c r="T36" s="774" t="s">
        <v>17</v>
      </c>
      <c r="U36" s="775">
        <f t="shared" si="11"/>
        <v>100</v>
      </c>
      <c r="V36" s="774" t="s">
        <v>17</v>
      </c>
      <c r="W36" s="775">
        <f t="shared" si="12"/>
        <v>100</v>
      </c>
      <c r="X36" s="1816"/>
      <c r="Y36" s="3418" t="s">
        <v>2564</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418"/>
      <c r="Q37" s="1813">
        <f t="shared" si="8"/>
        <v>111</v>
      </c>
      <c r="R37" s="777" t="s">
        <v>17</v>
      </c>
      <c r="S37" s="778">
        <f t="shared" si="10"/>
        <v>100</v>
      </c>
      <c r="T37" s="777" t="s">
        <v>17</v>
      </c>
      <c r="U37" s="778">
        <f t="shared" si="11"/>
        <v>100</v>
      </c>
      <c r="V37" s="777" t="s">
        <v>17</v>
      </c>
      <c r="W37" s="778">
        <f t="shared" si="12"/>
        <v>100</v>
      </c>
      <c r="X37" s="779"/>
      <c r="Y37" s="3418"/>
      <c r="Z37" s="780">
        <f t="shared" si="13"/>
        <v>111</v>
      </c>
      <c r="AA37" s="1814">
        <f t="shared" si="3"/>
        <v>1</v>
      </c>
      <c r="AB37" s="1814">
        <f t="shared" si="4"/>
        <v>1</v>
      </c>
      <c r="AC37" s="1814">
        <f t="shared" si="5"/>
        <v>1</v>
      </c>
    </row>
    <row r="38" spans="1:29" ht="15">
      <c r="A38" s="472" t="s">
        <v>2562</v>
      </c>
      <c r="B38" s="456" t="s">
        <v>2750</v>
      </c>
      <c r="C38" s="679">
        <f>'数据-基础表'!A3</f>
        <v>165503</v>
      </c>
      <c r="D38" s="467">
        <v>100</v>
      </c>
      <c r="E38" s="679">
        <f>Sheet3!D4</f>
        <v>178331</v>
      </c>
      <c r="F38" s="467">
        <f>LOOKUP(E38,117:117,118:118)-LOOKUP(C38,117:117,118:118)+100</f>
        <v>100</v>
      </c>
      <c r="G38" s="679">
        <f>Sheet3!D5</f>
        <v>44262</v>
      </c>
      <c r="H38" s="467">
        <f>LOOKUP(G38,117:117,118:118)-LOOKUP(C38,117:117,118:118)+100</f>
        <v>98</v>
      </c>
      <c r="I38" s="530">
        <f>Sheet3!D10</f>
        <v>27054</v>
      </c>
      <c r="J38" s="467">
        <f>LOOKUP(I38,117:117,118:118)-LOOKUP(C38,117:117,118:118)+100</f>
        <v>98</v>
      </c>
      <c r="K38" s="613"/>
      <c r="L38" s="1143"/>
      <c r="M38" s="1134"/>
      <c r="N38" s="1134"/>
      <c r="O38" s="1142"/>
      <c r="P38" s="3418"/>
      <c r="Q38" s="1813" t="str">
        <f>B38</f>
        <v>宗地面积</v>
      </c>
      <c r="R38" s="774" t="s">
        <v>17</v>
      </c>
      <c r="S38" s="775">
        <f t="shared" si="10"/>
        <v>100</v>
      </c>
      <c r="T38" s="774" t="s">
        <v>17</v>
      </c>
      <c r="U38" s="775">
        <f t="shared" si="11"/>
        <v>98</v>
      </c>
      <c r="V38" s="774" t="s">
        <v>17</v>
      </c>
      <c r="W38" s="775">
        <f t="shared" si="12"/>
        <v>98</v>
      </c>
      <c r="X38" s="1816"/>
      <c r="Y38" s="3418"/>
      <c r="Z38" s="1817" t="str">
        <f t="shared" si="13"/>
        <v>宗地面积</v>
      </c>
      <c r="AA38" s="1814">
        <f t="shared" si="3"/>
        <v>1</v>
      </c>
      <c r="AB38" s="1814">
        <f t="shared" si="4"/>
        <v>1.0204081632653061</v>
      </c>
      <c r="AC38" s="1814">
        <f t="shared" si="5"/>
        <v>1.0204081632653061</v>
      </c>
    </row>
    <row r="39" spans="1:29" ht="15">
      <c r="A39" s="472"/>
      <c r="B39" s="422" t="s">
        <v>2751</v>
      </c>
      <c r="C39" s="2615" t="s">
        <v>3250</v>
      </c>
      <c r="D39" s="435">
        <v>100</v>
      </c>
      <c r="E39" s="2615" t="s">
        <v>3250</v>
      </c>
      <c r="F39" s="435">
        <f>SUMIF(119:119,E39,120:120)-SUMIF(119:119,C39,120:120)+100</f>
        <v>100</v>
      </c>
      <c r="G39" s="2615" t="s">
        <v>3250</v>
      </c>
      <c r="H39" s="435">
        <f>SUMIF(119:119,G39,120:120)-SUMIF(119:119,C39,120:120)+100</f>
        <v>100</v>
      </c>
      <c r="I39" s="2615" t="s">
        <v>3250</v>
      </c>
      <c r="J39" s="435">
        <f>SUMIF(119:119,I39,120:120)-SUMIF(119:119,C39,120:120)+100</f>
        <v>100</v>
      </c>
      <c r="K39" s="612">
        <v>2</v>
      </c>
      <c r="L39" s="1143"/>
      <c r="M39" s="1134"/>
      <c r="N39" s="1134"/>
      <c r="O39" s="1142"/>
      <c r="P39" s="3418"/>
      <c r="Q39" s="1813" t="str">
        <f t="shared" ref="Q39:Q45" si="14">B39</f>
        <v>宗地形状</v>
      </c>
      <c r="R39" s="774" t="s">
        <v>17</v>
      </c>
      <c r="S39" s="775">
        <f t="shared" si="10"/>
        <v>100</v>
      </c>
      <c r="T39" s="774" t="s">
        <v>17</v>
      </c>
      <c r="U39" s="775">
        <f t="shared" si="11"/>
        <v>100</v>
      </c>
      <c r="V39" s="774" t="s">
        <v>17</v>
      </c>
      <c r="W39" s="775">
        <f t="shared" si="12"/>
        <v>100</v>
      </c>
      <c r="X39" s="1816"/>
      <c r="Y39" s="3418"/>
      <c r="Z39" s="1817" t="str">
        <f t="shared" si="13"/>
        <v>宗地形状</v>
      </c>
      <c r="AA39" s="1814">
        <f t="shared" si="3"/>
        <v>1</v>
      </c>
      <c r="AB39" s="1814">
        <f t="shared" si="4"/>
        <v>1</v>
      </c>
      <c r="AC39" s="1814">
        <f t="shared" si="5"/>
        <v>1</v>
      </c>
    </row>
    <row r="40" spans="1:29" ht="15">
      <c r="A40" s="472"/>
      <c r="B40" s="422" t="s">
        <v>2752</v>
      </c>
      <c r="C40" s="2615" t="s">
        <v>3251</v>
      </c>
      <c r="D40" s="435">
        <v>100</v>
      </c>
      <c r="E40" s="2615" t="s">
        <v>3251</v>
      </c>
      <c r="F40" s="435">
        <f>SUMIF(121:121,E40,122:122)-SUMIF(121:121,C40,122:122)+100</f>
        <v>100</v>
      </c>
      <c r="G40" s="2615" t="s">
        <v>3251</v>
      </c>
      <c r="H40" s="435">
        <f>SUMIF(121:121,G40,122:122)-SUMIF(121:121,C40,122:122)+100</f>
        <v>100</v>
      </c>
      <c r="I40" s="2615" t="s">
        <v>3251</v>
      </c>
      <c r="J40" s="435">
        <f>SUMIF(121:121,I40,122:122)-SUMIF(121:121,C40,122:122)+100</f>
        <v>100</v>
      </c>
      <c r="K40" s="612">
        <v>2</v>
      </c>
      <c r="L40" s="1143"/>
      <c r="M40" s="1134"/>
      <c r="N40" s="1134"/>
      <c r="O40" s="1142"/>
      <c r="P40" s="3418"/>
      <c r="Q40" s="1813" t="str">
        <f t="shared" si="14"/>
        <v>临街宽度及深度</v>
      </c>
      <c r="R40" s="774" t="s">
        <v>17</v>
      </c>
      <c r="S40" s="775">
        <f t="shared" si="10"/>
        <v>100</v>
      </c>
      <c r="T40" s="774" t="s">
        <v>17</v>
      </c>
      <c r="U40" s="775">
        <f t="shared" si="11"/>
        <v>100</v>
      </c>
      <c r="V40" s="774" t="s">
        <v>17</v>
      </c>
      <c r="W40" s="775">
        <f t="shared" si="12"/>
        <v>100</v>
      </c>
      <c r="X40" s="1816"/>
      <c r="Y40" s="3418"/>
      <c r="Z40" s="1817" t="str">
        <f t="shared" si="13"/>
        <v>临街宽度及深度</v>
      </c>
      <c r="AA40" s="1814">
        <f t="shared" si="3"/>
        <v>1</v>
      </c>
      <c r="AB40" s="1814">
        <f t="shared" si="4"/>
        <v>1</v>
      </c>
      <c r="AC40" s="1814">
        <f t="shared" si="5"/>
        <v>1</v>
      </c>
    </row>
    <row r="41" spans="1:29" s="117" customFormat="1" ht="15">
      <c r="A41" s="473"/>
      <c r="B41" s="422" t="s">
        <v>2753</v>
      </c>
      <c r="C41" s="2702" t="s">
        <v>3235</v>
      </c>
      <c r="D41" s="136">
        <v>100</v>
      </c>
      <c r="E41" s="2702" t="s">
        <v>3235</v>
      </c>
      <c r="F41" s="435">
        <f>SUMIF(123:123,E41,124:124)-SUMIF(123:123,C41,124:124)+100</f>
        <v>100</v>
      </c>
      <c r="G41" s="2702" t="s">
        <v>3235</v>
      </c>
      <c r="H41" s="435">
        <f>SUMIF(123:123,G41,124:124)-SUMIF(123:123,C41,124:124)+100</f>
        <v>100</v>
      </c>
      <c r="I41" s="2702" t="s">
        <v>3235</v>
      </c>
      <c r="J41" s="435">
        <f>SUMIF(123:123,I41,124:124)-SUMIF(123:123,C41,124:124)+100</f>
        <v>100</v>
      </c>
      <c r="K41" s="612">
        <v>1</v>
      </c>
      <c r="L41" s="1135"/>
      <c r="M41" s="1136"/>
      <c r="N41" s="1136"/>
      <c r="O41" s="1137"/>
      <c r="P41" s="3418"/>
      <c r="Q41" s="1813" t="str">
        <f t="shared" si="14"/>
        <v>宗地开发程度</v>
      </c>
      <c r="R41" s="770" t="s">
        <v>17</v>
      </c>
      <c r="S41" s="771">
        <f t="shared" si="10"/>
        <v>100</v>
      </c>
      <c r="T41" s="770" t="s">
        <v>17</v>
      </c>
      <c r="U41" s="771">
        <f t="shared" si="11"/>
        <v>100</v>
      </c>
      <c r="V41" s="770" t="s">
        <v>17</v>
      </c>
      <c r="W41" s="771">
        <f t="shared" si="12"/>
        <v>100</v>
      </c>
      <c r="X41" s="772"/>
      <c r="Y41" s="3418"/>
      <c r="Z41" s="55" t="str">
        <f t="shared" si="13"/>
        <v>宗地开发程度</v>
      </c>
      <c r="AA41" s="773">
        <f t="shared" si="3"/>
        <v>1</v>
      </c>
      <c r="AB41" s="773">
        <f t="shared" si="4"/>
        <v>1</v>
      </c>
      <c r="AC41" s="773">
        <f t="shared" si="5"/>
        <v>1</v>
      </c>
    </row>
    <row r="42" spans="1:29" ht="15.75" thickBot="1">
      <c r="A42" s="472"/>
      <c r="B42" s="422" t="s">
        <v>2754</v>
      </c>
      <c r="C42" s="2615" t="s">
        <v>3234</v>
      </c>
      <c r="D42" s="435">
        <v>100</v>
      </c>
      <c r="E42" s="2615" t="s">
        <v>3234</v>
      </c>
      <c r="F42" s="435">
        <f>SUMIF(125:125,E42,126:126)-SUMIF(125:125,C42,126:126)+100</f>
        <v>100</v>
      </c>
      <c r="G42" s="2615" t="s">
        <v>3234</v>
      </c>
      <c r="H42" s="435">
        <f>SUMIF(125:125,G42,126:126)-SUMIF(125:125,C42,126:126)+100</f>
        <v>100</v>
      </c>
      <c r="I42" s="2615" t="s">
        <v>3234</v>
      </c>
      <c r="J42" s="435">
        <f>SUMIF(125:125,I42,126:126)-SUMIF(125:125,C42,126:126)+100</f>
        <v>100</v>
      </c>
      <c r="K42" s="612">
        <v>2</v>
      </c>
      <c r="L42" s="1143"/>
      <c r="M42" s="1134"/>
      <c r="N42" s="1134"/>
      <c r="O42" s="1142"/>
      <c r="P42" s="3418" t="s">
        <v>2564</v>
      </c>
      <c r="Q42" s="1813" t="str">
        <f t="shared" si="14"/>
        <v>工程地质条件</v>
      </c>
      <c r="R42" s="774" t="s">
        <v>17</v>
      </c>
      <c r="S42" s="775">
        <f t="shared" si="10"/>
        <v>100</v>
      </c>
      <c r="T42" s="774" t="s">
        <v>17</v>
      </c>
      <c r="U42" s="775">
        <f t="shared" si="11"/>
        <v>100</v>
      </c>
      <c r="V42" s="774" t="s">
        <v>17</v>
      </c>
      <c r="W42" s="775">
        <f t="shared" si="12"/>
        <v>100</v>
      </c>
      <c r="X42" s="1816"/>
      <c r="Y42" s="3418" t="s">
        <v>2564</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418"/>
      <c r="Q43" s="1813">
        <f t="shared" si="14"/>
        <v>111</v>
      </c>
      <c r="R43" s="774" t="s">
        <v>17</v>
      </c>
      <c r="S43" s="775">
        <f t="shared" si="10"/>
        <v>100</v>
      </c>
      <c r="T43" s="774" t="s">
        <v>17</v>
      </c>
      <c r="U43" s="775">
        <f t="shared" si="11"/>
        <v>100</v>
      </c>
      <c r="V43" s="774" t="s">
        <v>17</v>
      </c>
      <c r="W43" s="775">
        <f t="shared" si="12"/>
        <v>100</v>
      </c>
      <c r="X43" s="1816"/>
      <c r="Y43" s="3418"/>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418"/>
      <c r="Q44" s="1813">
        <f t="shared" si="14"/>
        <v>111</v>
      </c>
      <c r="R44" s="774" t="s">
        <v>17</v>
      </c>
      <c r="S44" s="775">
        <f t="shared" si="10"/>
        <v>100</v>
      </c>
      <c r="T44" s="774" t="s">
        <v>17</v>
      </c>
      <c r="U44" s="775">
        <f t="shared" si="11"/>
        <v>100</v>
      </c>
      <c r="V44" s="774" t="s">
        <v>17</v>
      </c>
      <c r="W44" s="775">
        <f t="shared" si="12"/>
        <v>100</v>
      </c>
      <c r="X44" s="1816"/>
      <c r="Y44" s="3418"/>
      <c r="Z44" s="1817">
        <f t="shared" si="13"/>
        <v>111</v>
      </c>
      <c r="AA44" s="1814">
        <f t="shared" si="3"/>
        <v>1</v>
      </c>
      <c r="AB44" s="1814">
        <f t="shared" si="4"/>
        <v>1</v>
      </c>
      <c r="AC44" s="1814">
        <f t="shared" si="5"/>
        <v>1</v>
      </c>
    </row>
    <row r="45" spans="1:29" s="471" customFormat="1" ht="15.75" hidden="1"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418"/>
      <c r="Q45" s="1813">
        <f t="shared" si="14"/>
        <v>111</v>
      </c>
      <c r="R45" s="777" t="s">
        <v>17</v>
      </c>
      <c r="S45" s="778">
        <f t="shared" si="10"/>
        <v>100</v>
      </c>
      <c r="T45" s="777" t="s">
        <v>17</v>
      </c>
      <c r="U45" s="778">
        <f t="shared" si="11"/>
        <v>100</v>
      </c>
      <c r="V45" s="777" t="s">
        <v>17</v>
      </c>
      <c r="W45" s="778">
        <f t="shared" si="12"/>
        <v>100</v>
      </c>
      <c r="X45" s="779"/>
      <c r="Y45" s="3418"/>
      <c r="Z45" s="780">
        <f t="shared" si="13"/>
        <v>111</v>
      </c>
      <c r="AA45" s="1814">
        <f t="shared" si="3"/>
        <v>1</v>
      </c>
      <c r="AB45" s="1814">
        <f t="shared" si="4"/>
        <v>1</v>
      </c>
      <c r="AC45" s="1814">
        <f t="shared" si="5"/>
        <v>1</v>
      </c>
    </row>
    <row r="46" spans="1:29" ht="15">
      <c r="A46" s="479" t="s">
        <v>2719</v>
      </c>
      <c r="B46" s="2704" t="s">
        <v>3221</v>
      </c>
      <c r="C46" s="682" t="s">
        <v>1</v>
      </c>
      <c r="D46" s="481"/>
      <c r="E46" s="482">
        <f>ROUND(Sheet3!K4,0)</f>
        <v>2164</v>
      </c>
      <c r="F46" s="483"/>
      <c r="G46" s="484">
        <f>ROUND(Sheet3!K5,0)</f>
        <v>2211</v>
      </c>
      <c r="H46" s="485"/>
      <c r="I46" s="482">
        <f>ROUND(Sheet3!K10,0)</f>
        <v>2580</v>
      </c>
      <c r="J46" s="485"/>
      <c r="K46" s="783"/>
      <c r="L46" s="1146"/>
      <c r="M46" s="1147"/>
      <c r="N46" s="1134"/>
      <c r="O46" s="1147"/>
      <c r="P46" s="3400" t="str">
        <f>A46</f>
        <v>成交单价</v>
      </c>
      <c r="Q46" s="3400"/>
      <c r="R46" s="3413">
        <f>E46</f>
        <v>2164</v>
      </c>
      <c r="S46" s="3413"/>
      <c r="T46" s="3413">
        <f>G46</f>
        <v>2211</v>
      </c>
      <c r="U46" s="3413"/>
      <c r="V46" s="3413">
        <f>I46</f>
        <v>2580</v>
      </c>
      <c r="W46" s="3413"/>
      <c r="X46" s="759"/>
      <c r="Y46" s="781"/>
      <c r="Z46" s="759"/>
      <c r="AA46" s="759"/>
      <c r="AB46" s="759"/>
      <c r="AC46" s="759"/>
    </row>
    <row r="47" spans="1:29" ht="15.75" thickBot="1">
      <c r="A47" s="486" t="s">
        <v>2668</v>
      </c>
      <c r="B47" s="683"/>
      <c r="C47" s="490">
        <f>R48</f>
        <v>2603</v>
      </c>
      <c r="D47" s="489"/>
      <c r="E47" s="490">
        <f>R47</f>
        <v>2404</v>
      </c>
      <c r="F47" s="491"/>
      <c r="G47" s="488">
        <f>T47</f>
        <v>2507</v>
      </c>
      <c r="H47" s="489"/>
      <c r="I47" s="490">
        <f>V47</f>
        <v>2897</v>
      </c>
      <c r="J47" s="489"/>
      <c r="K47" s="784"/>
      <c r="L47" s="1146"/>
      <c r="M47" s="1147"/>
      <c r="N47" s="1147"/>
      <c r="O47" s="1147"/>
      <c r="P47" s="3400" t="str">
        <f>A47</f>
        <v>比较价值（元/平方米）</v>
      </c>
      <c r="Q47" s="3400"/>
      <c r="R47" s="3419">
        <f>ROUND(PRODUCT(R46,AA7:AA45),0)</f>
        <v>2404</v>
      </c>
      <c r="S47" s="3419"/>
      <c r="T47" s="3419">
        <f>ROUND(PRODUCT(T46,AB7:AB45),0)</f>
        <v>2507</v>
      </c>
      <c r="U47" s="3419"/>
      <c r="V47" s="3419">
        <f>ROUND(PRODUCT(V46,AC7:AC45),0)</f>
        <v>2897</v>
      </c>
      <c r="W47" s="3419"/>
      <c r="X47" s="759"/>
      <c r="Y47" s="759"/>
      <c r="Z47" s="759"/>
      <c r="AA47" s="759"/>
      <c r="AB47" s="759"/>
      <c r="AC47" s="759"/>
    </row>
    <row r="48" spans="1:29" ht="15.75" thickBot="1">
      <c r="A48" s="492" t="s">
        <v>2755</v>
      </c>
      <c r="B48" s="493"/>
      <c r="C48" s="494">
        <f>R48</f>
        <v>2603</v>
      </c>
      <c r="D48" s="494"/>
      <c r="E48" s="494"/>
      <c r="F48" s="494"/>
      <c r="G48" s="494"/>
      <c r="H48" s="494"/>
      <c r="I48" s="494"/>
      <c r="J48" s="494"/>
      <c r="K48" s="785"/>
      <c r="L48" s="1146"/>
      <c r="M48" s="1147"/>
      <c r="N48" s="1147"/>
      <c r="O48" s="1147"/>
      <c r="P48" s="3420" t="str">
        <f>A48</f>
        <v>估价对象XX用房的比较价值（楼面单价，元/平方米）</v>
      </c>
      <c r="Q48" s="3421"/>
      <c r="R48" s="3422">
        <f>ROUND(AVERAGE(R47:V47),0)</f>
        <v>2603</v>
      </c>
      <c r="S48" s="3422"/>
      <c r="T48" s="3422"/>
      <c r="U48" s="3422"/>
      <c r="V48" s="3422"/>
      <c r="W48" s="342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0.11090573012939009</v>
      </c>
      <c r="F51" s="500" t="str">
        <f>IF(OR(E51&gt;=0.3,E51&lt;=-0.3),"超过30%","")</f>
        <v/>
      </c>
      <c r="G51" s="499">
        <f>IF(G46&lt;G47,G47/G46-1,G46/G47-1)</f>
        <v>0.13387607417458169</v>
      </c>
      <c r="H51" s="500" t="str">
        <f>IF(OR(G51&gt;=0.3,G51&lt;=-0.3),"超过30%","")</f>
        <v/>
      </c>
      <c r="I51" s="499">
        <f>IF(I46&lt;I47,I47/I46-1,I46/I47-1)</f>
        <v>0.12286821705426365</v>
      </c>
      <c r="J51" s="500" t="str">
        <f>IF(OR(I51&gt;=0.3,I51&lt;=-0.3),"超过30%","")</f>
        <v/>
      </c>
      <c r="K51" s="1108"/>
      <c r="L51" s="1109"/>
      <c r="M51" s="1147"/>
      <c r="N51" s="1147"/>
      <c r="O51" s="1147"/>
    </row>
    <row r="52" spans="1:15" ht="13.5" customHeight="1">
      <c r="A52" s="1147"/>
      <c r="B52" s="1147"/>
      <c r="C52" s="497" t="s">
        <v>2671</v>
      </c>
      <c r="D52" s="501"/>
      <c r="E52" s="499">
        <f>IF(E47&lt;G47,G47/E47-1,E47/G47-1)</f>
        <v>4.2845257903494138E-2</v>
      </c>
      <c r="F52" s="500" t="str">
        <f>IF(OR(E52&gt;=0.2,E52&lt;=-0.2),"超过20%","")</f>
        <v/>
      </c>
      <c r="G52" s="499">
        <f>IF(G47&lt;I47,I47/G47-1,G47/I47-1)</f>
        <v>0.15556441962504985</v>
      </c>
      <c r="H52" s="500" t="str">
        <f>IF(OR(G52&gt;=0.2,G52&lt;=-0.2),"超过20%","")</f>
        <v/>
      </c>
      <c r="I52" s="499">
        <f>IF(I47&lt;E47,E47/I47-1,I47/E47-1)</f>
        <v>0.20507487520798673</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2.1719038817005654E-2</v>
      </c>
      <c r="F53" s="500" t="str">
        <f>IF(OR(E53&gt;=0.3,E53&lt;=-0.3),"超过30%","")</f>
        <v/>
      </c>
      <c r="G53" s="499">
        <f>IF(G46&lt;I46,I46/G46-1,G46/I46-1)</f>
        <v>0.16689280868385348</v>
      </c>
      <c r="H53" s="500" t="str">
        <f>IF(OR(G53&gt;=0.3,G53&lt;=-0.3),"超过30%","")</f>
        <v/>
      </c>
      <c r="I53" s="499">
        <f>IF(I46&lt;E46,E46/I46-1,I46/E46-1)</f>
        <v>0.19223659889094269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5" t="s">
        <v>2758</v>
      </c>
      <c r="D55" s="2706" t="s">
        <v>2759</v>
      </c>
      <c r="E55" s="686" t="s">
        <v>2760</v>
      </c>
      <c r="F55" s="1110" t="s">
        <v>2761</v>
      </c>
      <c r="G55" s="3401" t="s">
        <v>2762</v>
      </c>
      <c r="H55" s="3423"/>
      <c r="I55" s="144" t="s">
        <v>2763</v>
      </c>
      <c r="J55" s="2707" t="str">
        <f>项目基本情况!F35</f>
        <v>河北省</v>
      </c>
      <c r="K55" s="2708" t="s">
        <v>2764</v>
      </c>
      <c r="L55" s="1109"/>
      <c r="M55" s="1147"/>
      <c r="N55" s="1147"/>
      <c r="O55" s="1147"/>
    </row>
    <row r="56" spans="1:15" s="692" customFormat="1">
      <c r="A56" s="688" t="s">
        <v>2765</v>
      </c>
      <c r="B56" s="689">
        <f>C48</f>
        <v>2603</v>
      </c>
      <c r="C56" s="690">
        <v>1</v>
      </c>
      <c r="D56" s="1166">
        <v>1</v>
      </c>
      <c r="E56" s="690">
        <f>'数据-汇总表'!E8+'数据-汇总表'!E9</f>
        <v>190764.08000000002</v>
      </c>
      <c r="F56" s="1106">
        <f t="shared" ref="F56:F65" si="15">ROUND(B56*E56/10000,0)</f>
        <v>49656</v>
      </c>
      <c r="G56" s="3424"/>
      <c r="H56" s="3400"/>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425"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425"/>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425"/>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425"/>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09"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09"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0"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190764.08000000002</v>
      </c>
      <c r="F66" s="697">
        <f>IF(B46="楼面地价",SUM(F56:F65),ROUND(C48*E66/10000,0))</f>
        <v>49656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1" t="s">
        <v>2780</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2" t="s">
        <v>2781</v>
      </c>
      <c r="B71" s="332" t="str">
        <f>"北京市平均增长率"&amp;TEXT(SUMIF(基准地价修正!N21:N25,A71,基准地价修正!P21:P25),"0.00%")</f>
        <v>北京市平均增长率2.29%</v>
      </c>
      <c r="C71" s="603">
        <v>100</v>
      </c>
      <c r="D71" s="595">
        <f>C71-1</f>
        <v>99</v>
      </c>
      <c r="E71" s="595">
        <f t="shared" ref="E71:G71" si="20">D71-1</f>
        <v>98</v>
      </c>
      <c r="F71" s="595">
        <f t="shared" si="20"/>
        <v>97</v>
      </c>
      <c r="G71" s="595">
        <f t="shared" si="20"/>
        <v>96</v>
      </c>
      <c r="H71" s="595"/>
      <c r="I71" s="595"/>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3118" t="s">
        <v>3220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v>
      </c>
      <c r="H79" s="547" t="str">
        <f t="shared" si="21"/>
        <v>（含）-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97</v>
      </c>
      <c r="E93" s="544">
        <f>D93-$K19</f>
        <v>94</v>
      </c>
      <c r="F93" s="544">
        <f>E93-$K19</f>
        <v>91</v>
      </c>
      <c r="G93" s="544">
        <f>F93-$K19</f>
        <v>88</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90</v>
      </c>
      <c r="E95" s="544">
        <f>D95-$K21</f>
        <v>80</v>
      </c>
      <c r="F95" s="544">
        <f>E95-$K21</f>
        <v>70</v>
      </c>
      <c r="G95" s="544">
        <f>F95-$K21</f>
        <v>60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0(含)-50000</v>
      </c>
      <c r="D116" s="529" t="str">
        <f t="shared" ref="D116:M116" si="26">D117&amp;"(含)"&amp;"-"&amp;E117</f>
        <v>50000(含)-100000</v>
      </c>
      <c r="E116" s="529" t="str">
        <f t="shared" si="26"/>
        <v>100000(含)-150000</v>
      </c>
      <c r="F116" s="529" t="str">
        <f t="shared" si="26"/>
        <v>150000(含)-200000</v>
      </c>
      <c r="G116" s="529" t="str">
        <f t="shared" si="26"/>
        <v>200000(含)-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55"/>
      <c r="O117" s="1155"/>
      <c r="P117" s="45"/>
      <c r="Q117" s="504"/>
    </row>
    <row r="118" spans="1:17" ht="15.75" thickBot="1">
      <c r="A118" s="534"/>
      <c r="B118" s="543"/>
      <c r="C118" s="570">
        <v>96</v>
      </c>
      <c r="D118" s="591">
        <v>98</v>
      </c>
      <c r="E118" s="591">
        <v>100</v>
      </c>
      <c r="F118" s="591">
        <v>98</v>
      </c>
      <c r="G118" s="591">
        <v>96</v>
      </c>
      <c r="H118" s="591"/>
      <c r="I118" s="591"/>
      <c r="J118" s="591"/>
      <c r="K118" s="591"/>
      <c r="L118" s="591"/>
      <c r="M118" s="592"/>
      <c r="N118" s="1156"/>
      <c r="O118" s="1156"/>
      <c r="P118" s="45"/>
      <c r="Q118" s="504"/>
    </row>
    <row r="119" spans="1:17" ht="15" thickTop="1">
      <c r="A119" s="599"/>
      <c r="B119" s="538" t="s">
        <v>2790</v>
      </c>
      <c r="C119" s="3128" t="s">
        <v>3236</v>
      </c>
      <c r="D119" s="3128" t="s">
        <v>3237</v>
      </c>
      <c r="E119" s="3128" t="s">
        <v>3238</v>
      </c>
      <c r="F119" s="3128" t="s">
        <v>3239</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2791</v>
      </c>
      <c r="C121" s="3129" t="s">
        <v>3240</v>
      </c>
      <c r="D121" s="3129" t="s">
        <v>3241</v>
      </c>
      <c r="E121" s="3129" t="s">
        <v>3242</v>
      </c>
      <c r="F121" s="3128" t="s">
        <v>3243</v>
      </c>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2792</v>
      </c>
      <c r="C123" s="554" t="s">
        <v>3244</v>
      </c>
      <c r="D123" s="554" t="s">
        <v>3245</v>
      </c>
      <c r="E123" s="554" t="s">
        <v>3235</v>
      </c>
      <c r="F123" s="554" t="s">
        <v>3246</v>
      </c>
      <c r="G123" s="554" t="s">
        <v>3247</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7"/>
      <c r="O124" s="1157"/>
      <c r="P124" s="558"/>
      <c r="Q124" s="559"/>
    </row>
    <row r="125" spans="1:17" ht="15" thickTop="1">
      <c r="A125" s="599"/>
      <c r="B125" s="538" t="s">
        <v>2793</v>
      </c>
      <c r="C125" s="554" t="s">
        <v>3248</v>
      </c>
      <c r="D125" s="554" t="s">
        <v>3234</v>
      </c>
      <c r="E125" s="583" t="s">
        <v>3232</v>
      </c>
      <c r="F125" s="583" t="s">
        <v>3233</v>
      </c>
      <c r="G125" s="583" t="s">
        <v>3249</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51"/>
  <sheetViews>
    <sheetView workbookViewId="0">
      <selection activeCell="B17" sqref="A17:XFD17"/>
    </sheetView>
  </sheetViews>
  <sheetFormatPr defaultRowHeight="13.5"/>
  <cols>
    <col min="1" max="1" width="25.75" style="1638" customWidth="1"/>
    <col min="2" max="2" width="7.875" style="1638" customWidth="1"/>
    <col min="3" max="3" width="11.75" style="1638" customWidth="1"/>
    <col min="4" max="5" width="13.875" style="1638" customWidth="1"/>
    <col min="6" max="6" width="16.625" style="1638" customWidth="1"/>
    <col min="7" max="7" width="7.875" style="1638" customWidth="1"/>
    <col min="8" max="8" width="13.375" style="1638" customWidth="1"/>
    <col min="9" max="10" width="10.625" style="1638" customWidth="1"/>
    <col min="11" max="11" width="14.375" style="1638" customWidth="1"/>
    <col min="12" max="12" width="6.25" style="1638" customWidth="1"/>
    <col min="13" max="13" width="31" style="1638" customWidth="1"/>
    <col min="14" max="14" width="7.875" style="1638" hidden="1" customWidth="1"/>
    <col min="15" max="256" width="9" style="1638"/>
    <col min="257" max="257" width="25.75" style="1638" customWidth="1"/>
    <col min="258" max="258" width="7.875" style="1638" customWidth="1"/>
    <col min="259" max="259" width="11.75" style="1638" customWidth="1"/>
    <col min="260" max="261" width="13.875" style="1638" customWidth="1"/>
    <col min="262" max="262" width="24" style="1638" customWidth="1"/>
    <col min="263" max="263" width="7.875" style="1638" customWidth="1"/>
    <col min="264" max="264" width="9" style="1638" customWidth="1"/>
    <col min="265" max="266" width="10.625" style="1638" customWidth="1"/>
    <col min="267" max="267" width="14.375" style="1638" customWidth="1"/>
    <col min="268" max="268" width="6.25" style="1638" customWidth="1"/>
    <col min="269" max="269" width="31" style="1638" customWidth="1"/>
    <col min="270" max="270" width="0" style="1638" hidden="1" customWidth="1"/>
    <col min="271" max="512" width="9" style="1638"/>
    <col min="513" max="513" width="25.75" style="1638" customWidth="1"/>
    <col min="514" max="514" width="7.875" style="1638" customWidth="1"/>
    <col min="515" max="515" width="11.75" style="1638" customWidth="1"/>
    <col min="516" max="517" width="13.875" style="1638" customWidth="1"/>
    <col min="518" max="518" width="24" style="1638" customWidth="1"/>
    <col min="519" max="519" width="7.875" style="1638" customWidth="1"/>
    <col min="520" max="520" width="9" style="1638" customWidth="1"/>
    <col min="521" max="522" width="10.625" style="1638" customWidth="1"/>
    <col min="523" max="523" width="14.375" style="1638" customWidth="1"/>
    <col min="524" max="524" width="6.25" style="1638" customWidth="1"/>
    <col min="525" max="525" width="31" style="1638" customWidth="1"/>
    <col min="526" max="526" width="0" style="1638" hidden="1" customWidth="1"/>
    <col min="527" max="768" width="9" style="1638"/>
    <col min="769" max="769" width="25.75" style="1638" customWidth="1"/>
    <col min="770" max="770" width="7.875" style="1638" customWidth="1"/>
    <col min="771" max="771" width="11.75" style="1638" customWidth="1"/>
    <col min="772" max="773" width="13.875" style="1638" customWidth="1"/>
    <col min="774" max="774" width="24" style="1638" customWidth="1"/>
    <col min="775" max="775" width="7.875" style="1638" customWidth="1"/>
    <col min="776" max="776" width="9" style="1638" customWidth="1"/>
    <col min="777" max="778" width="10.625" style="1638" customWidth="1"/>
    <col min="779" max="779" width="14.375" style="1638" customWidth="1"/>
    <col min="780" max="780" width="6.25" style="1638" customWidth="1"/>
    <col min="781" max="781" width="31" style="1638" customWidth="1"/>
    <col min="782" max="782" width="0" style="1638" hidden="1" customWidth="1"/>
    <col min="783" max="1024" width="9" style="1638"/>
    <col min="1025" max="1025" width="25.75" style="1638" customWidth="1"/>
    <col min="1026" max="1026" width="7.875" style="1638" customWidth="1"/>
    <col min="1027" max="1027" width="11.75" style="1638" customWidth="1"/>
    <col min="1028" max="1029" width="13.875" style="1638" customWidth="1"/>
    <col min="1030" max="1030" width="24" style="1638" customWidth="1"/>
    <col min="1031" max="1031" width="7.875" style="1638" customWidth="1"/>
    <col min="1032" max="1032" width="9" style="1638" customWidth="1"/>
    <col min="1033" max="1034" width="10.625" style="1638" customWidth="1"/>
    <col min="1035" max="1035" width="14.375" style="1638" customWidth="1"/>
    <col min="1036" max="1036" width="6.25" style="1638" customWidth="1"/>
    <col min="1037" max="1037" width="31" style="1638" customWidth="1"/>
    <col min="1038" max="1038" width="0" style="1638" hidden="1" customWidth="1"/>
    <col min="1039" max="1280" width="9" style="1638"/>
    <col min="1281" max="1281" width="25.75" style="1638" customWidth="1"/>
    <col min="1282" max="1282" width="7.875" style="1638" customWidth="1"/>
    <col min="1283" max="1283" width="11.75" style="1638" customWidth="1"/>
    <col min="1284" max="1285" width="13.875" style="1638" customWidth="1"/>
    <col min="1286" max="1286" width="24" style="1638" customWidth="1"/>
    <col min="1287" max="1287" width="7.875" style="1638" customWidth="1"/>
    <col min="1288" max="1288" width="9" style="1638" customWidth="1"/>
    <col min="1289" max="1290" width="10.625" style="1638" customWidth="1"/>
    <col min="1291" max="1291" width="14.375" style="1638" customWidth="1"/>
    <col min="1292" max="1292" width="6.25" style="1638" customWidth="1"/>
    <col min="1293" max="1293" width="31" style="1638" customWidth="1"/>
    <col min="1294" max="1294" width="0" style="1638" hidden="1" customWidth="1"/>
    <col min="1295" max="1536" width="9" style="1638"/>
    <col min="1537" max="1537" width="25.75" style="1638" customWidth="1"/>
    <col min="1538" max="1538" width="7.875" style="1638" customWidth="1"/>
    <col min="1539" max="1539" width="11.75" style="1638" customWidth="1"/>
    <col min="1540" max="1541" width="13.875" style="1638" customWidth="1"/>
    <col min="1542" max="1542" width="24" style="1638" customWidth="1"/>
    <col min="1543" max="1543" width="7.875" style="1638" customWidth="1"/>
    <col min="1544" max="1544" width="9" style="1638" customWidth="1"/>
    <col min="1545" max="1546" width="10.625" style="1638" customWidth="1"/>
    <col min="1547" max="1547" width="14.375" style="1638" customWidth="1"/>
    <col min="1548" max="1548" width="6.25" style="1638" customWidth="1"/>
    <col min="1549" max="1549" width="31" style="1638" customWidth="1"/>
    <col min="1550" max="1550" width="0" style="1638" hidden="1" customWidth="1"/>
    <col min="1551" max="1792" width="9" style="1638"/>
    <col min="1793" max="1793" width="25.75" style="1638" customWidth="1"/>
    <col min="1794" max="1794" width="7.875" style="1638" customWidth="1"/>
    <col min="1795" max="1795" width="11.75" style="1638" customWidth="1"/>
    <col min="1796" max="1797" width="13.875" style="1638" customWidth="1"/>
    <col min="1798" max="1798" width="24" style="1638" customWidth="1"/>
    <col min="1799" max="1799" width="7.875" style="1638" customWidth="1"/>
    <col min="1800" max="1800" width="9" style="1638" customWidth="1"/>
    <col min="1801" max="1802" width="10.625" style="1638" customWidth="1"/>
    <col min="1803" max="1803" width="14.375" style="1638" customWidth="1"/>
    <col min="1804" max="1804" width="6.25" style="1638" customWidth="1"/>
    <col min="1805" max="1805" width="31" style="1638" customWidth="1"/>
    <col min="1806" max="1806" width="0" style="1638" hidden="1" customWidth="1"/>
    <col min="1807" max="2048" width="9" style="1638"/>
    <col min="2049" max="2049" width="25.75" style="1638" customWidth="1"/>
    <col min="2050" max="2050" width="7.875" style="1638" customWidth="1"/>
    <col min="2051" max="2051" width="11.75" style="1638" customWidth="1"/>
    <col min="2052" max="2053" width="13.875" style="1638" customWidth="1"/>
    <col min="2054" max="2054" width="24" style="1638" customWidth="1"/>
    <col min="2055" max="2055" width="7.875" style="1638" customWidth="1"/>
    <col min="2056" max="2056" width="9" style="1638" customWidth="1"/>
    <col min="2057" max="2058" width="10.625" style="1638" customWidth="1"/>
    <col min="2059" max="2059" width="14.375" style="1638" customWidth="1"/>
    <col min="2060" max="2060" width="6.25" style="1638" customWidth="1"/>
    <col min="2061" max="2061" width="31" style="1638" customWidth="1"/>
    <col min="2062" max="2062" width="0" style="1638" hidden="1" customWidth="1"/>
    <col min="2063" max="2304" width="9" style="1638"/>
    <col min="2305" max="2305" width="25.75" style="1638" customWidth="1"/>
    <col min="2306" max="2306" width="7.875" style="1638" customWidth="1"/>
    <col min="2307" max="2307" width="11.75" style="1638" customWidth="1"/>
    <col min="2308" max="2309" width="13.875" style="1638" customWidth="1"/>
    <col min="2310" max="2310" width="24" style="1638" customWidth="1"/>
    <col min="2311" max="2311" width="7.875" style="1638" customWidth="1"/>
    <col min="2312" max="2312" width="9" style="1638" customWidth="1"/>
    <col min="2313" max="2314" width="10.625" style="1638" customWidth="1"/>
    <col min="2315" max="2315" width="14.375" style="1638" customWidth="1"/>
    <col min="2316" max="2316" width="6.25" style="1638" customWidth="1"/>
    <col min="2317" max="2317" width="31" style="1638" customWidth="1"/>
    <col min="2318" max="2318" width="0" style="1638" hidden="1" customWidth="1"/>
    <col min="2319" max="2560" width="9" style="1638"/>
    <col min="2561" max="2561" width="25.75" style="1638" customWidth="1"/>
    <col min="2562" max="2562" width="7.875" style="1638" customWidth="1"/>
    <col min="2563" max="2563" width="11.75" style="1638" customWidth="1"/>
    <col min="2564" max="2565" width="13.875" style="1638" customWidth="1"/>
    <col min="2566" max="2566" width="24" style="1638" customWidth="1"/>
    <col min="2567" max="2567" width="7.875" style="1638" customWidth="1"/>
    <col min="2568" max="2568" width="9" style="1638" customWidth="1"/>
    <col min="2569" max="2570" width="10.625" style="1638" customWidth="1"/>
    <col min="2571" max="2571" width="14.375" style="1638" customWidth="1"/>
    <col min="2572" max="2572" width="6.25" style="1638" customWidth="1"/>
    <col min="2573" max="2573" width="31" style="1638" customWidth="1"/>
    <col min="2574" max="2574" width="0" style="1638" hidden="1" customWidth="1"/>
    <col min="2575" max="2816" width="9" style="1638"/>
    <col min="2817" max="2817" width="25.75" style="1638" customWidth="1"/>
    <col min="2818" max="2818" width="7.875" style="1638" customWidth="1"/>
    <col min="2819" max="2819" width="11.75" style="1638" customWidth="1"/>
    <col min="2820" max="2821" width="13.875" style="1638" customWidth="1"/>
    <col min="2822" max="2822" width="24" style="1638" customWidth="1"/>
    <col min="2823" max="2823" width="7.875" style="1638" customWidth="1"/>
    <col min="2824" max="2824" width="9" style="1638" customWidth="1"/>
    <col min="2825" max="2826" width="10.625" style="1638" customWidth="1"/>
    <col min="2827" max="2827" width="14.375" style="1638" customWidth="1"/>
    <col min="2828" max="2828" width="6.25" style="1638" customWidth="1"/>
    <col min="2829" max="2829" width="31" style="1638" customWidth="1"/>
    <col min="2830" max="2830" width="0" style="1638" hidden="1" customWidth="1"/>
    <col min="2831" max="3072" width="9" style="1638"/>
    <col min="3073" max="3073" width="25.75" style="1638" customWidth="1"/>
    <col min="3074" max="3074" width="7.875" style="1638" customWidth="1"/>
    <col min="3075" max="3075" width="11.75" style="1638" customWidth="1"/>
    <col min="3076" max="3077" width="13.875" style="1638" customWidth="1"/>
    <col min="3078" max="3078" width="24" style="1638" customWidth="1"/>
    <col min="3079" max="3079" width="7.875" style="1638" customWidth="1"/>
    <col min="3080" max="3080" width="9" style="1638" customWidth="1"/>
    <col min="3081" max="3082" width="10.625" style="1638" customWidth="1"/>
    <col min="3083" max="3083" width="14.375" style="1638" customWidth="1"/>
    <col min="3084" max="3084" width="6.25" style="1638" customWidth="1"/>
    <col min="3085" max="3085" width="31" style="1638" customWidth="1"/>
    <col min="3086" max="3086" width="0" style="1638" hidden="1" customWidth="1"/>
    <col min="3087" max="3328" width="9" style="1638"/>
    <col min="3329" max="3329" width="25.75" style="1638" customWidth="1"/>
    <col min="3330" max="3330" width="7.875" style="1638" customWidth="1"/>
    <col min="3331" max="3331" width="11.75" style="1638" customWidth="1"/>
    <col min="3332" max="3333" width="13.875" style="1638" customWidth="1"/>
    <col min="3334" max="3334" width="24" style="1638" customWidth="1"/>
    <col min="3335" max="3335" width="7.875" style="1638" customWidth="1"/>
    <col min="3336" max="3336" width="9" style="1638" customWidth="1"/>
    <col min="3337" max="3338" width="10.625" style="1638" customWidth="1"/>
    <col min="3339" max="3339" width="14.375" style="1638" customWidth="1"/>
    <col min="3340" max="3340" width="6.25" style="1638" customWidth="1"/>
    <col min="3341" max="3341" width="31" style="1638" customWidth="1"/>
    <col min="3342" max="3342" width="0" style="1638" hidden="1" customWidth="1"/>
    <col min="3343" max="3584" width="9" style="1638"/>
    <col min="3585" max="3585" width="25.75" style="1638" customWidth="1"/>
    <col min="3586" max="3586" width="7.875" style="1638" customWidth="1"/>
    <col min="3587" max="3587" width="11.75" style="1638" customWidth="1"/>
    <col min="3588" max="3589" width="13.875" style="1638" customWidth="1"/>
    <col min="3590" max="3590" width="24" style="1638" customWidth="1"/>
    <col min="3591" max="3591" width="7.875" style="1638" customWidth="1"/>
    <col min="3592" max="3592" width="9" style="1638" customWidth="1"/>
    <col min="3593" max="3594" width="10.625" style="1638" customWidth="1"/>
    <col min="3595" max="3595" width="14.375" style="1638" customWidth="1"/>
    <col min="3596" max="3596" width="6.25" style="1638" customWidth="1"/>
    <col min="3597" max="3597" width="31" style="1638" customWidth="1"/>
    <col min="3598" max="3598" width="0" style="1638" hidden="1" customWidth="1"/>
    <col min="3599" max="3840" width="9" style="1638"/>
    <col min="3841" max="3841" width="25.75" style="1638" customWidth="1"/>
    <col min="3842" max="3842" width="7.875" style="1638" customWidth="1"/>
    <col min="3843" max="3843" width="11.75" style="1638" customWidth="1"/>
    <col min="3844" max="3845" width="13.875" style="1638" customWidth="1"/>
    <col min="3846" max="3846" width="24" style="1638" customWidth="1"/>
    <col min="3847" max="3847" width="7.875" style="1638" customWidth="1"/>
    <col min="3848" max="3848" width="9" style="1638" customWidth="1"/>
    <col min="3849" max="3850" width="10.625" style="1638" customWidth="1"/>
    <col min="3851" max="3851" width="14.375" style="1638" customWidth="1"/>
    <col min="3852" max="3852" width="6.25" style="1638" customWidth="1"/>
    <col min="3853" max="3853" width="31" style="1638" customWidth="1"/>
    <col min="3854" max="3854" width="0" style="1638" hidden="1" customWidth="1"/>
    <col min="3855" max="4096" width="9" style="1638"/>
    <col min="4097" max="4097" width="25.75" style="1638" customWidth="1"/>
    <col min="4098" max="4098" width="7.875" style="1638" customWidth="1"/>
    <col min="4099" max="4099" width="11.75" style="1638" customWidth="1"/>
    <col min="4100" max="4101" width="13.875" style="1638" customWidth="1"/>
    <col min="4102" max="4102" width="24" style="1638" customWidth="1"/>
    <col min="4103" max="4103" width="7.875" style="1638" customWidth="1"/>
    <col min="4104" max="4104" width="9" style="1638" customWidth="1"/>
    <col min="4105" max="4106" width="10.625" style="1638" customWidth="1"/>
    <col min="4107" max="4107" width="14.375" style="1638" customWidth="1"/>
    <col min="4108" max="4108" width="6.25" style="1638" customWidth="1"/>
    <col min="4109" max="4109" width="31" style="1638" customWidth="1"/>
    <col min="4110" max="4110" width="0" style="1638" hidden="1" customWidth="1"/>
    <col min="4111" max="4352" width="9" style="1638"/>
    <col min="4353" max="4353" width="25.75" style="1638" customWidth="1"/>
    <col min="4354" max="4354" width="7.875" style="1638" customWidth="1"/>
    <col min="4355" max="4355" width="11.75" style="1638" customWidth="1"/>
    <col min="4356" max="4357" width="13.875" style="1638" customWidth="1"/>
    <col min="4358" max="4358" width="24" style="1638" customWidth="1"/>
    <col min="4359" max="4359" width="7.875" style="1638" customWidth="1"/>
    <col min="4360" max="4360" width="9" style="1638" customWidth="1"/>
    <col min="4361" max="4362" width="10.625" style="1638" customWidth="1"/>
    <col min="4363" max="4363" width="14.375" style="1638" customWidth="1"/>
    <col min="4364" max="4364" width="6.25" style="1638" customWidth="1"/>
    <col min="4365" max="4365" width="31" style="1638" customWidth="1"/>
    <col min="4366" max="4366" width="0" style="1638" hidden="1" customWidth="1"/>
    <col min="4367" max="4608" width="9" style="1638"/>
    <col min="4609" max="4609" width="25.75" style="1638" customWidth="1"/>
    <col min="4610" max="4610" width="7.875" style="1638" customWidth="1"/>
    <col min="4611" max="4611" width="11.75" style="1638" customWidth="1"/>
    <col min="4612" max="4613" width="13.875" style="1638" customWidth="1"/>
    <col min="4614" max="4614" width="24" style="1638" customWidth="1"/>
    <col min="4615" max="4615" width="7.875" style="1638" customWidth="1"/>
    <col min="4616" max="4616" width="9" style="1638" customWidth="1"/>
    <col min="4617" max="4618" width="10.625" style="1638" customWidth="1"/>
    <col min="4619" max="4619" width="14.375" style="1638" customWidth="1"/>
    <col min="4620" max="4620" width="6.25" style="1638" customWidth="1"/>
    <col min="4621" max="4621" width="31" style="1638" customWidth="1"/>
    <col min="4622" max="4622" width="0" style="1638" hidden="1" customWidth="1"/>
    <col min="4623" max="4864" width="9" style="1638"/>
    <col min="4865" max="4865" width="25.75" style="1638" customWidth="1"/>
    <col min="4866" max="4866" width="7.875" style="1638" customWidth="1"/>
    <col min="4867" max="4867" width="11.75" style="1638" customWidth="1"/>
    <col min="4868" max="4869" width="13.875" style="1638" customWidth="1"/>
    <col min="4870" max="4870" width="24" style="1638" customWidth="1"/>
    <col min="4871" max="4871" width="7.875" style="1638" customWidth="1"/>
    <col min="4872" max="4872" width="9" style="1638" customWidth="1"/>
    <col min="4873" max="4874" width="10.625" style="1638" customWidth="1"/>
    <col min="4875" max="4875" width="14.375" style="1638" customWidth="1"/>
    <col min="4876" max="4876" width="6.25" style="1638" customWidth="1"/>
    <col min="4877" max="4877" width="31" style="1638" customWidth="1"/>
    <col min="4878" max="4878" width="0" style="1638" hidden="1" customWidth="1"/>
    <col min="4879" max="5120" width="9" style="1638"/>
    <col min="5121" max="5121" width="25.75" style="1638" customWidth="1"/>
    <col min="5122" max="5122" width="7.875" style="1638" customWidth="1"/>
    <col min="5123" max="5123" width="11.75" style="1638" customWidth="1"/>
    <col min="5124" max="5125" width="13.875" style="1638" customWidth="1"/>
    <col min="5126" max="5126" width="24" style="1638" customWidth="1"/>
    <col min="5127" max="5127" width="7.875" style="1638" customWidth="1"/>
    <col min="5128" max="5128" width="9" style="1638" customWidth="1"/>
    <col min="5129" max="5130" width="10.625" style="1638" customWidth="1"/>
    <col min="5131" max="5131" width="14.375" style="1638" customWidth="1"/>
    <col min="5132" max="5132" width="6.25" style="1638" customWidth="1"/>
    <col min="5133" max="5133" width="31" style="1638" customWidth="1"/>
    <col min="5134" max="5134" width="0" style="1638" hidden="1" customWidth="1"/>
    <col min="5135" max="5376" width="9" style="1638"/>
    <col min="5377" max="5377" width="25.75" style="1638" customWidth="1"/>
    <col min="5378" max="5378" width="7.875" style="1638" customWidth="1"/>
    <col min="5379" max="5379" width="11.75" style="1638" customWidth="1"/>
    <col min="5380" max="5381" width="13.875" style="1638" customWidth="1"/>
    <col min="5382" max="5382" width="24" style="1638" customWidth="1"/>
    <col min="5383" max="5383" width="7.875" style="1638" customWidth="1"/>
    <col min="5384" max="5384" width="9" style="1638" customWidth="1"/>
    <col min="5385" max="5386" width="10.625" style="1638" customWidth="1"/>
    <col min="5387" max="5387" width="14.375" style="1638" customWidth="1"/>
    <col min="5388" max="5388" width="6.25" style="1638" customWidth="1"/>
    <col min="5389" max="5389" width="31" style="1638" customWidth="1"/>
    <col min="5390" max="5390" width="0" style="1638" hidden="1" customWidth="1"/>
    <col min="5391" max="5632" width="9" style="1638"/>
    <col min="5633" max="5633" width="25.75" style="1638" customWidth="1"/>
    <col min="5634" max="5634" width="7.875" style="1638" customWidth="1"/>
    <col min="5635" max="5635" width="11.75" style="1638" customWidth="1"/>
    <col min="5636" max="5637" width="13.875" style="1638" customWidth="1"/>
    <col min="5638" max="5638" width="24" style="1638" customWidth="1"/>
    <col min="5639" max="5639" width="7.875" style="1638" customWidth="1"/>
    <col min="5640" max="5640" width="9" style="1638" customWidth="1"/>
    <col min="5641" max="5642" width="10.625" style="1638" customWidth="1"/>
    <col min="5643" max="5643" width="14.375" style="1638" customWidth="1"/>
    <col min="5644" max="5644" width="6.25" style="1638" customWidth="1"/>
    <col min="5645" max="5645" width="31" style="1638" customWidth="1"/>
    <col min="5646" max="5646" width="0" style="1638" hidden="1" customWidth="1"/>
    <col min="5647" max="5888" width="9" style="1638"/>
    <col min="5889" max="5889" width="25.75" style="1638" customWidth="1"/>
    <col min="5890" max="5890" width="7.875" style="1638" customWidth="1"/>
    <col min="5891" max="5891" width="11.75" style="1638" customWidth="1"/>
    <col min="5892" max="5893" width="13.875" style="1638" customWidth="1"/>
    <col min="5894" max="5894" width="24" style="1638" customWidth="1"/>
    <col min="5895" max="5895" width="7.875" style="1638" customWidth="1"/>
    <col min="5896" max="5896" width="9" style="1638" customWidth="1"/>
    <col min="5897" max="5898" width="10.625" style="1638" customWidth="1"/>
    <col min="5899" max="5899" width="14.375" style="1638" customWidth="1"/>
    <col min="5900" max="5900" width="6.25" style="1638" customWidth="1"/>
    <col min="5901" max="5901" width="31" style="1638" customWidth="1"/>
    <col min="5902" max="5902" width="0" style="1638" hidden="1" customWidth="1"/>
    <col min="5903" max="6144" width="9" style="1638"/>
    <col min="6145" max="6145" width="25.75" style="1638" customWidth="1"/>
    <col min="6146" max="6146" width="7.875" style="1638" customWidth="1"/>
    <col min="6147" max="6147" width="11.75" style="1638" customWidth="1"/>
    <col min="6148" max="6149" width="13.875" style="1638" customWidth="1"/>
    <col min="6150" max="6150" width="24" style="1638" customWidth="1"/>
    <col min="6151" max="6151" width="7.875" style="1638" customWidth="1"/>
    <col min="6152" max="6152" width="9" style="1638" customWidth="1"/>
    <col min="6153" max="6154" width="10.625" style="1638" customWidth="1"/>
    <col min="6155" max="6155" width="14.375" style="1638" customWidth="1"/>
    <col min="6156" max="6156" width="6.25" style="1638" customWidth="1"/>
    <col min="6157" max="6157" width="31" style="1638" customWidth="1"/>
    <col min="6158" max="6158" width="0" style="1638" hidden="1" customWidth="1"/>
    <col min="6159" max="6400" width="9" style="1638"/>
    <col min="6401" max="6401" width="25.75" style="1638" customWidth="1"/>
    <col min="6402" max="6402" width="7.875" style="1638" customWidth="1"/>
    <col min="6403" max="6403" width="11.75" style="1638" customWidth="1"/>
    <col min="6404" max="6405" width="13.875" style="1638" customWidth="1"/>
    <col min="6406" max="6406" width="24" style="1638" customWidth="1"/>
    <col min="6407" max="6407" width="7.875" style="1638" customWidth="1"/>
    <col min="6408" max="6408" width="9" style="1638" customWidth="1"/>
    <col min="6409" max="6410" width="10.625" style="1638" customWidth="1"/>
    <col min="6411" max="6411" width="14.375" style="1638" customWidth="1"/>
    <col min="6412" max="6412" width="6.25" style="1638" customWidth="1"/>
    <col min="6413" max="6413" width="31" style="1638" customWidth="1"/>
    <col min="6414" max="6414" width="0" style="1638" hidden="1" customWidth="1"/>
    <col min="6415" max="6656" width="9" style="1638"/>
    <col min="6657" max="6657" width="25.75" style="1638" customWidth="1"/>
    <col min="6658" max="6658" width="7.875" style="1638" customWidth="1"/>
    <col min="6659" max="6659" width="11.75" style="1638" customWidth="1"/>
    <col min="6660" max="6661" width="13.875" style="1638" customWidth="1"/>
    <col min="6662" max="6662" width="24" style="1638" customWidth="1"/>
    <col min="6663" max="6663" width="7.875" style="1638" customWidth="1"/>
    <col min="6664" max="6664" width="9" style="1638" customWidth="1"/>
    <col min="6665" max="6666" width="10.625" style="1638" customWidth="1"/>
    <col min="6667" max="6667" width="14.375" style="1638" customWidth="1"/>
    <col min="6668" max="6668" width="6.25" style="1638" customWidth="1"/>
    <col min="6669" max="6669" width="31" style="1638" customWidth="1"/>
    <col min="6670" max="6670" width="0" style="1638" hidden="1" customWidth="1"/>
    <col min="6671" max="6912" width="9" style="1638"/>
    <col min="6913" max="6913" width="25.75" style="1638" customWidth="1"/>
    <col min="6914" max="6914" width="7.875" style="1638" customWidth="1"/>
    <col min="6915" max="6915" width="11.75" style="1638" customWidth="1"/>
    <col min="6916" max="6917" width="13.875" style="1638" customWidth="1"/>
    <col min="6918" max="6918" width="24" style="1638" customWidth="1"/>
    <col min="6919" max="6919" width="7.875" style="1638" customWidth="1"/>
    <col min="6920" max="6920" width="9" style="1638" customWidth="1"/>
    <col min="6921" max="6922" width="10.625" style="1638" customWidth="1"/>
    <col min="6923" max="6923" width="14.375" style="1638" customWidth="1"/>
    <col min="6924" max="6924" width="6.25" style="1638" customWidth="1"/>
    <col min="6925" max="6925" width="31" style="1638" customWidth="1"/>
    <col min="6926" max="6926" width="0" style="1638" hidden="1" customWidth="1"/>
    <col min="6927" max="7168" width="9" style="1638"/>
    <col min="7169" max="7169" width="25.75" style="1638" customWidth="1"/>
    <col min="7170" max="7170" width="7.875" style="1638" customWidth="1"/>
    <col min="7171" max="7171" width="11.75" style="1638" customWidth="1"/>
    <col min="7172" max="7173" width="13.875" style="1638" customWidth="1"/>
    <col min="7174" max="7174" width="24" style="1638" customWidth="1"/>
    <col min="7175" max="7175" width="7.875" style="1638" customWidth="1"/>
    <col min="7176" max="7176" width="9" style="1638" customWidth="1"/>
    <col min="7177" max="7178" width="10.625" style="1638" customWidth="1"/>
    <col min="7179" max="7179" width="14.375" style="1638" customWidth="1"/>
    <col min="7180" max="7180" width="6.25" style="1638" customWidth="1"/>
    <col min="7181" max="7181" width="31" style="1638" customWidth="1"/>
    <col min="7182" max="7182" width="0" style="1638" hidden="1" customWidth="1"/>
    <col min="7183" max="7424" width="9" style="1638"/>
    <col min="7425" max="7425" width="25.75" style="1638" customWidth="1"/>
    <col min="7426" max="7426" width="7.875" style="1638" customWidth="1"/>
    <col min="7427" max="7427" width="11.75" style="1638" customWidth="1"/>
    <col min="7428" max="7429" width="13.875" style="1638" customWidth="1"/>
    <col min="7430" max="7430" width="24" style="1638" customWidth="1"/>
    <col min="7431" max="7431" width="7.875" style="1638" customWidth="1"/>
    <col min="7432" max="7432" width="9" style="1638" customWidth="1"/>
    <col min="7433" max="7434" width="10.625" style="1638" customWidth="1"/>
    <col min="7435" max="7435" width="14.375" style="1638" customWidth="1"/>
    <col min="7436" max="7436" width="6.25" style="1638" customWidth="1"/>
    <col min="7437" max="7437" width="31" style="1638" customWidth="1"/>
    <col min="7438" max="7438" width="0" style="1638" hidden="1" customWidth="1"/>
    <col min="7439" max="7680" width="9" style="1638"/>
    <col min="7681" max="7681" width="25.75" style="1638" customWidth="1"/>
    <col min="7682" max="7682" width="7.875" style="1638" customWidth="1"/>
    <col min="7683" max="7683" width="11.75" style="1638" customWidth="1"/>
    <col min="7684" max="7685" width="13.875" style="1638" customWidth="1"/>
    <col min="7686" max="7686" width="24" style="1638" customWidth="1"/>
    <col min="7687" max="7687" width="7.875" style="1638" customWidth="1"/>
    <col min="7688" max="7688" width="9" style="1638" customWidth="1"/>
    <col min="7689" max="7690" width="10.625" style="1638" customWidth="1"/>
    <col min="7691" max="7691" width="14.375" style="1638" customWidth="1"/>
    <col min="7692" max="7692" width="6.25" style="1638" customWidth="1"/>
    <col min="7693" max="7693" width="31" style="1638" customWidth="1"/>
    <col min="7694" max="7694" width="0" style="1638" hidden="1" customWidth="1"/>
    <col min="7695" max="7936" width="9" style="1638"/>
    <col min="7937" max="7937" width="25.75" style="1638" customWidth="1"/>
    <col min="7938" max="7938" width="7.875" style="1638" customWidth="1"/>
    <col min="7939" max="7939" width="11.75" style="1638" customWidth="1"/>
    <col min="7940" max="7941" width="13.875" style="1638" customWidth="1"/>
    <col min="7942" max="7942" width="24" style="1638" customWidth="1"/>
    <col min="7943" max="7943" width="7.875" style="1638" customWidth="1"/>
    <col min="7944" max="7944" width="9" style="1638" customWidth="1"/>
    <col min="7945" max="7946" width="10.625" style="1638" customWidth="1"/>
    <col min="7947" max="7947" width="14.375" style="1638" customWidth="1"/>
    <col min="7948" max="7948" width="6.25" style="1638" customWidth="1"/>
    <col min="7949" max="7949" width="31" style="1638" customWidth="1"/>
    <col min="7950" max="7950" width="0" style="1638" hidden="1" customWidth="1"/>
    <col min="7951" max="8192" width="9" style="1638"/>
    <col min="8193" max="8193" width="25.75" style="1638" customWidth="1"/>
    <col min="8194" max="8194" width="7.875" style="1638" customWidth="1"/>
    <col min="8195" max="8195" width="11.75" style="1638" customWidth="1"/>
    <col min="8196" max="8197" width="13.875" style="1638" customWidth="1"/>
    <col min="8198" max="8198" width="24" style="1638" customWidth="1"/>
    <col min="8199" max="8199" width="7.875" style="1638" customWidth="1"/>
    <col min="8200" max="8200" width="9" style="1638" customWidth="1"/>
    <col min="8201" max="8202" width="10.625" style="1638" customWidth="1"/>
    <col min="8203" max="8203" width="14.375" style="1638" customWidth="1"/>
    <col min="8204" max="8204" width="6.25" style="1638" customWidth="1"/>
    <col min="8205" max="8205" width="31" style="1638" customWidth="1"/>
    <col min="8206" max="8206" width="0" style="1638" hidden="1" customWidth="1"/>
    <col min="8207" max="8448" width="9" style="1638"/>
    <col min="8449" max="8449" width="25.75" style="1638" customWidth="1"/>
    <col min="8450" max="8450" width="7.875" style="1638" customWidth="1"/>
    <col min="8451" max="8451" width="11.75" style="1638" customWidth="1"/>
    <col min="8452" max="8453" width="13.875" style="1638" customWidth="1"/>
    <col min="8454" max="8454" width="24" style="1638" customWidth="1"/>
    <col min="8455" max="8455" width="7.875" style="1638" customWidth="1"/>
    <col min="8456" max="8456" width="9" style="1638" customWidth="1"/>
    <col min="8457" max="8458" width="10.625" style="1638" customWidth="1"/>
    <col min="8459" max="8459" width="14.375" style="1638" customWidth="1"/>
    <col min="8460" max="8460" width="6.25" style="1638" customWidth="1"/>
    <col min="8461" max="8461" width="31" style="1638" customWidth="1"/>
    <col min="8462" max="8462" width="0" style="1638" hidden="1" customWidth="1"/>
    <col min="8463" max="8704" width="9" style="1638"/>
    <col min="8705" max="8705" width="25.75" style="1638" customWidth="1"/>
    <col min="8706" max="8706" width="7.875" style="1638" customWidth="1"/>
    <col min="8707" max="8707" width="11.75" style="1638" customWidth="1"/>
    <col min="8708" max="8709" width="13.875" style="1638" customWidth="1"/>
    <col min="8710" max="8710" width="24" style="1638" customWidth="1"/>
    <col min="8711" max="8711" width="7.875" style="1638" customWidth="1"/>
    <col min="8712" max="8712" width="9" style="1638" customWidth="1"/>
    <col min="8713" max="8714" width="10.625" style="1638" customWidth="1"/>
    <col min="8715" max="8715" width="14.375" style="1638" customWidth="1"/>
    <col min="8716" max="8716" width="6.25" style="1638" customWidth="1"/>
    <col min="8717" max="8717" width="31" style="1638" customWidth="1"/>
    <col min="8718" max="8718" width="0" style="1638" hidden="1" customWidth="1"/>
    <col min="8719" max="8960" width="9" style="1638"/>
    <col min="8961" max="8961" width="25.75" style="1638" customWidth="1"/>
    <col min="8962" max="8962" width="7.875" style="1638" customWidth="1"/>
    <col min="8963" max="8963" width="11.75" style="1638" customWidth="1"/>
    <col min="8964" max="8965" width="13.875" style="1638" customWidth="1"/>
    <col min="8966" max="8966" width="24" style="1638" customWidth="1"/>
    <col min="8967" max="8967" width="7.875" style="1638" customWidth="1"/>
    <col min="8968" max="8968" width="9" style="1638" customWidth="1"/>
    <col min="8969" max="8970" width="10.625" style="1638" customWidth="1"/>
    <col min="8971" max="8971" width="14.375" style="1638" customWidth="1"/>
    <col min="8972" max="8972" width="6.25" style="1638" customWidth="1"/>
    <col min="8973" max="8973" width="31" style="1638" customWidth="1"/>
    <col min="8974" max="8974" width="0" style="1638" hidden="1" customWidth="1"/>
    <col min="8975" max="9216" width="9" style="1638"/>
    <col min="9217" max="9217" width="25.75" style="1638" customWidth="1"/>
    <col min="9218" max="9218" width="7.875" style="1638" customWidth="1"/>
    <col min="9219" max="9219" width="11.75" style="1638" customWidth="1"/>
    <col min="9220" max="9221" width="13.875" style="1638" customWidth="1"/>
    <col min="9222" max="9222" width="24" style="1638" customWidth="1"/>
    <col min="9223" max="9223" width="7.875" style="1638" customWidth="1"/>
    <col min="9224" max="9224" width="9" style="1638" customWidth="1"/>
    <col min="9225" max="9226" width="10.625" style="1638" customWidth="1"/>
    <col min="9227" max="9227" width="14.375" style="1638" customWidth="1"/>
    <col min="9228" max="9228" width="6.25" style="1638" customWidth="1"/>
    <col min="9229" max="9229" width="31" style="1638" customWidth="1"/>
    <col min="9230" max="9230" width="0" style="1638" hidden="1" customWidth="1"/>
    <col min="9231" max="9472" width="9" style="1638"/>
    <col min="9473" max="9473" width="25.75" style="1638" customWidth="1"/>
    <col min="9474" max="9474" width="7.875" style="1638" customWidth="1"/>
    <col min="9475" max="9475" width="11.75" style="1638" customWidth="1"/>
    <col min="9476" max="9477" width="13.875" style="1638" customWidth="1"/>
    <col min="9478" max="9478" width="24" style="1638" customWidth="1"/>
    <col min="9479" max="9479" width="7.875" style="1638" customWidth="1"/>
    <col min="9480" max="9480" width="9" style="1638" customWidth="1"/>
    <col min="9481" max="9482" width="10.625" style="1638" customWidth="1"/>
    <col min="9483" max="9483" width="14.375" style="1638" customWidth="1"/>
    <col min="9484" max="9484" width="6.25" style="1638" customWidth="1"/>
    <col min="9485" max="9485" width="31" style="1638" customWidth="1"/>
    <col min="9486" max="9486" width="0" style="1638" hidden="1" customWidth="1"/>
    <col min="9487" max="9728" width="9" style="1638"/>
    <col min="9729" max="9729" width="25.75" style="1638" customWidth="1"/>
    <col min="9730" max="9730" width="7.875" style="1638" customWidth="1"/>
    <col min="9731" max="9731" width="11.75" style="1638" customWidth="1"/>
    <col min="9732" max="9733" width="13.875" style="1638" customWidth="1"/>
    <col min="9734" max="9734" width="24" style="1638" customWidth="1"/>
    <col min="9735" max="9735" width="7.875" style="1638" customWidth="1"/>
    <col min="9736" max="9736" width="9" style="1638" customWidth="1"/>
    <col min="9737" max="9738" width="10.625" style="1638" customWidth="1"/>
    <col min="9739" max="9739" width="14.375" style="1638" customWidth="1"/>
    <col min="9740" max="9740" width="6.25" style="1638" customWidth="1"/>
    <col min="9741" max="9741" width="31" style="1638" customWidth="1"/>
    <col min="9742" max="9742" width="0" style="1638" hidden="1" customWidth="1"/>
    <col min="9743" max="9984" width="9" style="1638"/>
    <col min="9985" max="9985" width="25.75" style="1638" customWidth="1"/>
    <col min="9986" max="9986" width="7.875" style="1638" customWidth="1"/>
    <col min="9987" max="9987" width="11.75" style="1638" customWidth="1"/>
    <col min="9988" max="9989" width="13.875" style="1638" customWidth="1"/>
    <col min="9990" max="9990" width="24" style="1638" customWidth="1"/>
    <col min="9991" max="9991" width="7.875" style="1638" customWidth="1"/>
    <col min="9992" max="9992" width="9" style="1638" customWidth="1"/>
    <col min="9993" max="9994" width="10.625" style="1638" customWidth="1"/>
    <col min="9995" max="9995" width="14.375" style="1638" customWidth="1"/>
    <col min="9996" max="9996" width="6.25" style="1638" customWidth="1"/>
    <col min="9997" max="9997" width="31" style="1638" customWidth="1"/>
    <col min="9998" max="9998" width="0" style="1638" hidden="1" customWidth="1"/>
    <col min="9999" max="10240" width="9" style="1638"/>
    <col min="10241" max="10241" width="25.75" style="1638" customWidth="1"/>
    <col min="10242" max="10242" width="7.875" style="1638" customWidth="1"/>
    <col min="10243" max="10243" width="11.75" style="1638" customWidth="1"/>
    <col min="10244" max="10245" width="13.875" style="1638" customWidth="1"/>
    <col min="10246" max="10246" width="24" style="1638" customWidth="1"/>
    <col min="10247" max="10247" width="7.875" style="1638" customWidth="1"/>
    <col min="10248" max="10248" width="9" style="1638" customWidth="1"/>
    <col min="10249" max="10250" width="10.625" style="1638" customWidth="1"/>
    <col min="10251" max="10251" width="14.375" style="1638" customWidth="1"/>
    <col min="10252" max="10252" width="6.25" style="1638" customWidth="1"/>
    <col min="10253" max="10253" width="31" style="1638" customWidth="1"/>
    <col min="10254" max="10254" width="0" style="1638" hidden="1" customWidth="1"/>
    <col min="10255" max="10496" width="9" style="1638"/>
    <col min="10497" max="10497" width="25.75" style="1638" customWidth="1"/>
    <col min="10498" max="10498" width="7.875" style="1638" customWidth="1"/>
    <col min="10499" max="10499" width="11.75" style="1638" customWidth="1"/>
    <col min="10500" max="10501" width="13.875" style="1638" customWidth="1"/>
    <col min="10502" max="10502" width="24" style="1638" customWidth="1"/>
    <col min="10503" max="10503" width="7.875" style="1638" customWidth="1"/>
    <col min="10504" max="10504" width="9" style="1638" customWidth="1"/>
    <col min="10505" max="10506" width="10.625" style="1638" customWidth="1"/>
    <col min="10507" max="10507" width="14.375" style="1638" customWidth="1"/>
    <col min="10508" max="10508" width="6.25" style="1638" customWidth="1"/>
    <col min="10509" max="10509" width="31" style="1638" customWidth="1"/>
    <col min="10510" max="10510" width="0" style="1638" hidden="1" customWidth="1"/>
    <col min="10511" max="10752" width="9" style="1638"/>
    <col min="10753" max="10753" width="25.75" style="1638" customWidth="1"/>
    <col min="10754" max="10754" width="7.875" style="1638" customWidth="1"/>
    <col min="10755" max="10755" width="11.75" style="1638" customWidth="1"/>
    <col min="10756" max="10757" width="13.875" style="1638" customWidth="1"/>
    <col min="10758" max="10758" width="24" style="1638" customWidth="1"/>
    <col min="10759" max="10759" width="7.875" style="1638" customWidth="1"/>
    <col min="10760" max="10760" width="9" style="1638" customWidth="1"/>
    <col min="10761" max="10762" width="10.625" style="1638" customWidth="1"/>
    <col min="10763" max="10763" width="14.375" style="1638" customWidth="1"/>
    <col min="10764" max="10764" width="6.25" style="1638" customWidth="1"/>
    <col min="10765" max="10765" width="31" style="1638" customWidth="1"/>
    <col min="10766" max="10766" width="0" style="1638" hidden="1" customWidth="1"/>
    <col min="10767" max="11008" width="9" style="1638"/>
    <col min="11009" max="11009" width="25.75" style="1638" customWidth="1"/>
    <col min="11010" max="11010" width="7.875" style="1638" customWidth="1"/>
    <col min="11011" max="11011" width="11.75" style="1638" customWidth="1"/>
    <col min="11012" max="11013" width="13.875" style="1638" customWidth="1"/>
    <col min="11014" max="11014" width="24" style="1638" customWidth="1"/>
    <col min="11015" max="11015" width="7.875" style="1638" customWidth="1"/>
    <col min="11016" max="11016" width="9" style="1638" customWidth="1"/>
    <col min="11017" max="11018" width="10.625" style="1638" customWidth="1"/>
    <col min="11019" max="11019" width="14.375" style="1638" customWidth="1"/>
    <col min="11020" max="11020" width="6.25" style="1638" customWidth="1"/>
    <col min="11021" max="11021" width="31" style="1638" customWidth="1"/>
    <col min="11022" max="11022" width="0" style="1638" hidden="1" customWidth="1"/>
    <col min="11023" max="11264" width="9" style="1638"/>
    <col min="11265" max="11265" width="25.75" style="1638" customWidth="1"/>
    <col min="11266" max="11266" width="7.875" style="1638" customWidth="1"/>
    <col min="11267" max="11267" width="11.75" style="1638" customWidth="1"/>
    <col min="11268" max="11269" width="13.875" style="1638" customWidth="1"/>
    <col min="11270" max="11270" width="24" style="1638" customWidth="1"/>
    <col min="11271" max="11271" width="7.875" style="1638" customWidth="1"/>
    <col min="11272" max="11272" width="9" style="1638" customWidth="1"/>
    <col min="11273" max="11274" width="10.625" style="1638" customWidth="1"/>
    <col min="11275" max="11275" width="14.375" style="1638" customWidth="1"/>
    <col min="11276" max="11276" width="6.25" style="1638" customWidth="1"/>
    <col min="11277" max="11277" width="31" style="1638" customWidth="1"/>
    <col min="11278" max="11278" width="0" style="1638" hidden="1" customWidth="1"/>
    <col min="11279" max="11520" width="9" style="1638"/>
    <col min="11521" max="11521" width="25.75" style="1638" customWidth="1"/>
    <col min="11522" max="11522" width="7.875" style="1638" customWidth="1"/>
    <col min="11523" max="11523" width="11.75" style="1638" customWidth="1"/>
    <col min="11524" max="11525" width="13.875" style="1638" customWidth="1"/>
    <col min="11526" max="11526" width="24" style="1638" customWidth="1"/>
    <col min="11527" max="11527" width="7.875" style="1638" customWidth="1"/>
    <col min="11528" max="11528" width="9" style="1638" customWidth="1"/>
    <col min="11529" max="11530" width="10.625" style="1638" customWidth="1"/>
    <col min="11531" max="11531" width="14.375" style="1638" customWidth="1"/>
    <col min="11532" max="11532" width="6.25" style="1638" customWidth="1"/>
    <col min="11533" max="11533" width="31" style="1638" customWidth="1"/>
    <col min="11534" max="11534" width="0" style="1638" hidden="1" customWidth="1"/>
    <col min="11535" max="11776" width="9" style="1638"/>
    <col min="11777" max="11777" width="25.75" style="1638" customWidth="1"/>
    <col min="11778" max="11778" width="7.875" style="1638" customWidth="1"/>
    <col min="11779" max="11779" width="11.75" style="1638" customWidth="1"/>
    <col min="11780" max="11781" width="13.875" style="1638" customWidth="1"/>
    <col min="11782" max="11782" width="24" style="1638" customWidth="1"/>
    <col min="11783" max="11783" width="7.875" style="1638" customWidth="1"/>
    <col min="11784" max="11784" width="9" style="1638" customWidth="1"/>
    <col min="11785" max="11786" width="10.625" style="1638" customWidth="1"/>
    <col min="11787" max="11787" width="14.375" style="1638" customWidth="1"/>
    <col min="11788" max="11788" width="6.25" style="1638" customWidth="1"/>
    <col min="11789" max="11789" width="31" style="1638" customWidth="1"/>
    <col min="11790" max="11790" width="0" style="1638" hidden="1" customWidth="1"/>
    <col min="11791" max="12032" width="9" style="1638"/>
    <col min="12033" max="12033" width="25.75" style="1638" customWidth="1"/>
    <col min="12034" max="12034" width="7.875" style="1638" customWidth="1"/>
    <col min="12035" max="12035" width="11.75" style="1638" customWidth="1"/>
    <col min="12036" max="12037" width="13.875" style="1638" customWidth="1"/>
    <col min="12038" max="12038" width="24" style="1638" customWidth="1"/>
    <col min="12039" max="12039" width="7.875" style="1638" customWidth="1"/>
    <col min="12040" max="12040" width="9" style="1638" customWidth="1"/>
    <col min="12041" max="12042" width="10.625" style="1638" customWidth="1"/>
    <col min="12043" max="12043" width="14.375" style="1638" customWidth="1"/>
    <col min="12044" max="12044" width="6.25" style="1638" customWidth="1"/>
    <col min="12045" max="12045" width="31" style="1638" customWidth="1"/>
    <col min="12046" max="12046" width="0" style="1638" hidden="1" customWidth="1"/>
    <col min="12047" max="12288" width="9" style="1638"/>
    <col min="12289" max="12289" width="25.75" style="1638" customWidth="1"/>
    <col min="12290" max="12290" width="7.875" style="1638" customWidth="1"/>
    <col min="12291" max="12291" width="11.75" style="1638" customWidth="1"/>
    <col min="12292" max="12293" width="13.875" style="1638" customWidth="1"/>
    <col min="12294" max="12294" width="24" style="1638" customWidth="1"/>
    <col min="12295" max="12295" width="7.875" style="1638" customWidth="1"/>
    <col min="12296" max="12296" width="9" style="1638" customWidth="1"/>
    <col min="12297" max="12298" width="10.625" style="1638" customWidth="1"/>
    <col min="12299" max="12299" width="14.375" style="1638" customWidth="1"/>
    <col min="12300" max="12300" width="6.25" style="1638" customWidth="1"/>
    <col min="12301" max="12301" width="31" style="1638" customWidth="1"/>
    <col min="12302" max="12302" width="0" style="1638" hidden="1" customWidth="1"/>
    <col min="12303" max="12544" width="9" style="1638"/>
    <col min="12545" max="12545" width="25.75" style="1638" customWidth="1"/>
    <col min="12546" max="12546" width="7.875" style="1638" customWidth="1"/>
    <col min="12547" max="12547" width="11.75" style="1638" customWidth="1"/>
    <col min="12548" max="12549" width="13.875" style="1638" customWidth="1"/>
    <col min="12550" max="12550" width="24" style="1638" customWidth="1"/>
    <col min="12551" max="12551" width="7.875" style="1638" customWidth="1"/>
    <col min="12552" max="12552" width="9" style="1638" customWidth="1"/>
    <col min="12553" max="12554" width="10.625" style="1638" customWidth="1"/>
    <col min="12555" max="12555" width="14.375" style="1638" customWidth="1"/>
    <col min="12556" max="12556" width="6.25" style="1638" customWidth="1"/>
    <col min="12557" max="12557" width="31" style="1638" customWidth="1"/>
    <col min="12558" max="12558" width="0" style="1638" hidden="1" customWidth="1"/>
    <col min="12559" max="12800" width="9" style="1638"/>
    <col min="12801" max="12801" width="25.75" style="1638" customWidth="1"/>
    <col min="12802" max="12802" width="7.875" style="1638" customWidth="1"/>
    <col min="12803" max="12803" width="11.75" style="1638" customWidth="1"/>
    <col min="12804" max="12805" width="13.875" style="1638" customWidth="1"/>
    <col min="12806" max="12806" width="24" style="1638" customWidth="1"/>
    <col min="12807" max="12807" width="7.875" style="1638" customWidth="1"/>
    <col min="12808" max="12808" width="9" style="1638" customWidth="1"/>
    <col min="12809" max="12810" width="10.625" style="1638" customWidth="1"/>
    <col min="12811" max="12811" width="14.375" style="1638" customWidth="1"/>
    <col min="12812" max="12812" width="6.25" style="1638" customWidth="1"/>
    <col min="12813" max="12813" width="31" style="1638" customWidth="1"/>
    <col min="12814" max="12814" width="0" style="1638" hidden="1" customWidth="1"/>
    <col min="12815" max="13056" width="9" style="1638"/>
    <col min="13057" max="13057" width="25.75" style="1638" customWidth="1"/>
    <col min="13058" max="13058" width="7.875" style="1638" customWidth="1"/>
    <col min="13059" max="13059" width="11.75" style="1638" customWidth="1"/>
    <col min="13060" max="13061" width="13.875" style="1638" customWidth="1"/>
    <col min="13062" max="13062" width="24" style="1638" customWidth="1"/>
    <col min="13063" max="13063" width="7.875" style="1638" customWidth="1"/>
    <col min="13064" max="13064" width="9" style="1638" customWidth="1"/>
    <col min="13065" max="13066" width="10.625" style="1638" customWidth="1"/>
    <col min="13067" max="13067" width="14.375" style="1638" customWidth="1"/>
    <col min="13068" max="13068" width="6.25" style="1638" customWidth="1"/>
    <col min="13069" max="13069" width="31" style="1638" customWidth="1"/>
    <col min="13070" max="13070" width="0" style="1638" hidden="1" customWidth="1"/>
    <col min="13071" max="13312" width="9" style="1638"/>
    <col min="13313" max="13313" width="25.75" style="1638" customWidth="1"/>
    <col min="13314" max="13314" width="7.875" style="1638" customWidth="1"/>
    <col min="13315" max="13315" width="11.75" style="1638" customWidth="1"/>
    <col min="13316" max="13317" width="13.875" style="1638" customWidth="1"/>
    <col min="13318" max="13318" width="24" style="1638" customWidth="1"/>
    <col min="13319" max="13319" width="7.875" style="1638" customWidth="1"/>
    <col min="13320" max="13320" width="9" style="1638" customWidth="1"/>
    <col min="13321" max="13322" width="10.625" style="1638" customWidth="1"/>
    <col min="13323" max="13323" width="14.375" style="1638" customWidth="1"/>
    <col min="13324" max="13324" width="6.25" style="1638" customWidth="1"/>
    <col min="13325" max="13325" width="31" style="1638" customWidth="1"/>
    <col min="13326" max="13326" width="0" style="1638" hidden="1" customWidth="1"/>
    <col min="13327" max="13568" width="9" style="1638"/>
    <col min="13569" max="13569" width="25.75" style="1638" customWidth="1"/>
    <col min="13570" max="13570" width="7.875" style="1638" customWidth="1"/>
    <col min="13571" max="13571" width="11.75" style="1638" customWidth="1"/>
    <col min="13572" max="13573" width="13.875" style="1638" customWidth="1"/>
    <col min="13574" max="13574" width="24" style="1638" customWidth="1"/>
    <col min="13575" max="13575" width="7.875" style="1638" customWidth="1"/>
    <col min="13576" max="13576" width="9" style="1638" customWidth="1"/>
    <col min="13577" max="13578" width="10.625" style="1638" customWidth="1"/>
    <col min="13579" max="13579" width="14.375" style="1638" customWidth="1"/>
    <col min="13580" max="13580" width="6.25" style="1638" customWidth="1"/>
    <col min="13581" max="13581" width="31" style="1638" customWidth="1"/>
    <col min="13582" max="13582" width="0" style="1638" hidden="1" customWidth="1"/>
    <col min="13583" max="13824" width="9" style="1638"/>
    <col min="13825" max="13825" width="25.75" style="1638" customWidth="1"/>
    <col min="13826" max="13826" width="7.875" style="1638" customWidth="1"/>
    <col min="13827" max="13827" width="11.75" style="1638" customWidth="1"/>
    <col min="13828" max="13829" width="13.875" style="1638" customWidth="1"/>
    <col min="13830" max="13830" width="24" style="1638" customWidth="1"/>
    <col min="13831" max="13831" width="7.875" style="1638" customWidth="1"/>
    <col min="13832" max="13832" width="9" style="1638" customWidth="1"/>
    <col min="13833" max="13834" width="10.625" style="1638" customWidth="1"/>
    <col min="13835" max="13835" width="14.375" style="1638" customWidth="1"/>
    <col min="13836" max="13836" width="6.25" style="1638" customWidth="1"/>
    <col min="13837" max="13837" width="31" style="1638" customWidth="1"/>
    <col min="13838" max="13838" width="0" style="1638" hidden="1" customWidth="1"/>
    <col min="13839" max="14080" width="9" style="1638"/>
    <col min="14081" max="14081" width="25.75" style="1638" customWidth="1"/>
    <col min="14082" max="14082" width="7.875" style="1638" customWidth="1"/>
    <col min="14083" max="14083" width="11.75" style="1638" customWidth="1"/>
    <col min="14084" max="14085" width="13.875" style="1638" customWidth="1"/>
    <col min="14086" max="14086" width="24" style="1638" customWidth="1"/>
    <col min="14087" max="14087" width="7.875" style="1638" customWidth="1"/>
    <col min="14088" max="14088" width="9" style="1638" customWidth="1"/>
    <col min="14089" max="14090" width="10.625" style="1638" customWidth="1"/>
    <col min="14091" max="14091" width="14.375" style="1638" customWidth="1"/>
    <col min="14092" max="14092" width="6.25" style="1638" customWidth="1"/>
    <col min="14093" max="14093" width="31" style="1638" customWidth="1"/>
    <col min="14094" max="14094" width="0" style="1638" hidden="1" customWidth="1"/>
    <col min="14095" max="14336" width="9" style="1638"/>
    <col min="14337" max="14337" width="25.75" style="1638" customWidth="1"/>
    <col min="14338" max="14338" width="7.875" style="1638" customWidth="1"/>
    <col min="14339" max="14339" width="11.75" style="1638" customWidth="1"/>
    <col min="14340" max="14341" width="13.875" style="1638" customWidth="1"/>
    <col min="14342" max="14342" width="24" style="1638" customWidth="1"/>
    <col min="14343" max="14343" width="7.875" style="1638" customWidth="1"/>
    <col min="14344" max="14344" width="9" style="1638" customWidth="1"/>
    <col min="14345" max="14346" width="10.625" style="1638" customWidth="1"/>
    <col min="14347" max="14347" width="14.375" style="1638" customWidth="1"/>
    <col min="14348" max="14348" width="6.25" style="1638" customWidth="1"/>
    <col min="14349" max="14349" width="31" style="1638" customWidth="1"/>
    <col min="14350" max="14350" width="0" style="1638" hidden="1" customWidth="1"/>
    <col min="14351" max="14592" width="9" style="1638"/>
    <col min="14593" max="14593" width="25.75" style="1638" customWidth="1"/>
    <col min="14594" max="14594" width="7.875" style="1638" customWidth="1"/>
    <col min="14595" max="14595" width="11.75" style="1638" customWidth="1"/>
    <col min="14596" max="14597" width="13.875" style="1638" customWidth="1"/>
    <col min="14598" max="14598" width="24" style="1638" customWidth="1"/>
    <col min="14599" max="14599" width="7.875" style="1638" customWidth="1"/>
    <col min="14600" max="14600" width="9" style="1638" customWidth="1"/>
    <col min="14601" max="14602" width="10.625" style="1638" customWidth="1"/>
    <col min="14603" max="14603" width="14.375" style="1638" customWidth="1"/>
    <col min="14604" max="14604" width="6.25" style="1638" customWidth="1"/>
    <col min="14605" max="14605" width="31" style="1638" customWidth="1"/>
    <col min="14606" max="14606" width="0" style="1638" hidden="1" customWidth="1"/>
    <col min="14607" max="14848" width="9" style="1638"/>
    <col min="14849" max="14849" width="25.75" style="1638" customWidth="1"/>
    <col min="14850" max="14850" width="7.875" style="1638" customWidth="1"/>
    <col min="14851" max="14851" width="11.75" style="1638" customWidth="1"/>
    <col min="14852" max="14853" width="13.875" style="1638" customWidth="1"/>
    <col min="14854" max="14854" width="24" style="1638" customWidth="1"/>
    <col min="14855" max="14855" width="7.875" style="1638" customWidth="1"/>
    <col min="14856" max="14856" width="9" style="1638" customWidth="1"/>
    <col min="14857" max="14858" width="10.625" style="1638" customWidth="1"/>
    <col min="14859" max="14859" width="14.375" style="1638" customWidth="1"/>
    <col min="14860" max="14860" width="6.25" style="1638" customWidth="1"/>
    <col min="14861" max="14861" width="31" style="1638" customWidth="1"/>
    <col min="14862" max="14862" width="0" style="1638" hidden="1" customWidth="1"/>
    <col min="14863" max="15104" width="9" style="1638"/>
    <col min="15105" max="15105" width="25.75" style="1638" customWidth="1"/>
    <col min="15106" max="15106" width="7.875" style="1638" customWidth="1"/>
    <col min="15107" max="15107" width="11.75" style="1638" customWidth="1"/>
    <col min="15108" max="15109" width="13.875" style="1638" customWidth="1"/>
    <col min="15110" max="15110" width="24" style="1638" customWidth="1"/>
    <col min="15111" max="15111" width="7.875" style="1638" customWidth="1"/>
    <col min="15112" max="15112" width="9" style="1638" customWidth="1"/>
    <col min="15113" max="15114" width="10.625" style="1638" customWidth="1"/>
    <col min="15115" max="15115" width="14.375" style="1638" customWidth="1"/>
    <col min="15116" max="15116" width="6.25" style="1638" customWidth="1"/>
    <col min="15117" max="15117" width="31" style="1638" customWidth="1"/>
    <col min="15118" max="15118" width="0" style="1638" hidden="1" customWidth="1"/>
    <col min="15119" max="15360" width="9" style="1638"/>
    <col min="15361" max="15361" width="25.75" style="1638" customWidth="1"/>
    <col min="15362" max="15362" width="7.875" style="1638" customWidth="1"/>
    <col min="15363" max="15363" width="11.75" style="1638" customWidth="1"/>
    <col min="15364" max="15365" width="13.875" style="1638" customWidth="1"/>
    <col min="15366" max="15366" width="24" style="1638" customWidth="1"/>
    <col min="15367" max="15367" width="7.875" style="1638" customWidth="1"/>
    <col min="15368" max="15368" width="9" style="1638" customWidth="1"/>
    <col min="15369" max="15370" width="10.625" style="1638" customWidth="1"/>
    <col min="15371" max="15371" width="14.375" style="1638" customWidth="1"/>
    <col min="15372" max="15372" width="6.25" style="1638" customWidth="1"/>
    <col min="15373" max="15373" width="31" style="1638" customWidth="1"/>
    <col min="15374" max="15374" width="0" style="1638" hidden="1" customWidth="1"/>
    <col min="15375" max="15616" width="9" style="1638"/>
    <col min="15617" max="15617" width="25.75" style="1638" customWidth="1"/>
    <col min="15618" max="15618" width="7.875" style="1638" customWidth="1"/>
    <col min="15619" max="15619" width="11.75" style="1638" customWidth="1"/>
    <col min="15620" max="15621" width="13.875" style="1638" customWidth="1"/>
    <col min="15622" max="15622" width="24" style="1638" customWidth="1"/>
    <col min="15623" max="15623" width="7.875" style="1638" customWidth="1"/>
    <col min="15624" max="15624" width="9" style="1638" customWidth="1"/>
    <col min="15625" max="15626" width="10.625" style="1638" customWidth="1"/>
    <col min="15627" max="15627" width="14.375" style="1638" customWidth="1"/>
    <col min="15628" max="15628" width="6.25" style="1638" customWidth="1"/>
    <col min="15629" max="15629" width="31" style="1638" customWidth="1"/>
    <col min="15630" max="15630" width="0" style="1638" hidden="1" customWidth="1"/>
    <col min="15631" max="15872" width="9" style="1638"/>
    <col min="15873" max="15873" width="25.75" style="1638" customWidth="1"/>
    <col min="15874" max="15874" width="7.875" style="1638" customWidth="1"/>
    <col min="15875" max="15875" width="11.75" style="1638" customWidth="1"/>
    <col min="15876" max="15877" width="13.875" style="1638" customWidth="1"/>
    <col min="15878" max="15878" width="24" style="1638" customWidth="1"/>
    <col min="15879" max="15879" width="7.875" style="1638" customWidth="1"/>
    <col min="15880" max="15880" width="9" style="1638" customWidth="1"/>
    <col min="15881" max="15882" width="10.625" style="1638" customWidth="1"/>
    <col min="15883" max="15883" width="14.375" style="1638" customWidth="1"/>
    <col min="15884" max="15884" width="6.25" style="1638" customWidth="1"/>
    <col min="15885" max="15885" width="31" style="1638" customWidth="1"/>
    <col min="15886" max="15886" width="0" style="1638" hidden="1" customWidth="1"/>
    <col min="15887" max="16128" width="9" style="1638"/>
    <col min="16129" max="16129" width="25.75" style="1638" customWidth="1"/>
    <col min="16130" max="16130" width="7.875" style="1638" customWidth="1"/>
    <col min="16131" max="16131" width="11.75" style="1638" customWidth="1"/>
    <col min="16132" max="16133" width="13.875" style="1638" customWidth="1"/>
    <col min="16134" max="16134" width="24" style="1638" customWidth="1"/>
    <col min="16135" max="16135" width="7.875" style="1638" customWidth="1"/>
    <col min="16136" max="16136" width="9" style="1638" customWidth="1"/>
    <col min="16137" max="16138" width="10.625" style="1638" customWidth="1"/>
    <col min="16139" max="16139" width="14.375" style="1638" customWidth="1"/>
    <col min="16140" max="16140" width="6.25" style="1638" customWidth="1"/>
    <col min="16141" max="16141" width="31" style="1638" customWidth="1"/>
    <col min="16142" max="16142" width="0" style="1638" hidden="1" customWidth="1"/>
    <col min="16143" max="16384" width="9" style="1638"/>
  </cols>
  <sheetData>
    <row r="1" spans="1:15">
      <c r="A1" s="1638" t="s">
        <v>3144</v>
      </c>
      <c r="B1" s="1638" t="s">
        <v>3145</v>
      </c>
      <c r="C1" s="1638" t="s">
        <v>3146</v>
      </c>
      <c r="D1" s="1638" t="s">
        <v>3147</v>
      </c>
      <c r="E1" s="1638" t="s">
        <v>3148</v>
      </c>
      <c r="F1" s="1638" t="s">
        <v>3075</v>
      </c>
      <c r="G1" s="1638" t="s">
        <v>3149</v>
      </c>
      <c r="H1" s="1638" t="s">
        <v>3150</v>
      </c>
      <c r="I1" s="1638" t="s">
        <v>3151</v>
      </c>
      <c r="J1" s="1638" t="s">
        <v>3152</v>
      </c>
      <c r="K1" s="1638" t="s">
        <v>3153</v>
      </c>
      <c r="L1" s="1638" t="s">
        <v>3154</v>
      </c>
      <c r="M1" s="1638" t="s">
        <v>3155</v>
      </c>
      <c r="N1" s="1638" t="s">
        <v>3156</v>
      </c>
    </row>
    <row r="2" spans="1:15">
      <c r="A2" s="1638" t="s">
        <v>3157</v>
      </c>
      <c r="B2" s="1638" t="s">
        <v>3158</v>
      </c>
      <c r="C2" s="1638" t="s">
        <v>3159</v>
      </c>
      <c r="D2" s="1638">
        <v>165497</v>
      </c>
      <c r="E2" s="1638">
        <v>215146.1</v>
      </c>
      <c r="F2" s="1638" t="s">
        <v>3160</v>
      </c>
      <c r="G2" s="1638" t="s">
        <v>3161</v>
      </c>
      <c r="H2" s="1638" t="s">
        <v>3162</v>
      </c>
      <c r="I2" s="1638" t="s">
        <v>1327</v>
      </c>
      <c r="J2" s="1638">
        <v>50350</v>
      </c>
      <c r="K2" s="1638">
        <v>2340.2600000000002</v>
      </c>
      <c r="L2" s="1638" t="s">
        <v>1327</v>
      </c>
      <c r="M2" s="1638" t="s">
        <v>3163</v>
      </c>
      <c r="N2" s="1638" t="s">
        <v>3164</v>
      </c>
      <c r="O2" s="1638">
        <f>ROUND(J2/D2*10000,0)</f>
        <v>3042</v>
      </c>
    </row>
    <row r="3" spans="1:15" s="3117" customFormat="1">
      <c r="A3" s="3117" t="s">
        <v>3157</v>
      </c>
      <c r="B3" s="3117" t="s">
        <v>3158</v>
      </c>
      <c r="C3" s="3117" t="s">
        <v>3159</v>
      </c>
      <c r="D3" s="3117">
        <v>196620</v>
      </c>
      <c r="E3" s="3117">
        <v>255606</v>
      </c>
      <c r="F3" s="3117" t="s">
        <v>3160</v>
      </c>
      <c r="G3" s="3117" t="s">
        <v>3161</v>
      </c>
      <c r="H3" s="3117" t="s">
        <v>3162</v>
      </c>
      <c r="I3" s="3117" t="s">
        <v>1327</v>
      </c>
      <c r="J3" s="3117">
        <v>59810</v>
      </c>
      <c r="K3" s="3117">
        <v>2339.92</v>
      </c>
      <c r="L3" s="3117" t="s">
        <v>1327</v>
      </c>
      <c r="M3" s="3117" t="s">
        <v>3165</v>
      </c>
      <c r="N3" s="3117" t="s">
        <v>3164</v>
      </c>
      <c r="O3" s="3117">
        <f t="shared" ref="O3:O51" si="0">ROUND(J3/D3*10000,0)</f>
        <v>3042</v>
      </c>
    </row>
    <row r="4" spans="1:15">
      <c r="A4" s="1638" t="s">
        <v>3157</v>
      </c>
      <c r="B4" s="1638" t="s">
        <v>3158</v>
      </c>
      <c r="C4" s="1638" t="s">
        <v>3159</v>
      </c>
      <c r="D4" s="1638">
        <v>178331</v>
      </c>
      <c r="E4" s="1638">
        <v>231830.3</v>
      </c>
      <c r="F4" s="1638" t="s">
        <v>3160</v>
      </c>
      <c r="G4" s="1638" t="s">
        <v>3161</v>
      </c>
      <c r="H4" s="1638" t="s">
        <v>3166</v>
      </c>
      <c r="I4" s="1638" t="s">
        <v>1327</v>
      </c>
      <c r="J4" s="1638">
        <v>50170</v>
      </c>
      <c r="K4" s="1638">
        <v>2164.0700000000002</v>
      </c>
      <c r="L4" s="1638" t="s">
        <v>1327</v>
      </c>
      <c r="M4" s="1638" t="s">
        <v>3167</v>
      </c>
      <c r="N4" s="1638" t="s">
        <v>3164</v>
      </c>
      <c r="O4" s="1638">
        <f t="shared" si="0"/>
        <v>2813</v>
      </c>
    </row>
    <row r="5" spans="1:15" s="3117" customFormat="1">
      <c r="A5" s="3117" t="s">
        <v>3168</v>
      </c>
      <c r="B5" s="3117" t="s">
        <v>3158</v>
      </c>
      <c r="C5" s="3117" t="s">
        <v>3159</v>
      </c>
      <c r="D5" s="3117">
        <v>44262</v>
      </c>
      <c r="E5" s="3117">
        <v>66393</v>
      </c>
      <c r="F5" s="3117" t="s">
        <v>3169</v>
      </c>
      <c r="G5" s="3117" t="s">
        <v>3161</v>
      </c>
      <c r="H5" s="3117" t="s">
        <v>3166</v>
      </c>
      <c r="I5" s="3117" t="s">
        <v>1327</v>
      </c>
      <c r="J5" s="3117">
        <v>14680</v>
      </c>
      <c r="K5" s="3117">
        <v>2211.0700000000002</v>
      </c>
      <c r="L5" s="3117" t="s">
        <v>1327</v>
      </c>
      <c r="M5" s="3117" t="s">
        <v>3170</v>
      </c>
      <c r="N5" s="3117" t="s">
        <v>3164</v>
      </c>
      <c r="O5" s="3117">
        <f t="shared" si="0"/>
        <v>3317</v>
      </c>
    </row>
    <row r="6" spans="1:15">
      <c r="A6" s="1638" t="s">
        <v>3171</v>
      </c>
      <c r="B6" s="1638" t="s">
        <v>3158</v>
      </c>
      <c r="C6" s="1638" t="s">
        <v>3159</v>
      </c>
      <c r="D6" s="1638">
        <v>6892.98</v>
      </c>
      <c r="E6" s="1638">
        <v>31018.41</v>
      </c>
      <c r="F6" s="1638" t="s">
        <v>3172</v>
      </c>
      <c r="G6" s="1638" t="s">
        <v>3161</v>
      </c>
      <c r="H6" s="1638" t="s">
        <v>3173</v>
      </c>
      <c r="I6" s="1638" t="s">
        <v>1327</v>
      </c>
      <c r="J6" s="1638">
        <v>1557.51</v>
      </c>
      <c r="K6" s="1638">
        <v>502.12</v>
      </c>
      <c r="L6" s="1638" t="s">
        <v>1327</v>
      </c>
      <c r="M6" s="1638" t="s">
        <v>3174</v>
      </c>
      <c r="N6" s="1638" t="s">
        <v>3164</v>
      </c>
      <c r="O6" s="1638">
        <f t="shared" si="0"/>
        <v>2260</v>
      </c>
    </row>
    <row r="7" spans="1:15">
      <c r="A7" s="1638" t="s">
        <v>3175</v>
      </c>
      <c r="B7" s="1638" t="s">
        <v>3158</v>
      </c>
      <c r="C7" s="1638" t="s">
        <v>3159</v>
      </c>
      <c r="D7" s="1638">
        <v>3291</v>
      </c>
      <c r="E7" s="1638">
        <v>2632.8</v>
      </c>
      <c r="F7" s="1638" t="s">
        <v>3176</v>
      </c>
      <c r="G7" s="1638" t="s">
        <v>3161</v>
      </c>
      <c r="H7" s="1638" t="s">
        <v>3177</v>
      </c>
      <c r="I7" s="1638">
        <v>653</v>
      </c>
      <c r="J7" s="1638">
        <v>753</v>
      </c>
      <c r="K7" s="1638">
        <v>2860.07</v>
      </c>
      <c r="L7" s="1638">
        <v>15.31</v>
      </c>
      <c r="M7" s="1638" t="s">
        <v>3178</v>
      </c>
      <c r="N7" s="1638" t="s">
        <v>3164</v>
      </c>
      <c r="O7" s="1638">
        <f t="shared" si="0"/>
        <v>2288</v>
      </c>
    </row>
    <row r="8" spans="1:15">
      <c r="A8" s="1638" t="s">
        <v>3157</v>
      </c>
      <c r="B8" s="1638" t="s">
        <v>3158</v>
      </c>
      <c r="C8" s="1638" t="s">
        <v>3159</v>
      </c>
      <c r="D8" s="1638">
        <v>55114</v>
      </c>
      <c r="E8" s="1638">
        <v>71648.2</v>
      </c>
      <c r="F8" s="1638" t="s">
        <v>3160</v>
      </c>
      <c r="G8" s="1638" t="s">
        <v>3161</v>
      </c>
      <c r="H8" s="1638" t="s">
        <v>3179</v>
      </c>
      <c r="I8" s="1638" t="s">
        <v>1327</v>
      </c>
      <c r="J8" s="1638">
        <v>15120</v>
      </c>
      <c r="K8" s="1638">
        <v>2110.3000000000002</v>
      </c>
      <c r="L8" s="1638" t="s">
        <v>1327</v>
      </c>
      <c r="M8" s="1638" t="s">
        <v>3167</v>
      </c>
      <c r="N8" s="1638" t="s">
        <v>3164</v>
      </c>
      <c r="O8" s="1638">
        <f t="shared" si="0"/>
        <v>2743</v>
      </c>
    </row>
    <row r="9" spans="1:15">
      <c r="A9" s="1638" t="s">
        <v>3157</v>
      </c>
      <c r="B9" s="1638" t="s">
        <v>3158</v>
      </c>
      <c r="C9" s="1638" t="s">
        <v>3159</v>
      </c>
      <c r="D9" s="1638">
        <v>4093</v>
      </c>
      <c r="E9" s="1638">
        <v>5320.9</v>
      </c>
      <c r="F9" s="1638" t="s">
        <v>3160</v>
      </c>
      <c r="G9" s="1638" t="s">
        <v>3161</v>
      </c>
      <c r="H9" s="1638" t="s">
        <v>3179</v>
      </c>
      <c r="I9" s="1638" t="s">
        <v>1327</v>
      </c>
      <c r="J9" s="1638">
        <v>1120</v>
      </c>
      <c r="K9" s="1638">
        <v>2104.9</v>
      </c>
      <c r="L9" s="1638" t="s">
        <v>1327</v>
      </c>
      <c r="M9" s="1638" t="s">
        <v>3167</v>
      </c>
      <c r="N9" s="1638" t="s">
        <v>3164</v>
      </c>
      <c r="O9" s="1638">
        <f t="shared" si="0"/>
        <v>2736</v>
      </c>
    </row>
    <row r="10" spans="1:15" s="3117" customFormat="1">
      <c r="A10" s="3117" t="s">
        <v>3157</v>
      </c>
      <c r="B10" s="3117" t="s">
        <v>3158</v>
      </c>
      <c r="C10" s="3117" t="s">
        <v>3159</v>
      </c>
      <c r="D10" s="3117">
        <v>27054</v>
      </c>
      <c r="E10" s="3117">
        <v>13527</v>
      </c>
      <c r="F10" s="3117" t="s">
        <v>3180</v>
      </c>
      <c r="G10" s="3117" t="s">
        <v>3161</v>
      </c>
      <c r="H10" s="3117" t="s">
        <v>3181</v>
      </c>
      <c r="I10" s="3117" t="s">
        <v>1327</v>
      </c>
      <c r="J10" s="3117">
        <v>3490</v>
      </c>
      <c r="K10" s="3117">
        <v>2580.0300000000002</v>
      </c>
      <c r="L10" s="3117" t="s">
        <v>1327</v>
      </c>
      <c r="M10" s="3117" t="s">
        <v>3167</v>
      </c>
      <c r="N10" s="3117" t="s">
        <v>3164</v>
      </c>
      <c r="O10" s="1638">
        <f t="shared" si="0"/>
        <v>1290</v>
      </c>
    </row>
    <row r="11" spans="1:15">
      <c r="A11" s="1638" t="s">
        <v>3157</v>
      </c>
      <c r="B11" s="1638" t="s">
        <v>3158</v>
      </c>
      <c r="C11" s="1638" t="s">
        <v>3159</v>
      </c>
      <c r="D11" s="1638">
        <v>3421</v>
      </c>
      <c r="E11" s="1638">
        <v>1710.5</v>
      </c>
      <c r="F11" s="1638" t="s">
        <v>3180</v>
      </c>
      <c r="G11" s="1638" t="s">
        <v>3161</v>
      </c>
      <c r="H11" s="1638" t="s">
        <v>3181</v>
      </c>
      <c r="I11" s="1638" t="s">
        <v>1327</v>
      </c>
      <c r="J11" s="1638">
        <v>442</v>
      </c>
      <c r="K11" s="1638">
        <v>2584.0300000000002</v>
      </c>
      <c r="L11" s="1638" t="s">
        <v>1327</v>
      </c>
      <c r="M11" s="1638" t="s">
        <v>3167</v>
      </c>
      <c r="N11" s="1638" t="s">
        <v>3164</v>
      </c>
      <c r="O11" s="1638">
        <f t="shared" si="0"/>
        <v>1292</v>
      </c>
    </row>
    <row r="12" spans="1:15">
      <c r="A12" s="1638" t="s">
        <v>3157</v>
      </c>
      <c r="B12" s="1638" t="s">
        <v>3158</v>
      </c>
      <c r="C12" s="1638" t="s">
        <v>3159</v>
      </c>
      <c r="D12" s="1638">
        <v>2212</v>
      </c>
      <c r="E12" s="1638">
        <v>2875.6</v>
      </c>
      <c r="F12" s="1638" t="s">
        <v>3160</v>
      </c>
      <c r="G12" s="1638" t="s">
        <v>3161</v>
      </c>
      <c r="H12" s="1638" t="s">
        <v>3181</v>
      </c>
      <c r="I12" s="1638" t="s">
        <v>1327</v>
      </c>
      <c r="J12" s="1638">
        <v>300</v>
      </c>
      <c r="K12" s="1638">
        <v>1043.25</v>
      </c>
      <c r="L12" s="1638" t="s">
        <v>1327</v>
      </c>
      <c r="M12" s="1638" t="s">
        <v>3167</v>
      </c>
      <c r="N12" s="1638" t="s">
        <v>3164</v>
      </c>
      <c r="O12" s="1638">
        <f t="shared" si="0"/>
        <v>1356</v>
      </c>
    </row>
    <row r="13" spans="1:15">
      <c r="A13" s="1638" t="s">
        <v>3157</v>
      </c>
      <c r="B13" s="1638" t="s">
        <v>3158</v>
      </c>
      <c r="C13" s="1638" t="s">
        <v>3159</v>
      </c>
      <c r="D13" s="1638">
        <v>3474</v>
      </c>
      <c r="E13" s="1638">
        <v>6253.2</v>
      </c>
      <c r="F13" s="1638" t="s">
        <v>3182</v>
      </c>
      <c r="G13" s="1638" t="s">
        <v>3161</v>
      </c>
      <c r="H13" s="1638" t="s">
        <v>3181</v>
      </c>
      <c r="I13" s="1638" t="s">
        <v>1327</v>
      </c>
      <c r="J13" s="1638">
        <v>521</v>
      </c>
      <c r="K13" s="1638">
        <v>833.16</v>
      </c>
      <c r="L13" s="1638" t="s">
        <v>1327</v>
      </c>
      <c r="M13" s="1638" t="s">
        <v>3167</v>
      </c>
      <c r="N13" s="1638" t="s">
        <v>3164</v>
      </c>
      <c r="O13" s="1638">
        <f t="shared" si="0"/>
        <v>1500</v>
      </c>
    </row>
    <row r="14" spans="1:15">
      <c r="A14" s="1638" t="s">
        <v>3157</v>
      </c>
      <c r="B14" s="1638" t="s">
        <v>3158</v>
      </c>
      <c r="C14" s="1638" t="s">
        <v>3159</v>
      </c>
      <c r="D14" s="1638">
        <v>6259</v>
      </c>
      <c r="E14" s="1638">
        <v>3129.5</v>
      </c>
      <c r="F14" s="1638" t="s">
        <v>3180</v>
      </c>
      <c r="G14" s="1638" t="s">
        <v>3161</v>
      </c>
      <c r="H14" s="1638" t="s">
        <v>3181</v>
      </c>
      <c r="I14" s="1638" t="s">
        <v>1327</v>
      </c>
      <c r="J14" s="1638">
        <v>810</v>
      </c>
      <c r="K14" s="1638">
        <v>2588.2600000000002</v>
      </c>
      <c r="L14" s="1638" t="s">
        <v>1327</v>
      </c>
      <c r="M14" s="1638" t="s">
        <v>3167</v>
      </c>
      <c r="N14" s="1638" t="s">
        <v>3164</v>
      </c>
      <c r="O14" s="1638">
        <f t="shared" si="0"/>
        <v>1294</v>
      </c>
    </row>
    <row r="15" spans="1:15">
      <c r="A15" s="1638" t="s">
        <v>3157</v>
      </c>
      <c r="B15" s="1638" t="s">
        <v>3158</v>
      </c>
      <c r="C15" s="1638" t="s">
        <v>3159</v>
      </c>
      <c r="D15" s="1638">
        <v>3719</v>
      </c>
      <c r="E15" s="1638">
        <v>1487.6</v>
      </c>
      <c r="F15" s="1638" t="s">
        <v>3183</v>
      </c>
      <c r="G15" s="1638" t="s">
        <v>3161</v>
      </c>
      <c r="H15" s="1638" t="s">
        <v>3181</v>
      </c>
      <c r="I15" s="1638" t="s">
        <v>1327</v>
      </c>
      <c r="J15" s="1638">
        <v>478</v>
      </c>
      <c r="K15" s="1638">
        <v>3213.23</v>
      </c>
      <c r="L15" s="1638" t="s">
        <v>1327</v>
      </c>
      <c r="M15" s="1638" t="s">
        <v>3167</v>
      </c>
      <c r="N15" s="1638" t="s">
        <v>3164</v>
      </c>
      <c r="O15" s="1638">
        <f t="shared" si="0"/>
        <v>1285</v>
      </c>
    </row>
    <row r="16" spans="1:15">
      <c r="A16" s="1638" t="s">
        <v>3157</v>
      </c>
      <c r="B16" s="1638" t="s">
        <v>3158</v>
      </c>
      <c r="C16" s="1638" t="s">
        <v>3159</v>
      </c>
      <c r="D16" s="1638">
        <v>3263</v>
      </c>
      <c r="E16" s="1638">
        <v>1631.5</v>
      </c>
      <c r="F16" s="1638" t="s">
        <v>3180</v>
      </c>
      <c r="G16" s="1638" t="s">
        <v>3161</v>
      </c>
      <c r="H16" s="1638" t="s">
        <v>3181</v>
      </c>
      <c r="I16" s="1638" t="s">
        <v>1327</v>
      </c>
      <c r="J16" s="1638">
        <v>421</v>
      </c>
      <c r="K16" s="1638">
        <v>2580.44</v>
      </c>
      <c r="L16" s="1638" t="s">
        <v>1327</v>
      </c>
      <c r="M16" s="1638" t="s">
        <v>3167</v>
      </c>
      <c r="N16" s="1638" t="s">
        <v>3164</v>
      </c>
      <c r="O16" s="1638">
        <f t="shared" si="0"/>
        <v>1290</v>
      </c>
    </row>
    <row r="17" spans="1:15">
      <c r="A17" s="1638" t="s">
        <v>3157</v>
      </c>
      <c r="B17" s="1638" t="s">
        <v>3158</v>
      </c>
      <c r="C17" s="1638" t="s">
        <v>3159</v>
      </c>
      <c r="D17" s="1638">
        <v>23521</v>
      </c>
      <c r="E17" s="1638">
        <v>11760.5</v>
      </c>
      <c r="F17" s="1638" t="s">
        <v>3180</v>
      </c>
      <c r="G17" s="1638" t="s">
        <v>3161</v>
      </c>
      <c r="H17" s="1638" t="s">
        <v>3181</v>
      </c>
      <c r="I17" s="1638" t="s">
        <v>1327</v>
      </c>
      <c r="J17" s="1638">
        <v>3040</v>
      </c>
      <c r="K17" s="1638">
        <v>2584.92</v>
      </c>
      <c r="L17" s="1638" t="s">
        <v>1327</v>
      </c>
      <c r="M17" s="1638" t="s">
        <v>3167</v>
      </c>
      <c r="N17" s="1638" t="s">
        <v>3164</v>
      </c>
      <c r="O17" s="1638">
        <f t="shared" si="0"/>
        <v>1292</v>
      </c>
    </row>
    <row r="18" spans="1:15">
      <c r="A18" s="1638" t="s">
        <v>3157</v>
      </c>
      <c r="B18" s="1638" t="s">
        <v>3158</v>
      </c>
      <c r="C18" s="1638" t="s">
        <v>3159</v>
      </c>
      <c r="D18" s="1638">
        <v>37718</v>
      </c>
      <c r="E18" s="1638">
        <v>18859</v>
      </c>
      <c r="F18" s="1638" t="s">
        <v>3180</v>
      </c>
      <c r="G18" s="1638" t="s">
        <v>3161</v>
      </c>
      <c r="H18" s="1638" t="s">
        <v>3181</v>
      </c>
      <c r="I18" s="1638" t="s">
        <v>1327</v>
      </c>
      <c r="J18" s="1638">
        <v>4860</v>
      </c>
      <c r="K18" s="1638">
        <v>2577.0100000000002</v>
      </c>
      <c r="L18" s="1638" t="s">
        <v>1327</v>
      </c>
      <c r="M18" s="1638" t="s">
        <v>3167</v>
      </c>
      <c r="N18" s="1638" t="s">
        <v>3164</v>
      </c>
      <c r="O18" s="1638">
        <f t="shared" si="0"/>
        <v>1289</v>
      </c>
    </row>
    <row r="19" spans="1:15">
      <c r="A19" s="1638" t="s">
        <v>3184</v>
      </c>
      <c r="B19" s="1638" t="s">
        <v>3158</v>
      </c>
      <c r="C19" s="1638" t="s">
        <v>3159</v>
      </c>
      <c r="D19" s="1638">
        <v>45575</v>
      </c>
      <c r="E19" s="1638">
        <v>91150</v>
      </c>
      <c r="F19" s="1638" t="s">
        <v>3185</v>
      </c>
      <c r="G19" s="1638" t="s">
        <v>3161</v>
      </c>
      <c r="H19" s="1638" t="s">
        <v>3186</v>
      </c>
      <c r="I19" s="1638" t="s">
        <v>1327</v>
      </c>
      <c r="J19" s="1638">
        <v>7550</v>
      </c>
      <c r="K19" s="1638">
        <v>828.29</v>
      </c>
      <c r="L19" s="1638" t="s">
        <v>1327</v>
      </c>
      <c r="M19" s="1638" t="s">
        <v>3167</v>
      </c>
      <c r="N19" s="1638" t="s">
        <v>3164</v>
      </c>
      <c r="O19" s="1638">
        <f t="shared" si="0"/>
        <v>1657</v>
      </c>
    </row>
    <row r="20" spans="1:15">
      <c r="A20" s="1638" t="s">
        <v>3184</v>
      </c>
      <c r="B20" s="1638" t="s">
        <v>3158</v>
      </c>
      <c r="C20" s="1638" t="s">
        <v>3159</v>
      </c>
      <c r="D20" s="1638">
        <v>20706</v>
      </c>
      <c r="E20" s="1638">
        <v>41412</v>
      </c>
      <c r="F20" s="1638" t="s">
        <v>3185</v>
      </c>
      <c r="G20" s="1638" t="s">
        <v>3161</v>
      </c>
      <c r="H20" s="1638" t="s">
        <v>3186</v>
      </c>
      <c r="I20" s="1638" t="s">
        <v>1327</v>
      </c>
      <c r="J20" s="1638">
        <v>3430</v>
      </c>
      <c r="K20" s="1638">
        <v>828.25</v>
      </c>
      <c r="L20" s="1638" t="s">
        <v>1327</v>
      </c>
      <c r="M20" s="1638" t="s">
        <v>3167</v>
      </c>
      <c r="N20" s="1638" t="s">
        <v>3164</v>
      </c>
      <c r="O20" s="1638">
        <f t="shared" si="0"/>
        <v>1657</v>
      </c>
    </row>
    <row r="21" spans="1:15">
      <c r="A21" s="1638" t="s">
        <v>3184</v>
      </c>
      <c r="B21" s="1638" t="s">
        <v>3158</v>
      </c>
      <c r="C21" s="1638" t="s">
        <v>3159</v>
      </c>
      <c r="D21" s="1638">
        <v>9612</v>
      </c>
      <c r="E21" s="1638">
        <v>14418</v>
      </c>
      <c r="F21" s="1638" t="s">
        <v>3169</v>
      </c>
      <c r="G21" s="1638" t="s">
        <v>3161</v>
      </c>
      <c r="H21" s="1638" t="s">
        <v>3186</v>
      </c>
      <c r="I21" s="1638" t="s">
        <v>1327</v>
      </c>
      <c r="J21" s="1638">
        <v>1520</v>
      </c>
      <c r="K21" s="1638">
        <v>1054.24</v>
      </c>
      <c r="L21" s="1638" t="s">
        <v>1327</v>
      </c>
      <c r="M21" s="1638" t="s">
        <v>3167</v>
      </c>
      <c r="N21" s="1638" t="s">
        <v>3164</v>
      </c>
      <c r="O21" s="1638">
        <f t="shared" si="0"/>
        <v>1581</v>
      </c>
    </row>
    <row r="22" spans="1:15">
      <c r="A22" s="1638" t="s">
        <v>3187</v>
      </c>
      <c r="B22" s="1638" t="s">
        <v>3158</v>
      </c>
      <c r="C22" s="1638" t="s">
        <v>3159</v>
      </c>
      <c r="D22" s="1638">
        <v>25156</v>
      </c>
      <c r="E22" s="1638">
        <v>45280.800000000003</v>
      </c>
      <c r="F22" s="1638" t="s">
        <v>3188</v>
      </c>
      <c r="G22" s="1638" t="s">
        <v>3161</v>
      </c>
      <c r="H22" s="1638" t="s">
        <v>3186</v>
      </c>
      <c r="I22" s="1638" t="s">
        <v>1327</v>
      </c>
      <c r="J22" s="1638">
        <v>4100</v>
      </c>
      <c r="K22" s="1638">
        <v>905.46</v>
      </c>
      <c r="L22" s="1638" t="s">
        <v>1327</v>
      </c>
      <c r="M22" s="1638" t="s">
        <v>3189</v>
      </c>
      <c r="N22" s="1638" t="s">
        <v>3164</v>
      </c>
      <c r="O22" s="1638">
        <f t="shared" si="0"/>
        <v>1630</v>
      </c>
    </row>
    <row r="23" spans="1:15" s="3117" customFormat="1">
      <c r="A23" s="3117" t="s">
        <v>3168</v>
      </c>
      <c r="B23" s="3117" t="s">
        <v>3158</v>
      </c>
      <c r="C23" s="3117" t="s">
        <v>3159</v>
      </c>
      <c r="D23" s="3117">
        <v>17803</v>
      </c>
      <c r="E23" s="3117">
        <v>26704.5</v>
      </c>
      <c r="F23" s="3117" t="s">
        <v>3169</v>
      </c>
      <c r="G23" s="3117" t="s">
        <v>3161</v>
      </c>
      <c r="H23" s="3117" t="s">
        <v>3190</v>
      </c>
      <c r="I23" s="3117" t="s">
        <v>1327</v>
      </c>
      <c r="J23" s="3117">
        <v>5105</v>
      </c>
      <c r="K23" s="3117">
        <v>1911.66</v>
      </c>
      <c r="L23" s="3117" t="s">
        <v>1327</v>
      </c>
      <c r="M23" s="3117" t="s">
        <v>3170</v>
      </c>
      <c r="N23" s="3117" t="s">
        <v>3164</v>
      </c>
      <c r="O23" s="3117">
        <f t="shared" si="0"/>
        <v>2867</v>
      </c>
    </row>
    <row r="24" spans="1:15">
      <c r="A24" s="1638" t="s">
        <v>3168</v>
      </c>
      <c r="B24" s="1638" t="s">
        <v>3158</v>
      </c>
      <c r="C24" s="1638" t="s">
        <v>3159</v>
      </c>
      <c r="D24" s="1638">
        <v>10073</v>
      </c>
      <c r="E24" s="1638">
        <v>20146</v>
      </c>
      <c r="F24" s="1638" t="s">
        <v>3185</v>
      </c>
      <c r="G24" s="1638" t="s">
        <v>3161</v>
      </c>
      <c r="H24" s="1638" t="s">
        <v>3190</v>
      </c>
      <c r="I24" s="1638" t="s">
        <v>1327</v>
      </c>
      <c r="J24" s="1638">
        <v>3305</v>
      </c>
      <c r="K24" s="1638">
        <v>1640.51</v>
      </c>
      <c r="L24" s="1638" t="s">
        <v>1327</v>
      </c>
      <c r="M24" s="1638" t="s">
        <v>3170</v>
      </c>
      <c r="N24" s="1638" t="s">
        <v>3164</v>
      </c>
      <c r="O24" s="1638">
        <f t="shared" si="0"/>
        <v>3281</v>
      </c>
    </row>
    <row r="25" spans="1:15">
      <c r="A25" s="1638" t="s">
        <v>3191</v>
      </c>
      <c r="B25" s="1638" t="s">
        <v>3158</v>
      </c>
      <c r="C25" s="1638" t="s">
        <v>3159</v>
      </c>
      <c r="D25" s="1638">
        <v>81496</v>
      </c>
      <c r="E25" s="1638">
        <v>162992</v>
      </c>
      <c r="F25" s="1638" t="s">
        <v>3185</v>
      </c>
      <c r="G25" s="1638" t="s">
        <v>3161</v>
      </c>
      <c r="H25" s="1638" t="s">
        <v>3190</v>
      </c>
      <c r="I25" s="1638" t="s">
        <v>1327</v>
      </c>
      <c r="J25" s="1638">
        <v>26910</v>
      </c>
      <c r="K25" s="1638">
        <v>1651</v>
      </c>
      <c r="L25" s="1638" t="s">
        <v>1327</v>
      </c>
      <c r="M25" s="1638" t="s">
        <v>3192</v>
      </c>
      <c r="N25" s="1638" t="s">
        <v>3164</v>
      </c>
      <c r="O25" s="1638">
        <f t="shared" si="0"/>
        <v>3302</v>
      </c>
    </row>
    <row r="26" spans="1:15">
      <c r="A26" s="1638" t="s">
        <v>3168</v>
      </c>
      <c r="B26" s="1638" t="s">
        <v>3158</v>
      </c>
      <c r="C26" s="1638" t="s">
        <v>3159</v>
      </c>
      <c r="D26" s="1638">
        <v>6816</v>
      </c>
      <c r="E26" s="1638">
        <v>13632</v>
      </c>
      <c r="F26" s="1638" t="s">
        <v>3185</v>
      </c>
      <c r="G26" s="1638" t="s">
        <v>3161</v>
      </c>
      <c r="H26" s="1638" t="s">
        <v>3190</v>
      </c>
      <c r="I26" s="1638" t="s">
        <v>1327</v>
      </c>
      <c r="J26" s="1638">
        <v>2240</v>
      </c>
      <c r="K26" s="1638">
        <v>1643.19</v>
      </c>
      <c r="L26" s="1638" t="s">
        <v>1327</v>
      </c>
      <c r="M26" s="1638" t="s">
        <v>3170</v>
      </c>
      <c r="N26" s="1638" t="s">
        <v>3164</v>
      </c>
      <c r="O26" s="1638">
        <f t="shared" si="0"/>
        <v>3286</v>
      </c>
    </row>
    <row r="27" spans="1:15">
      <c r="A27" s="1638" t="s">
        <v>3193</v>
      </c>
      <c r="B27" s="1638" t="s">
        <v>3158</v>
      </c>
      <c r="C27" s="1638" t="s">
        <v>3159</v>
      </c>
      <c r="D27" s="1638">
        <v>33334</v>
      </c>
      <c r="E27" s="1638">
        <v>36667.4</v>
      </c>
      <c r="F27" s="1638" t="s">
        <v>3194</v>
      </c>
      <c r="G27" s="1638" t="s">
        <v>3161</v>
      </c>
      <c r="H27" s="1638" t="s">
        <v>3195</v>
      </c>
      <c r="I27" s="1638" t="s">
        <v>1327</v>
      </c>
      <c r="J27" s="1638">
        <v>3186</v>
      </c>
      <c r="K27" s="1638">
        <v>868.88</v>
      </c>
      <c r="L27" s="1638" t="s">
        <v>1327</v>
      </c>
      <c r="M27" s="1638" t="s">
        <v>3196</v>
      </c>
      <c r="N27" s="1638" t="s">
        <v>3164</v>
      </c>
      <c r="O27" s="1638">
        <f t="shared" si="0"/>
        <v>956</v>
      </c>
    </row>
    <row r="28" spans="1:15">
      <c r="A28" s="1638" t="s">
        <v>3197</v>
      </c>
      <c r="B28" s="1638" t="s">
        <v>3158</v>
      </c>
      <c r="C28" s="1638" t="s">
        <v>3159</v>
      </c>
      <c r="D28" s="1638">
        <v>104291</v>
      </c>
      <c r="E28" s="1638">
        <v>208582</v>
      </c>
      <c r="F28" s="1638" t="s">
        <v>3185</v>
      </c>
      <c r="G28" s="1638" t="s">
        <v>3161</v>
      </c>
      <c r="H28" s="1638" t="s">
        <v>3195</v>
      </c>
      <c r="I28" s="1638" t="s">
        <v>1327</v>
      </c>
      <c r="J28" s="1638">
        <v>11012</v>
      </c>
      <c r="K28" s="1638">
        <v>527.95000000000005</v>
      </c>
      <c r="L28" s="1638" t="s">
        <v>1327</v>
      </c>
      <c r="M28" s="1638" t="s">
        <v>3198</v>
      </c>
      <c r="N28" s="1638" t="s">
        <v>3164</v>
      </c>
      <c r="O28" s="1638">
        <f t="shared" si="0"/>
        <v>1056</v>
      </c>
    </row>
    <row r="29" spans="1:15">
      <c r="A29" s="1638" t="s">
        <v>3199</v>
      </c>
      <c r="B29" s="1638" t="s">
        <v>3158</v>
      </c>
      <c r="C29" s="1638" t="s">
        <v>3159</v>
      </c>
      <c r="D29" s="1638">
        <v>1788</v>
      </c>
      <c r="E29" s="1638">
        <v>1788</v>
      </c>
      <c r="F29" s="1638" t="s">
        <v>3200</v>
      </c>
      <c r="G29" s="1638" t="s">
        <v>3161</v>
      </c>
      <c r="H29" s="1638" t="s">
        <v>3201</v>
      </c>
      <c r="I29" s="1638" t="s">
        <v>1327</v>
      </c>
      <c r="J29" s="1638">
        <v>169</v>
      </c>
      <c r="K29" s="1638">
        <v>945.19</v>
      </c>
      <c r="L29" s="1638" t="s">
        <v>1327</v>
      </c>
      <c r="M29" s="1638" t="s">
        <v>3202</v>
      </c>
      <c r="N29" s="1638" t="s">
        <v>3164</v>
      </c>
      <c r="O29" s="1638">
        <f t="shared" si="0"/>
        <v>945</v>
      </c>
    </row>
    <row r="30" spans="1:15">
      <c r="A30" s="1638" t="s">
        <v>3199</v>
      </c>
      <c r="B30" s="1638" t="s">
        <v>3158</v>
      </c>
      <c r="C30" s="1638" t="s">
        <v>3159</v>
      </c>
      <c r="D30" s="1638">
        <v>3295</v>
      </c>
      <c r="E30" s="1638">
        <v>6590</v>
      </c>
      <c r="F30" s="1638" t="s">
        <v>3185</v>
      </c>
      <c r="G30" s="1638" t="s">
        <v>3161</v>
      </c>
      <c r="H30" s="1638" t="s">
        <v>3201</v>
      </c>
      <c r="I30" s="1638" t="s">
        <v>1327</v>
      </c>
      <c r="J30" s="1638">
        <v>352</v>
      </c>
      <c r="K30" s="1638">
        <v>534.13</v>
      </c>
      <c r="L30" s="1638" t="s">
        <v>1327</v>
      </c>
      <c r="M30" s="1638" t="s">
        <v>3202</v>
      </c>
      <c r="N30" s="1638" t="s">
        <v>3164</v>
      </c>
      <c r="O30" s="1638">
        <f t="shared" si="0"/>
        <v>1068</v>
      </c>
    </row>
    <row r="31" spans="1:15">
      <c r="A31" s="1638" t="s">
        <v>3203</v>
      </c>
      <c r="B31" s="1638" t="s">
        <v>3158</v>
      </c>
      <c r="C31" s="1638" t="s">
        <v>3159</v>
      </c>
      <c r="D31" s="1638">
        <v>990</v>
      </c>
      <c r="E31" s="1638">
        <v>990</v>
      </c>
      <c r="F31" s="1638" t="s">
        <v>3200</v>
      </c>
      <c r="G31" s="1638" t="s">
        <v>3161</v>
      </c>
      <c r="H31" s="1638" t="s">
        <v>3201</v>
      </c>
      <c r="I31" s="1638" t="s">
        <v>1327</v>
      </c>
      <c r="J31" s="1638">
        <v>95</v>
      </c>
      <c r="K31" s="1638">
        <v>959.6</v>
      </c>
      <c r="L31" s="1638" t="s">
        <v>1327</v>
      </c>
      <c r="M31" s="1638" t="s">
        <v>3202</v>
      </c>
      <c r="N31" s="1638" t="s">
        <v>3164</v>
      </c>
      <c r="O31" s="1638">
        <f t="shared" si="0"/>
        <v>960</v>
      </c>
    </row>
    <row r="32" spans="1:15">
      <c r="A32" s="1638" t="s">
        <v>3157</v>
      </c>
      <c r="B32" s="1638" t="s">
        <v>3158</v>
      </c>
      <c r="C32" s="1638" t="s">
        <v>3159</v>
      </c>
      <c r="D32" s="1638">
        <v>9712</v>
      </c>
      <c r="E32" s="1638">
        <v>14568</v>
      </c>
      <c r="F32" s="1638" t="s">
        <v>3169</v>
      </c>
      <c r="G32" s="1638" t="s">
        <v>3161</v>
      </c>
      <c r="H32" s="1638" t="s">
        <v>3201</v>
      </c>
      <c r="I32" s="1638" t="s">
        <v>1327</v>
      </c>
      <c r="J32" s="1638">
        <v>914</v>
      </c>
      <c r="K32" s="1638">
        <v>627.39</v>
      </c>
      <c r="L32" s="1638" t="s">
        <v>1327</v>
      </c>
      <c r="M32" s="1638" t="s">
        <v>3167</v>
      </c>
      <c r="N32" s="1638" t="s">
        <v>3164</v>
      </c>
      <c r="O32" s="1638">
        <f t="shared" si="0"/>
        <v>941</v>
      </c>
    </row>
    <row r="33" spans="1:15">
      <c r="A33" s="1638" t="s">
        <v>3199</v>
      </c>
      <c r="B33" s="1638" t="s">
        <v>3158</v>
      </c>
      <c r="C33" s="1638" t="s">
        <v>3159</v>
      </c>
      <c r="D33" s="1638">
        <v>25253</v>
      </c>
      <c r="E33" s="1638">
        <v>37879.5</v>
      </c>
      <c r="F33" s="1638" t="s">
        <v>3169</v>
      </c>
      <c r="G33" s="1638" t="s">
        <v>3161</v>
      </c>
      <c r="H33" s="1638" t="s">
        <v>3201</v>
      </c>
      <c r="I33" s="1638" t="s">
        <v>1327</v>
      </c>
      <c r="J33" s="1638">
        <v>2427</v>
      </c>
      <c r="K33" s="1638">
        <v>640.72</v>
      </c>
      <c r="L33" s="1638" t="s">
        <v>1327</v>
      </c>
      <c r="M33" s="1638" t="s">
        <v>3202</v>
      </c>
      <c r="N33" s="1638" t="s">
        <v>3164</v>
      </c>
      <c r="O33" s="1638">
        <f t="shared" si="0"/>
        <v>961</v>
      </c>
    </row>
    <row r="34" spans="1:15">
      <c r="A34" s="1638" t="s">
        <v>3199</v>
      </c>
      <c r="B34" s="1638" t="s">
        <v>3158</v>
      </c>
      <c r="C34" s="1638" t="s">
        <v>3159</v>
      </c>
      <c r="D34" s="1638">
        <v>2826</v>
      </c>
      <c r="E34" s="1638">
        <v>2826</v>
      </c>
      <c r="F34" s="1638" t="s">
        <v>3200</v>
      </c>
      <c r="G34" s="1638" t="s">
        <v>3161</v>
      </c>
      <c r="H34" s="1638" t="s">
        <v>3201</v>
      </c>
      <c r="I34" s="1638" t="s">
        <v>1327</v>
      </c>
      <c r="J34" s="1638">
        <v>266</v>
      </c>
      <c r="K34" s="1638">
        <v>941.25</v>
      </c>
      <c r="L34" s="1638" t="s">
        <v>1327</v>
      </c>
      <c r="M34" s="1638" t="s">
        <v>3202</v>
      </c>
      <c r="N34" s="1638" t="s">
        <v>3164</v>
      </c>
      <c r="O34" s="1638">
        <f t="shared" si="0"/>
        <v>941</v>
      </c>
    </row>
    <row r="35" spans="1:15">
      <c r="A35" s="1638" t="s">
        <v>3157</v>
      </c>
      <c r="B35" s="1638" t="s">
        <v>3158</v>
      </c>
      <c r="C35" s="1638" t="s">
        <v>3159</v>
      </c>
      <c r="D35" s="1638">
        <v>3779</v>
      </c>
      <c r="E35" s="1638">
        <v>1511.6</v>
      </c>
      <c r="F35" s="1638" t="s">
        <v>3183</v>
      </c>
      <c r="G35" s="1638" t="s">
        <v>3161</v>
      </c>
      <c r="H35" s="1638" t="s">
        <v>3204</v>
      </c>
      <c r="I35" s="1638" t="s">
        <v>1327</v>
      </c>
      <c r="J35" s="1638">
        <v>354</v>
      </c>
      <c r="K35" s="1638">
        <v>2341.88</v>
      </c>
      <c r="L35" s="1638" t="s">
        <v>1327</v>
      </c>
      <c r="M35" s="1638" t="s">
        <v>3167</v>
      </c>
      <c r="N35" s="1638" t="s">
        <v>3164</v>
      </c>
      <c r="O35" s="1638">
        <f t="shared" si="0"/>
        <v>937</v>
      </c>
    </row>
    <row r="36" spans="1:15">
      <c r="A36" s="1638" t="s">
        <v>3157</v>
      </c>
      <c r="B36" s="1638" t="s">
        <v>3158</v>
      </c>
      <c r="C36" s="1638" t="s">
        <v>3159</v>
      </c>
      <c r="D36" s="1638">
        <v>4542</v>
      </c>
      <c r="E36" s="1638">
        <v>2271</v>
      </c>
      <c r="F36" s="1638" t="s">
        <v>3180</v>
      </c>
      <c r="G36" s="1638" t="s">
        <v>3161</v>
      </c>
      <c r="H36" s="1638" t="s">
        <v>3204</v>
      </c>
      <c r="I36" s="1638" t="s">
        <v>1327</v>
      </c>
      <c r="J36" s="1638">
        <v>425</v>
      </c>
      <c r="K36" s="1638">
        <v>1871.42</v>
      </c>
      <c r="L36" s="1638" t="s">
        <v>1327</v>
      </c>
      <c r="M36" s="1638" t="s">
        <v>3167</v>
      </c>
      <c r="N36" s="1638" t="s">
        <v>3164</v>
      </c>
      <c r="O36" s="1638">
        <f t="shared" si="0"/>
        <v>936</v>
      </c>
    </row>
    <row r="37" spans="1:15">
      <c r="A37" s="1638" t="s">
        <v>3157</v>
      </c>
      <c r="B37" s="1638" t="s">
        <v>3158</v>
      </c>
      <c r="C37" s="1638" t="s">
        <v>3159</v>
      </c>
      <c r="D37" s="1638">
        <v>3819</v>
      </c>
      <c r="E37" s="1638">
        <v>1527.6</v>
      </c>
      <c r="F37" s="1638" t="s">
        <v>3183</v>
      </c>
      <c r="G37" s="1638" t="s">
        <v>3161</v>
      </c>
      <c r="H37" s="1638" t="s">
        <v>3204</v>
      </c>
      <c r="I37" s="1638" t="s">
        <v>1327</v>
      </c>
      <c r="J37" s="1638">
        <v>357</v>
      </c>
      <c r="K37" s="1638">
        <v>2337</v>
      </c>
      <c r="L37" s="1638" t="s">
        <v>1327</v>
      </c>
      <c r="M37" s="1638" t="s">
        <v>3167</v>
      </c>
      <c r="N37" s="1638" t="s">
        <v>3164</v>
      </c>
      <c r="O37" s="1638">
        <f t="shared" si="0"/>
        <v>935</v>
      </c>
    </row>
    <row r="38" spans="1:15">
      <c r="A38" s="1638" t="s">
        <v>3157</v>
      </c>
      <c r="B38" s="1638" t="s">
        <v>3158</v>
      </c>
      <c r="C38" s="1638" t="s">
        <v>3159</v>
      </c>
      <c r="D38" s="1638">
        <v>7333</v>
      </c>
      <c r="E38" s="1638">
        <v>2933.2</v>
      </c>
      <c r="F38" s="1638" t="s">
        <v>3183</v>
      </c>
      <c r="G38" s="1638" t="s">
        <v>3161</v>
      </c>
      <c r="H38" s="1638" t="s">
        <v>3205</v>
      </c>
      <c r="I38" s="1638" t="s">
        <v>1327</v>
      </c>
      <c r="J38" s="1638">
        <v>575</v>
      </c>
      <c r="K38" s="1638">
        <v>1960.31</v>
      </c>
      <c r="L38" s="1638" t="s">
        <v>1327</v>
      </c>
      <c r="M38" s="1638" t="s">
        <v>3167</v>
      </c>
      <c r="N38" s="1638" t="s">
        <v>3164</v>
      </c>
      <c r="O38" s="1638">
        <f t="shared" si="0"/>
        <v>784</v>
      </c>
    </row>
    <row r="39" spans="1:15">
      <c r="A39" s="1638" t="s">
        <v>3157</v>
      </c>
      <c r="B39" s="1638" t="s">
        <v>3158</v>
      </c>
      <c r="C39" s="1638" t="s">
        <v>3159</v>
      </c>
      <c r="D39" s="1638">
        <v>6304</v>
      </c>
      <c r="E39" s="1638">
        <v>3152</v>
      </c>
      <c r="F39" s="1638" t="s">
        <v>3180</v>
      </c>
      <c r="G39" s="1638" t="s">
        <v>3161</v>
      </c>
      <c r="H39" s="1638" t="s">
        <v>3205</v>
      </c>
      <c r="I39" s="1638" t="s">
        <v>1327</v>
      </c>
      <c r="J39" s="1638">
        <v>495</v>
      </c>
      <c r="K39" s="1638">
        <v>1570.43</v>
      </c>
      <c r="L39" s="1638" t="s">
        <v>1327</v>
      </c>
      <c r="M39" s="1638" t="s">
        <v>3167</v>
      </c>
      <c r="N39" s="1638" t="s">
        <v>3164</v>
      </c>
      <c r="O39" s="1638">
        <f t="shared" si="0"/>
        <v>785</v>
      </c>
    </row>
    <row r="40" spans="1:15">
      <c r="A40" s="1638" t="s">
        <v>3157</v>
      </c>
      <c r="B40" s="1638" t="s">
        <v>3158</v>
      </c>
      <c r="C40" s="1638" t="s">
        <v>3159</v>
      </c>
      <c r="D40" s="1638">
        <v>6409</v>
      </c>
      <c r="E40" s="1638">
        <v>2563.6</v>
      </c>
      <c r="F40" s="1638" t="s">
        <v>3183</v>
      </c>
      <c r="G40" s="1638" t="s">
        <v>3161</v>
      </c>
      <c r="H40" s="1638" t="s">
        <v>3205</v>
      </c>
      <c r="I40" s="1638" t="s">
        <v>1327</v>
      </c>
      <c r="J40" s="1638">
        <v>505</v>
      </c>
      <c r="K40" s="1638">
        <v>1969.89</v>
      </c>
      <c r="L40" s="1638" t="s">
        <v>1327</v>
      </c>
      <c r="M40" s="1638" t="s">
        <v>3167</v>
      </c>
      <c r="N40" s="1638" t="s">
        <v>3164</v>
      </c>
      <c r="O40" s="1638">
        <f t="shared" si="0"/>
        <v>788</v>
      </c>
    </row>
    <row r="41" spans="1:15">
      <c r="A41" s="1638" t="s">
        <v>3206</v>
      </c>
      <c r="B41" s="1638" t="s">
        <v>3158</v>
      </c>
      <c r="C41" s="1638" t="s">
        <v>3159</v>
      </c>
      <c r="D41" s="1638">
        <v>2635</v>
      </c>
      <c r="E41" s="1638">
        <v>1317.5</v>
      </c>
      <c r="F41" s="1638" t="s">
        <v>3180</v>
      </c>
      <c r="G41" s="1638" t="s">
        <v>3161</v>
      </c>
      <c r="H41" s="1638" t="s">
        <v>3207</v>
      </c>
      <c r="I41" s="1638" t="s">
        <v>1327</v>
      </c>
      <c r="J41" s="1638">
        <v>194</v>
      </c>
      <c r="K41" s="1638">
        <v>1472.49</v>
      </c>
      <c r="L41" s="1638" t="s">
        <v>1327</v>
      </c>
      <c r="M41" s="1638" t="s">
        <v>3167</v>
      </c>
      <c r="N41" s="1638" t="s">
        <v>3164</v>
      </c>
      <c r="O41" s="1638">
        <f t="shared" si="0"/>
        <v>736</v>
      </c>
    </row>
    <row r="42" spans="1:15">
      <c r="A42" s="1638" t="s">
        <v>3157</v>
      </c>
      <c r="B42" s="1638" t="s">
        <v>3158</v>
      </c>
      <c r="C42" s="1638" t="s">
        <v>3159</v>
      </c>
      <c r="D42" s="1638">
        <v>21313</v>
      </c>
      <c r="E42" s="1638">
        <v>31969.5</v>
      </c>
      <c r="F42" s="1638" t="s">
        <v>3169</v>
      </c>
      <c r="G42" s="1638" t="s">
        <v>3161</v>
      </c>
      <c r="H42" s="1638" t="s">
        <v>3207</v>
      </c>
      <c r="I42" s="1638" t="s">
        <v>1327</v>
      </c>
      <c r="J42" s="1638">
        <v>1700</v>
      </c>
      <c r="K42" s="1638">
        <v>531.75</v>
      </c>
      <c r="L42" s="1638" t="s">
        <v>1327</v>
      </c>
      <c r="M42" s="1638" t="s">
        <v>3167</v>
      </c>
      <c r="N42" s="1638" t="s">
        <v>3164</v>
      </c>
      <c r="O42" s="1638">
        <f t="shared" si="0"/>
        <v>798</v>
      </c>
    </row>
    <row r="43" spans="1:15">
      <c r="A43" s="1638" t="s">
        <v>3208</v>
      </c>
      <c r="B43" s="1638" t="s">
        <v>3158</v>
      </c>
      <c r="C43" s="1638" t="s">
        <v>3159</v>
      </c>
      <c r="D43" s="1638">
        <v>20999</v>
      </c>
      <c r="E43" s="1638">
        <v>41998</v>
      </c>
      <c r="F43" s="1638" t="s">
        <v>3185</v>
      </c>
      <c r="G43" s="1638" t="s">
        <v>3161</v>
      </c>
      <c r="H43" s="1638" t="s">
        <v>3209</v>
      </c>
      <c r="I43" s="1638" t="s">
        <v>1327</v>
      </c>
      <c r="J43" s="1638">
        <v>2520</v>
      </c>
      <c r="K43" s="1638">
        <v>600.02</v>
      </c>
      <c r="L43" s="1638" t="s">
        <v>1327</v>
      </c>
      <c r="M43" s="1638" t="s">
        <v>3210</v>
      </c>
      <c r="N43" s="1638" t="s">
        <v>3164</v>
      </c>
      <c r="O43" s="1638">
        <f t="shared" si="0"/>
        <v>1200</v>
      </c>
    </row>
    <row r="44" spans="1:15">
      <c r="A44" s="1638" t="s">
        <v>3208</v>
      </c>
      <c r="B44" s="1638" t="s">
        <v>3158</v>
      </c>
      <c r="C44" s="1638" t="s">
        <v>3159</v>
      </c>
      <c r="D44" s="1638">
        <v>20000</v>
      </c>
      <c r="E44" s="1638">
        <v>40000</v>
      </c>
      <c r="F44" s="1638" t="s">
        <v>3185</v>
      </c>
      <c r="G44" s="1638" t="s">
        <v>3161</v>
      </c>
      <c r="H44" s="1638" t="s">
        <v>3209</v>
      </c>
      <c r="I44" s="1638" t="s">
        <v>1327</v>
      </c>
      <c r="J44" s="1638">
        <v>2400</v>
      </c>
      <c r="K44" s="1638">
        <v>600</v>
      </c>
      <c r="L44" s="1638" t="s">
        <v>1327</v>
      </c>
      <c r="M44" s="1638" t="s">
        <v>3210</v>
      </c>
      <c r="N44" s="1638" t="s">
        <v>3164</v>
      </c>
      <c r="O44" s="1638">
        <f t="shared" si="0"/>
        <v>1200</v>
      </c>
    </row>
    <row r="45" spans="1:15">
      <c r="A45" s="1638" t="s">
        <v>3157</v>
      </c>
      <c r="B45" s="1638" t="s">
        <v>3158</v>
      </c>
      <c r="C45" s="1638" t="s">
        <v>3159</v>
      </c>
      <c r="D45" s="1638">
        <v>7774</v>
      </c>
      <c r="E45" s="1638">
        <v>11661</v>
      </c>
      <c r="F45" s="1638" t="s">
        <v>3169</v>
      </c>
      <c r="G45" s="1638" t="s">
        <v>3161</v>
      </c>
      <c r="H45" s="1638" t="s">
        <v>3211</v>
      </c>
      <c r="I45" s="1638" t="s">
        <v>1327</v>
      </c>
      <c r="J45" s="1638">
        <v>530</v>
      </c>
      <c r="K45" s="1638">
        <v>454.5</v>
      </c>
      <c r="L45" s="1638" t="s">
        <v>1327</v>
      </c>
      <c r="M45" s="1638" t="s">
        <v>3212</v>
      </c>
      <c r="N45" s="1638" t="s">
        <v>3164</v>
      </c>
      <c r="O45" s="1638">
        <f t="shared" si="0"/>
        <v>682</v>
      </c>
    </row>
    <row r="46" spans="1:15">
      <c r="A46" s="1638" t="s">
        <v>3157</v>
      </c>
      <c r="B46" s="1638" t="s">
        <v>3158</v>
      </c>
      <c r="C46" s="1638" t="s">
        <v>3159</v>
      </c>
      <c r="D46" s="1638">
        <v>26248</v>
      </c>
      <c r="E46" s="1638">
        <v>39372</v>
      </c>
      <c r="F46" s="1638" t="s">
        <v>3169</v>
      </c>
      <c r="G46" s="1638" t="s">
        <v>3161</v>
      </c>
      <c r="H46" s="1638" t="s">
        <v>3211</v>
      </c>
      <c r="I46" s="1638" t="s">
        <v>1327</v>
      </c>
      <c r="J46" s="1638">
        <v>1780</v>
      </c>
      <c r="K46" s="1638">
        <v>452.1</v>
      </c>
      <c r="L46" s="1638" t="s">
        <v>1327</v>
      </c>
      <c r="M46" s="1638" t="s">
        <v>3212</v>
      </c>
      <c r="N46" s="1638" t="s">
        <v>3164</v>
      </c>
      <c r="O46" s="1638">
        <f t="shared" si="0"/>
        <v>678</v>
      </c>
    </row>
    <row r="47" spans="1:15">
      <c r="A47" s="1638" t="s">
        <v>3213</v>
      </c>
      <c r="B47" s="1638" t="s">
        <v>3158</v>
      </c>
      <c r="C47" s="1638" t="s">
        <v>3159</v>
      </c>
      <c r="D47" s="1638">
        <v>1708</v>
      </c>
      <c r="E47" s="1638">
        <v>854</v>
      </c>
      <c r="F47" s="1638" t="s">
        <v>3214</v>
      </c>
      <c r="G47" s="1638" t="s">
        <v>3161</v>
      </c>
      <c r="H47" s="1638" t="s">
        <v>3215</v>
      </c>
      <c r="I47" s="1638" t="s">
        <v>1327</v>
      </c>
      <c r="J47" s="1638">
        <v>135</v>
      </c>
      <c r="K47" s="1638">
        <v>1580.79</v>
      </c>
      <c r="L47" s="1638" t="s">
        <v>1327</v>
      </c>
      <c r="M47" s="1638" t="s">
        <v>3216</v>
      </c>
      <c r="N47" s="1638" t="s">
        <v>3164</v>
      </c>
      <c r="O47" s="1638">
        <f t="shared" si="0"/>
        <v>790</v>
      </c>
    </row>
    <row r="48" spans="1:15">
      <c r="A48" s="1638" t="s">
        <v>3213</v>
      </c>
      <c r="B48" s="1638" t="s">
        <v>3158</v>
      </c>
      <c r="C48" s="1638" t="s">
        <v>3159</v>
      </c>
      <c r="D48" s="1638">
        <v>3459</v>
      </c>
      <c r="E48" s="1638">
        <v>6918</v>
      </c>
      <c r="F48" s="1638" t="s">
        <v>3217</v>
      </c>
      <c r="G48" s="1638" t="s">
        <v>3161</v>
      </c>
      <c r="H48" s="1638" t="s">
        <v>3215</v>
      </c>
      <c r="I48" s="1638" t="s">
        <v>1327</v>
      </c>
      <c r="J48" s="1638">
        <v>350</v>
      </c>
      <c r="K48" s="1638">
        <v>505.93</v>
      </c>
      <c r="L48" s="1638" t="s">
        <v>1327</v>
      </c>
      <c r="M48" s="1638" t="s">
        <v>3216</v>
      </c>
      <c r="N48" s="1638" t="s">
        <v>3164</v>
      </c>
      <c r="O48" s="1638">
        <f t="shared" si="0"/>
        <v>1012</v>
      </c>
    </row>
    <row r="49" spans="1:15">
      <c r="A49" s="1638" t="s">
        <v>3213</v>
      </c>
      <c r="B49" s="1638" t="s">
        <v>3158</v>
      </c>
      <c r="C49" s="1638" t="s">
        <v>3159</v>
      </c>
      <c r="D49" s="1638">
        <v>56023</v>
      </c>
      <c r="E49" s="1638">
        <v>112046</v>
      </c>
      <c r="F49" s="1638" t="s">
        <v>3218</v>
      </c>
      <c r="G49" s="1638" t="s">
        <v>3161</v>
      </c>
      <c r="H49" s="1638" t="s">
        <v>3215</v>
      </c>
      <c r="I49" s="1638" t="s">
        <v>1327</v>
      </c>
      <c r="J49" s="1638">
        <v>5620</v>
      </c>
      <c r="K49" s="1638">
        <v>501.57</v>
      </c>
      <c r="L49" s="1638" t="s">
        <v>1327</v>
      </c>
      <c r="M49" s="1638" t="s">
        <v>3216</v>
      </c>
      <c r="N49" s="1638" t="s">
        <v>3164</v>
      </c>
      <c r="O49" s="1638">
        <f t="shared" si="0"/>
        <v>1003</v>
      </c>
    </row>
    <row r="50" spans="1:15">
      <c r="A50" s="1638" t="s">
        <v>3213</v>
      </c>
      <c r="B50" s="1638" t="s">
        <v>3158</v>
      </c>
      <c r="C50" s="1638" t="s">
        <v>3159</v>
      </c>
      <c r="D50" s="1638">
        <v>19625</v>
      </c>
      <c r="E50" s="1638">
        <v>39250</v>
      </c>
      <c r="F50" s="1638" t="s">
        <v>3217</v>
      </c>
      <c r="G50" s="1638" t="s">
        <v>3161</v>
      </c>
      <c r="H50" s="1638" t="s">
        <v>3215</v>
      </c>
      <c r="I50" s="1638" t="s">
        <v>1327</v>
      </c>
      <c r="J50" s="1638">
        <v>1970</v>
      </c>
      <c r="K50" s="1638">
        <v>501.91</v>
      </c>
      <c r="L50" s="1638" t="s">
        <v>1327</v>
      </c>
      <c r="M50" s="1638" t="s">
        <v>3216</v>
      </c>
      <c r="N50" s="1638" t="s">
        <v>3164</v>
      </c>
      <c r="O50" s="1638">
        <f t="shared" si="0"/>
        <v>1004</v>
      </c>
    </row>
    <row r="51" spans="1:15">
      <c r="A51" s="1638" t="s">
        <v>3157</v>
      </c>
      <c r="B51" s="1638" t="s">
        <v>3158</v>
      </c>
      <c r="C51" s="1638" t="s">
        <v>3159</v>
      </c>
      <c r="D51" s="1638">
        <v>3351</v>
      </c>
      <c r="E51" s="1638">
        <v>1675.5</v>
      </c>
      <c r="F51" s="1638" t="s">
        <v>3180</v>
      </c>
      <c r="G51" s="1638" t="s">
        <v>3161</v>
      </c>
      <c r="H51" s="1638" t="s">
        <v>3219</v>
      </c>
      <c r="I51" s="1638" t="s">
        <v>1327</v>
      </c>
      <c r="J51" s="1638">
        <v>212</v>
      </c>
      <c r="K51" s="1638">
        <v>1265.28</v>
      </c>
      <c r="L51" s="1638" t="s">
        <v>1327</v>
      </c>
      <c r="M51" s="1638" t="s">
        <v>3212</v>
      </c>
      <c r="N51" s="1638" t="s">
        <v>3164</v>
      </c>
      <c r="O51" s="1638">
        <f t="shared" si="0"/>
        <v>633</v>
      </c>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18" sqref="G1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8</v>
      </c>
    </row>
    <row r="2" spans="1:33" ht="18" customHeight="1">
      <c r="A2" s="245" t="s">
        <v>2329</v>
      </c>
      <c r="B2" s="248">
        <f ca="1">C32</f>
        <v>363230</v>
      </c>
      <c r="C2" s="320" t="s">
        <v>2462</v>
      </c>
      <c r="D2" s="320"/>
      <c r="E2" s="320"/>
      <c r="F2" s="320"/>
      <c r="G2" s="320"/>
      <c r="H2" s="320"/>
      <c r="I2" s="320"/>
      <c r="J2" s="320"/>
      <c r="K2" s="320"/>
    </row>
    <row r="3" spans="1:33" ht="18" customHeight="1" thickBot="1">
      <c r="A3" s="247" t="s">
        <v>2331</v>
      </c>
      <c r="B3" s="248">
        <f ca="1">ROUND(B2*10000/IF(C1="",'数据-汇总表'!E3,INDIRECT("'数据-取费表'!K"&amp;$K$1)),0)</f>
        <v>10901</v>
      </c>
      <c r="C3" s="320" t="s">
        <v>2463</v>
      </c>
      <c r="D3" s="320"/>
      <c r="E3" s="320"/>
      <c r="F3" s="320"/>
      <c r="G3" s="320"/>
      <c r="H3" s="320"/>
      <c r="I3" s="320"/>
      <c r="J3" s="320"/>
      <c r="K3" s="320"/>
    </row>
    <row r="4" spans="1:33" s="959" customFormat="1" ht="16.5" customHeight="1">
      <c r="A4" s="956" t="s">
        <v>2464</v>
      </c>
      <c r="B4" s="957"/>
      <c r="C4" s="999">
        <f ca="1">SUM(C8:K8)</f>
        <v>611274</v>
      </c>
      <c r="D4" s="957"/>
      <c r="E4" s="957"/>
      <c r="F4" s="957"/>
      <c r="G4" s="957"/>
      <c r="H4" s="957"/>
      <c r="I4" s="957"/>
      <c r="J4" s="957"/>
      <c r="K4" s="958"/>
    </row>
    <row r="5" spans="1:33" s="963" customFormat="1" ht="15">
      <c r="A5" s="960" t="s">
        <v>2465</v>
      </c>
      <c r="B5" s="961" t="s">
        <v>2466</v>
      </c>
      <c r="C5" s="2557" t="s">
        <v>1373</v>
      </c>
      <c r="D5" s="2557" t="s">
        <v>3134</v>
      </c>
      <c r="E5" s="2557"/>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 ca="1">收益法!B3</f>
        <v>26510</v>
      </c>
      <c r="D6" s="965">
        <f>'比较法-住宅'!B3</f>
        <v>33381</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112284.08</v>
      </c>
      <c r="D7" s="321">
        <f>SUMIF('数据-汇总表'!$C19:$C33,假设开发法!D5,'数据-汇总表'!$E19:$E33)</f>
        <v>93950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f ca="1">收益法!B2</f>
        <v>297660</v>
      </c>
      <c r="D8" s="1000">
        <f>'比较法-住宅'!B2</f>
        <v>313614</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83134</v>
      </c>
      <c r="D11" s="976"/>
      <c r="E11" s="375"/>
      <c r="F11" s="977">
        <f ca="1">1-IF('数据-取费表'!B24=0,1,IF(C1="",'数据-取费表'!N16,INDIRECT("'数据-取费表'!n"&amp;$K$1)))</f>
        <v>0.76</v>
      </c>
      <c r="G11" s="8"/>
      <c r="H11" s="971"/>
      <c r="I11" s="971"/>
      <c r="J11" s="971"/>
      <c r="K11" s="972"/>
    </row>
    <row r="12" spans="1:33" s="978" customFormat="1" ht="13.5" customHeight="1">
      <c r="A12" s="974" t="s">
        <v>1331</v>
      </c>
      <c r="B12" s="975" t="s">
        <v>2480</v>
      </c>
      <c r="C12" s="24">
        <f ca="1">ROUND(C11*F12,0)</f>
        <v>4157</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5065</v>
      </c>
      <c r="D14" s="1036">
        <f ca="1">IF(C1="",'数据-汇总表'!E3,INDIRECT("'数据-取费表'!K"&amp;$K$1)+INDIRECT("'数据-取费表'!S"&amp;$K$1))</f>
        <v>333221.08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1247</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93603</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333221.08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0</v>
      </c>
      <c r="D18" s="1036"/>
      <c r="E18" s="24"/>
      <c r="F18" s="979"/>
      <c r="G18" s="2559" t="s">
        <v>3143</v>
      </c>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4332</v>
      </c>
      <c r="D20" s="1036">
        <f ca="1">IF(C1="",'数据-汇总表'!E6,IF(INDIRECT("'数据-取费表'!c"&amp;$K$1)="住宅",INDIRECT("'数据-取费表'!s"&amp;$K$1),INDIRECT("'数据-取费表'!k"&amp;$K$1)+INDIRECT("'数据-取费表'!s"&amp;$K$1)))</f>
        <v>333221.08</v>
      </c>
      <c r="E20" s="24">
        <f>'数据-取费表'!B28</f>
        <v>130</v>
      </c>
      <c r="F20" s="979"/>
      <c r="G20" s="15"/>
      <c r="H20" s="984"/>
      <c r="I20" s="984"/>
      <c r="J20" s="984"/>
      <c r="K20" s="985"/>
    </row>
    <row r="21" spans="1:33" s="978" customFormat="1" ht="13.5" customHeight="1">
      <c r="A21" s="964" t="s">
        <v>802</v>
      </c>
      <c r="B21" s="988" t="s">
        <v>2495</v>
      </c>
      <c r="C21" s="989">
        <f ca="1">C16+C17+C18</f>
        <v>93603</v>
      </c>
      <c r="D21" s="990"/>
      <c r="E21" s="325"/>
      <c r="F21" s="325"/>
      <c r="G21" s="140" t="s">
        <v>2496</v>
      </c>
      <c r="H21" s="982"/>
      <c r="I21" s="982"/>
      <c r="J21" s="982"/>
      <c r="K21" s="983"/>
    </row>
    <row r="22" spans="1:33" s="978" customFormat="1" ht="13.5" customHeight="1">
      <c r="A22" s="964" t="s">
        <v>2468</v>
      </c>
      <c r="B22" s="988" t="s">
        <v>2497</v>
      </c>
      <c r="C22" s="989">
        <f ca="1">ROUND(C21*F22,0)</f>
        <v>2808</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6969</v>
      </c>
      <c r="D23" s="325"/>
      <c r="E23" s="325"/>
      <c r="F23" s="991">
        <f>'数据-取费表'!B38</f>
        <v>1.4999999999999999E-2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3413</v>
      </c>
      <c r="D25" s="324">
        <f ca="1">C26</f>
        <v>6.9099999999999995E-2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6.9099999999999995E-2</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3413</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20676</v>
      </c>
      <c r="D28" s="324">
        <f ca="1">C29</f>
        <v>0.14410000000000001</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0.14410000000000001</v>
      </c>
      <c r="D29" s="328"/>
      <c r="E29" s="329"/>
      <c r="F29" s="334"/>
      <c r="G29" s="140" t="s">
        <v>2511</v>
      </c>
      <c r="H29" s="982"/>
      <c r="I29" s="982"/>
      <c r="J29" s="982"/>
      <c r="K29" s="983"/>
    </row>
    <row r="30" spans="1:33" s="335" customFormat="1" ht="13.5" customHeight="1">
      <c r="A30" s="974" t="s">
        <v>804</v>
      </c>
      <c r="B30" s="997" t="s">
        <v>2512</v>
      </c>
      <c r="C30" s="336">
        <f ca="1">ROUND((C21+C22+C23)*F28,0)</f>
        <v>20676</v>
      </c>
      <c r="D30" s="328"/>
      <c r="E30" s="329"/>
      <c r="F30" s="334"/>
      <c r="G30" s="140"/>
      <c r="H30" s="982"/>
      <c r="I30" s="982"/>
      <c r="J30" s="982"/>
      <c r="K30" s="983"/>
    </row>
    <row r="31" spans="1:33" s="978" customFormat="1" ht="13.5" customHeight="1" thickBot="1">
      <c r="A31" s="2563" t="s">
        <v>2513</v>
      </c>
      <c r="B31" s="1008" t="s">
        <v>2514</v>
      </c>
      <c r="C31" s="1009">
        <f ca="1">ROUND(C4*F31/(1+'数据-取费表'!C42),0)</f>
        <v>32601</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363230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t="s">
        <v>3134</v>
      </c>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313614</v>
      </c>
      <c r="C2" s="2589" t="s">
        <v>70</v>
      </c>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f>IF(C2="——",C49,ROUND(B2*10000/D3,0))</f>
        <v>33381</v>
      </c>
      <c r="C3" s="400" t="s">
        <v>2533</v>
      </c>
      <c r="D3" s="399">
        <f>IF(D1="",'数据-汇总表'!E3,SUMIF('数据-汇总表'!$C19:$C33,D1,'数据-汇总表'!$E19:$E33))</f>
        <v>93950</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2534</v>
      </c>
      <c r="B4" s="402"/>
      <c r="C4" s="3401" t="s">
        <v>2535</v>
      </c>
      <c r="D4" s="3402"/>
      <c r="E4" s="3403" t="s">
        <v>2536</v>
      </c>
      <c r="F4" s="3404"/>
      <c r="G4" s="3401" t="s">
        <v>2537</v>
      </c>
      <c r="H4" s="3402"/>
      <c r="I4" s="3401" t="s">
        <v>2538</v>
      </c>
      <c r="J4" s="3402"/>
      <c r="K4" s="2599" t="s">
        <v>2539</v>
      </c>
      <c r="L4" s="1133"/>
      <c r="M4" s="1134"/>
      <c r="N4" s="1134"/>
      <c r="O4" s="1134"/>
      <c r="P4" s="3405" t="s">
        <v>2540</v>
      </c>
      <c r="Q4" s="3406"/>
      <c r="R4" s="3388" t="s">
        <v>2536</v>
      </c>
      <c r="S4" s="3389"/>
      <c r="T4" s="3388" t="s">
        <v>2537</v>
      </c>
      <c r="U4" s="3389"/>
      <c r="V4" s="3413" t="s">
        <v>2538</v>
      </c>
      <c r="W4" s="3413"/>
      <c r="X4" s="1816"/>
      <c r="Y4" s="3388" t="s">
        <v>2540</v>
      </c>
      <c r="Z4" s="3389"/>
      <c r="AA4" s="3383" t="s">
        <v>2536</v>
      </c>
      <c r="AB4" s="3383" t="s">
        <v>2537</v>
      </c>
      <c r="AC4" s="3383" t="s">
        <v>2538</v>
      </c>
    </row>
    <row r="5" spans="1:29" ht="15">
      <c r="A5" s="404"/>
      <c r="B5" s="405"/>
      <c r="C5" s="3394" t="s">
        <v>2541</v>
      </c>
      <c r="D5" s="3395"/>
      <c r="E5" s="3426" t="s">
        <v>3252</v>
      </c>
      <c r="F5" s="3393"/>
      <c r="G5" s="3427" t="s">
        <v>3253</v>
      </c>
      <c r="H5" s="3395"/>
      <c r="I5" s="3427" t="s">
        <v>3254</v>
      </c>
      <c r="J5" s="3395"/>
      <c r="K5" s="2600"/>
      <c r="L5" s="1133"/>
      <c r="M5" s="1134"/>
      <c r="N5" s="1134"/>
      <c r="O5" s="1134"/>
      <c r="P5" s="3407"/>
      <c r="Q5" s="3408"/>
      <c r="R5" s="3390"/>
      <c r="S5" s="3391"/>
      <c r="T5" s="3390"/>
      <c r="U5" s="3391"/>
      <c r="V5" s="3413"/>
      <c r="W5" s="3413"/>
      <c r="X5" s="1816"/>
      <c r="Y5" s="3390"/>
      <c r="Z5" s="3391"/>
      <c r="AA5" s="3384"/>
      <c r="AB5" s="3384"/>
      <c r="AC5" s="3384"/>
    </row>
    <row r="6" spans="1:29" ht="15.75" thickBot="1">
      <c r="A6" s="406"/>
      <c r="B6" s="407"/>
      <c r="C6" s="3396" t="s">
        <v>2545</v>
      </c>
      <c r="D6" s="3397"/>
      <c r="E6" s="3398" t="s">
        <v>2545</v>
      </c>
      <c r="F6" s="3399"/>
      <c r="G6" s="3396" t="s">
        <v>2545</v>
      </c>
      <c r="H6" s="3397"/>
      <c r="I6" s="3396" t="s">
        <v>2545</v>
      </c>
      <c r="J6" s="3397"/>
      <c r="K6" s="2600" t="s">
        <v>2546</v>
      </c>
      <c r="L6" s="1133"/>
      <c r="M6" s="1134"/>
      <c r="N6" s="1134"/>
      <c r="O6" s="1134"/>
      <c r="P6" s="3409"/>
      <c r="Q6" s="3410"/>
      <c r="R6" s="3390"/>
      <c r="S6" s="3391"/>
      <c r="T6" s="3411"/>
      <c r="U6" s="3412"/>
      <c r="V6" s="3413"/>
      <c r="W6" s="3413"/>
      <c r="X6" s="1816"/>
      <c r="Y6" s="3411"/>
      <c r="Z6" s="3412"/>
      <c r="AA6" s="3385"/>
      <c r="AB6" s="3385"/>
      <c r="AC6" s="3385"/>
    </row>
    <row r="7" spans="1:29" s="117" customFormat="1" ht="15.75" thickBot="1">
      <c r="A7" s="408" t="s">
        <v>2547</v>
      </c>
      <c r="B7" s="409"/>
      <c r="C7" s="410">
        <f>'数据-取费表'!B2</f>
        <v>43516</v>
      </c>
      <c r="D7" s="411">
        <v>100</v>
      </c>
      <c r="E7" s="412">
        <f>C7</f>
        <v>43516</v>
      </c>
      <c r="F7" s="413">
        <f>SUMIF(58:58,YEAR(E7)&amp;"-"&amp;MONTH(E7),59:59)</f>
        <v>100</v>
      </c>
      <c r="G7" s="412">
        <f>C7</f>
        <v>43516</v>
      </c>
      <c r="H7" s="411">
        <f>SUMIF(58:58,YEAR(G7)&amp;"-"&amp;MONTH(G7),59:59)</f>
        <v>100</v>
      </c>
      <c r="I7" s="412">
        <f>C7</f>
        <v>43516</v>
      </c>
      <c r="J7" s="411">
        <f>SUMIF(58:58,YEAR(I7)&amp;"-"&amp;MONTH(I7),59:59)</f>
        <v>100</v>
      </c>
      <c r="K7" s="2601"/>
      <c r="L7" s="1135"/>
      <c r="M7" s="1136"/>
      <c r="N7" s="1136"/>
      <c r="O7" s="1136"/>
      <c r="P7" s="3386" t="s">
        <v>2548</v>
      </c>
      <c r="Q7" s="3414"/>
      <c r="R7" s="770" t="s">
        <v>23</v>
      </c>
      <c r="S7" s="771">
        <f t="shared" ref="S7:S15" si="0">F7</f>
        <v>100</v>
      </c>
      <c r="T7" s="770" t="s">
        <v>23</v>
      </c>
      <c r="U7" s="771">
        <f t="shared" ref="U7:U15" si="1">H7</f>
        <v>100</v>
      </c>
      <c r="V7" s="770" t="s">
        <v>23</v>
      </c>
      <c r="W7" s="771">
        <f t="shared" ref="W7:W15" si="2">J7</f>
        <v>100</v>
      </c>
      <c r="X7" s="772"/>
      <c r="Y7" s="3386" t="s">
        <v>2548</v>
      </c>
      <c r="Z7" s="3387"/>
      <c r="AA7" s="773">
        <f>D7/F7</f>
        <v>1</v>
      </c>
      <c r="AB7" s="773">
        <f>D7/H7</f>
        <v>1</v>
      </c>
      <c r="AC7" s="773">
        <f>D7/J7</f>
        <v>1</v>
      </c>
    </row>
    <row r="8" spans="1:29" s="117" customFormat="1" ht="15.75" thickBot="1">
      <c r="A8" s="408" t="s">
        <v>2549</v>
      </c>
      <c r="B8" s="409"/>
      <c r="C8" s="414" t="s">
        <v>2550</v>
      </c>
      <c r="D8" s="411">
        <v>100</v>
      </c>
      <c r="E8" s="414" t="s">
        <v>2550</v>
      </c>
      <c r="F8" s="413">
        <f>SUMIF(61:61,E8,62:62)-SUMIF(61:61,C8,62:62)+100</f>
        <v>100</v>
      </c>
      <c r="G8" s="414" t="s">
        <v>2550</v>
      </c>
      <c r="H8" s="411">
        <f>SUMIF(61:61,G8,62:62)-SUMIF(61:61,C8,62:62)+100</f>
        <v>100</v>
      </c>
      <c r="I8" s="414" t="s">
        <v>2550</v>
      </c>
      <c r="J8" s="411">
        <f>SUMIF(61:61,I8,62:62)-SUMIF(61:61,C8,62:62)+100</f>
        <v>100</v>
      </c>
      <c r="K8" s="2601"/>
      <c r="L8" s="1135"/>
      <c r="M8" s="1136"/>
      <c r="N8" s="1136"/>
      <c r="O8" s="1136"/>
      <c r="P8" s="3386" t="s">
        <v>2551</v>
      </c>
      <c r="Q8" s="3387"/>
      <c r="R8" s="770" t="s">
        <v>23</v>
      </c>
      <c r="S8" s="771">
        <f t="shared" si="0"/>
        <v>100</v>
      </c>
      <c r="T8" s="770" t="s">
        <v>23</v>
      </c>
      <c r="U8" s="771">
        <f t="shared" si="1"/>
        <v>100</v>
      </c>
      <c r="V8" s="770" t="s">
        <v>23</v>
      </c>
      <c r="W8" s="771">
        <f t="shared" si="2"/>
        <v>100</v>
      </c>
      <c r="X8" s="772"/>
      <c r="Y8" s="3386" t="s">
        <v>2551</v>
      </c>
      <c r="Z8" s="3387"/>
      <c r="AA8" s="773">
        <f t="shared" ref="AA8:AA19" si="3">D8/F8</f>
        <v>1</v>
      </c>
      <c r="AB8" s="773">
        <f t="shared" ref="AB8:AB19" si="4">D8/H8</f>
        <v>1</v>
      </c>
      <c r="AC8" s="773">
        <f t="shared" ref="AC8:AC19" si="5">D8/J8</f>
        <v>1</v>
      </c>
    </row>
    <row r="9" spans="1:29" s="117" customFormat="1">
      <c r="A9" s="415" t="s">
        <v>2552</v>
      </c>
      <c r="B9" s="71" t="s">
        <v>2553</v>
      </c>
      <c r="C9" s="3130" t="s">
        <v>3255</v>
      </c>
      <c r="D9" s="135">
        <v>100</v>
      </c>
      <c r="E9" s="417" t="s">
        <v>3134</v>
      </c>
      <c r="F9" s="418">
        <f>SUMIF(63:63,E9,64:64)-SUMIF(63:63,C9,64:64)+100</f>
        <v>100</v>
      </c>
      <c r="G9" s="417" t="s">
        <v>3134</v>
      </c>
      <c r="H9" s="135">
        <f>SUMIF(63:63,G9,64:64)-SUMIF(63:63,C9,64:64)+100</f>
        <v>100</v>
      </c>
      <c r="I9" s="417" t="s">
        <v>3134</v>
      </c>
      <c r="J9" s="135">
        <f>SUMIF(63:63,I9,64:64)-SUMIF(63:63,C9,64:64)+100</f>
        <v>100</v>
      </c>
      <c r="K9" s="2601"/>
      <c r="L9" s="1135"/>
      <c r="M9" s="1136"/>
      <c r="N9" s="1136"/>
      <c r="O9" s="1136"/>
      <c r="P9" s="3424" t="s">
        <v>2554</v>
      </c>
      <c r="Q9" s="1798" t="str">
        <f t="shared" ref="Q9:Q15" si="6">B9</f>
        <v>用途</v>
      </c>
      <c r="R9" s="770" t="s">
        <v>17</v>
      </c>
      <c r="S9" s="771">
        <f t="shared" si="0"/>
        <v>100</v>
      </c>
      <c r="T9" s="770" t="s">
        <v>17</v>
      </c>
      <c r="U9" s="771">
        <f t="shared" si="1"/>
        <v>100</v>
      </c>
      <c r="V9" s="770" t="s">
        <v>17</v>
      </c>
      <c r="W9" s="771">
        <f t="shared" si="2"/>
        <v>100</v>
      </c>
      <c r="X9" s="772"/>
      <c r="Y9" s="3199" t="s">
        <v>2555</v>
      </c>
      <c r="Z9" s="55" t="str">
        <f t="shared" ref="Z9:Z15" si="7">Q9</f>
        <v>用途</v>
      </c>
      <c r="AA9" s="773">
        <f t="shared" si="3"/>
        <v>1</v>
      </c>
      <c r="AB9" s="773">
        <f t="shared" si="4"/>
        <v>1</v>
      </c>
      <c r="AC9" s="773">
        <f t="shared" si="5"/>
        <v>1</v>
      </c>
    </row>
    <row r="10" spans="1:29" s="427" customFormat="1" ht="27.75" thickBot="1">
      <c r="A10" s="421"/>
      <c r="B10" s="422" t="s">
        <v>2556</v>
      </c>
      <c r="C10" s="423" t="s">
        <v>3256</v>
      </c>
      <c r="D10" s="136">
        <v>100</v>
      </c>
      <c r="E10" s="423" t="s">
        <v>3256</v>
      </c>
      <c r="F10" s="425">
        <f>SUMIF(65:65,E10,66:66)-SUMIF(65:65,C10,66:66)+100</f>
        <v>100</v>
      </c>
      <c r="G10" s="423" t="s">
        <v>3256</v>
      </c>
      <c r="H10" s="136">
        <f>SUMIF(65:65,G10,66:66)-SUMIF(65:65,C10,66:66)+100</f>
        <v>100</v>
      </c>
      <c r="I10" s="423" t="s">
        <v>3256</v>
      </c>
      <c r="J10" s="136">
        <f>SUMIF(65:65,I10,66:66)-SUMIF(65:65,C10,66:66)+100</f>
        <v>100</v>
      </c>
      <c r="K10" s="426">
        <v>2</v>
      </c>
      <c r="L10" s="1138"/>
      <c r="M10" s="1139"/>
      <c r="N10" s="1139"/>
      <c r="O10" s="1139"/>
      <c r="P10" s="3424"/>
      <c r="Q10" s="1798" t="str">
        <f t="shared" si="6"/>
        <v>土地使用年限（年）</v>
      </c>
      <c r="R10" s="770" t="s">
        <v>17</v>
      </c>
      <c r="S10" s="771">
        <f t="shared" si="0"/>
        <v>100</v>
      </c>
      <c r="T10" s="770" t="s">
        <v>17</v>
      </c>
      <c r="U10" s="771">
        <f t="shared" si="1"/>
        <v>100</v>
      </c>
      <c r="V10" s="770" t="s">
        <v>17</v>
      </c>
      <c r="W10" s="771">
        <f t="shared" si="2"/>
        <v>100</v>
      </c>
      <c r="X10" s="772"/>
      <c r="Y10" s="3199"/>
      <c r="Z10" s="55" t="str">
        <f t="shared" si="7"/>
        <v>土地使用年限（年）</v>
      </c>
      <c r="AA10" s="773">
        <f t="shared" si="3"/>
        <v>1</v>
      </c>
      <c r="AB10" s="773">
        <f t="shared" si="4"/>
        <v>1</v>
      </c>
      <c r="AC10" s="773">
        <f t="shared" si="5"/>
        <v>1</v>
      </c>
    </row>
    <row r="11" spans="1:29" ht="15" hidden="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424"/>
      <c r="Q11" s="1798" t="str">
        <f t="shared" si="6"/>
        <v>容积率</v>
      </c>
      <c r="R11" s="770" t="s">
        <v>21</v>
      </c>
      <c r="S11" s="771">
        <f t="shared" si="0"/>
        <v>100</v>
      </c>
      <c r="T11" s="770" t="s">
        <v>21</v>
      </c>
      <c r="U11" s="771">
        <f t="shared" si="1"/>
        <v>100</v>
      </c>
      <c r="V11" s="770" t="s">
        <v>21</v>
      </c>
      <c r="W11" s="771">
        <f t="shared" si="2"/>
        <v>100</v>
      </c>
      <c r="X11" s="772"/>
      <c r="Y11" s="3199"/>
      <c r="Z11" s="55" t="str">
        <f t="shared" si="7"/>
        <v>容积率</v>
      </c>
      <c r="AA11" s="773">
        <f t="shared" si="3"/>
        <v>1</v>
      </c>
      <c r="AB11" s="773">
        <f t="shared" si="4"/>
        <v>1</v>
      </c>
      <c r="AC11" s="773">
        <f t="shared" si="5"/>
        <v>1</v>
      </c>
    </row>
    <row r="12" spans="1:29" s="117" customFormat="1" ht="15" hidden="1">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424"/>
      <c r="Q12" s="1798">
        <f t="shared" si="6"/>
        <v>111</v>
      </c>
      <c r="R12" s="770" t="s">
        <v>21</v>
      </c>
      <c r="S12" s="771">
        <f t="shared" si="0"/>
        <v>100</v>
      </c>
      <c r="T12" s="770" t="s">
        <v>21</v>
      </c>
      <c r="U12" s="771">
        <f t="shared" si="1"/>
        <v>100</v>
      </c>
      <c r="V12" s="770" t="s">
        <v>21</v>
      </c>
      <c r="W12" s="771">
        <f t="shared" si="2"/>
        <v>100</v>
      </c>
      <c r="X12" s="772"/>
      <c r="Y12" s="3199"/>
      <c r="Z12" s="55">
        <f t="shared" si="7"/>
        <v>111</v>
      </c>
      <c r="AA12" s="773">
        <f>D12/F12</f>
        <v>1</v>
      </c>
      <c r="AB12" s="773">
        <f>D12/H12</f>
        <v>1</v>
      </c>
      <c r="AC12" s="773">
        <f>D12/J12</f>
        <v>1</v>
      </c>
    </row>
    <row r="13" spans="1:29" ht="15" hidden="1">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424"/>
      <c r="Q13" s="1798">
        <f t="shared" si="6"/>
        <v>111</v>
      </c>
      <c r="R13" s="770" t="s">
        <v>21</v>
      </c>
      <c r="S13" s="771">
        <f t="shared" si="0"/>
        <v>100</v>
      </c>
      <c r="T13" s="770" t="s">
        <v>21</v>
      </c>
      <c r="U13" s="771">
        <f t="shared" si="1"/>
        <v>100</v>
      </c>
      <c r="V13" s="770" t="s">
        <v>21</v>
      </c>
      <c r="W13" s="771">
        <f t="shared" si="2"/>
        <v>100</v>
      </c>
      <c r="X13" s="772"/>
      <c r="Y13" s="3199"/>
      <c r="Z13" s="55">
        <f t="shared" si="7"/>
        <v>111</v>
      </c>
      <c r="AA13" s="773">
        <f t="shared" si="3"/>
        <v>1</v>
      </c>
      <c r="AB13" s="773">
        <f t="shared" si="4"/>
        <v>1</v>
      </c>
      <c r="AC13" s="773">
        <f t="shared" si="5"/>
        <v>1</v>
      </c>
    </row>
    <row r="14" spans="1:29" ht="15.75" hidden="1"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424"/>
      <c r="Q14" s="1798">
        <f t="shared" si="6"/>
        <v>111</v>
      </c>
      <c r="R14" s="770" t="s">
        <v>21</v>
      </c>
      <c r="S14" s="771">
        <f t="shared" si="0"/>
        <v>100</v>
      </c>
      <c r="T14" s="770" t="s">
        <v>21</v>
      </c>
      <c r="U14" s="771">
        <f t="shared" si="1"/>
        <v>100</v>
      </c>
      <c r="V14" s="770" t="s">
        <v>21</v>
      </c>
      <c r="W14" s="771">
        <f t="shared" si="2"/>
        <v>100</v>
      </c>
      <c r="X14" s="772"/>
      <c r="Y14" s="3199"/>
      <c r="Z14" s="55">
        <f t="shared" si="7"/>
        <v>111</v>
      </c>
      <c r="AA14" s="773">
        <f t="shared" si="3"/>
        <v>1</v>
      </c>
      <c r="AB14" s="773">
        <f t="shared" si="4"/>
        <v>1</v>
      </c>
      <c r="AC14" s="773">
        <f t="shared" si="5"/>
        <v>1</v>
      </c>
    </row>
    <row r="15" spans="1:29" ht="99.75">
      <c r="A15" s="440" t="s">
        <v>2558</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3</v>
      </c>
      <c r="L15" s="1143"/>
      <c r="M15" s="1134"/>
      <c r="N15" s="1134"/>
      <c r="O15" s="1134"/>
      <c r="P15" s="3434" t="s">
        <v>2559</v>
      </c>
      <c r="Q15" s="1813" t="str">
        <f t="shared" si="6"/>
        <v>居住社区成熟度</v>
      </c>
      <c r="R15" s="774" t="s">
        <v>21</v>
      </c>
      <c r="S15" s="775">
        <f t="shared" si="0"/>
        <v>100</v>
      </c>
      <c r="T15" s="774" t="s">
        <v>21</v>
      </c>
      <c r="U15" s="775">
        <f t="shared" si="1"/>
        <v>100</v>
      </c>
      <c r="V15" s="774" t="s">
        <v>21</v>
      </c>
      <c r="W15" s="775">
        <f t="shared" si="2"/>
        <v>100</v>
      </c>
      <c r="X15" s="1816"/>
      <c r="Y15" s="3415" t="s">
        <v>2559</v>
      </c>
      <c r="Z15" s="1817" t="str">
        <f t="shared" si="7"/>
        <v>居住社区成熟度</v>
      </c>
      <c r="AA15" s="1814">
        <f t="shared" si="3"/>
        <v>1</v>
      </c>
      <c r="AB15" s="1814">
        <f t="shared" si="4"/>
        <v>1</v>
      </c>
      <c r="AC15" s="1814">
        <f t="shared" si="5"/>
        <v>1</v>
      </c>
    </row>
    <row r="16" spans="1:29" ht="15">
      <c r="A16" s="428"/>
      <c r="B16" s="446"/>
      <c r="C16" s="447" t="s">
        <v>3232</v>
      </c>
      <c r="D16" s="448"/>
      <c r="E16" s="447" t="s">
        <v>3232</v>
      </c>
      <c r="F16" s="448"/>
      <c r="G16" s="447" t="s">
        <v>3232</v>
      </c>
      <c r="H16" s="450"/>
      <c r="I16" s="447" t="s">
        <v>3232</v>
      </c>
      <c r="J16" s="448"/>
      <c r="K16" s="2608"/>
      <c r="L16" s="1143"/>
      <c r="M16" s="1134"/>
      <c r="N16" s="1134"/>
      <c r="O16" s="1134"/>
      <c r="P16" s="3435"/>
      <c r="Q16" s="1813"/>
      <c r="R16" s="774"/>
      <c r="S16" s="775"/>
      <c r="T16" s="774"/>
      <c r="U16" s="775"/>
      <c r="V16" s="774"/>
      <c r="W16" s="775"/>
      <c r="X16" s="1816"/>
      <c r="Y16" s="3416"/>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90</v>
      </c>
      <c r="G17" s="452"/>
      <c r="H17" s="455">
        <f>SUMIF(78:78,G18,79:79)-SUMIF(78:78,C18,79:79)+100</f>
        <v>90</v>
      </c>
      <c r="I17" s="452"/>
      <c r="J17" s="455">
        <f>SUMIF(78:78,I18,79:79)-SUMIF(78:78,C18,79:79)+100</f>
        <v>90</v>
      </c>
      <c r="K17" s="445">
        <v>10</v>
      </c>
      <c r="L17" s="1143"/>
      <c r="M17" s="1134"/>
      <c r="N17" s="1134"/>
      <c r="O17" s="1134"/>
      <c r="P17" s="3435"/>
      <c r="Q17" s="1813" t="str">
        <f>B17</f>
        <v>交通便捷度</v>
      </c>
      <c r="R17" s="774" t="s">
        <v>21</v>
      </c>
      <c r="S17" s="775">
        <f>F17</f>
        <v>90</v>
      </c>
      <c r="T17" s="774" t="s">
        <v>21</v>
      </c>
      <c r="U17" s="775">
        <f>H17</f>
        <v>90</v>
      </c>
      <c r="V17" s="774" t="s">
        <v>21</v>
      </c>
      <c r="W17" s="775">
        <f>J17</f>
        <v>90</v>
      </c>
      <c r="X17" s="1816"/>
      <c r="Y17" s="3416"/>
      <c r="Z17" s="1817" t="str">
        <f>Q17</f>
        <v>交通便捷度</v>
      </c>
      <c r="AA17" s="1814">
        <f t="shared" si="3"/>
        <v>1.1111111111111112</v>
      </c>
      <c r="AB17" s="1814">
        <f t="shared" si="4"/>
        <v>1.1111111111111112</v>
      </c>
      <c r="AC17" s="1814">
        <f t="shared" si="5"/>
        <v>1.1111111111111112</v>
      </c>
    </row>
    <row r="18" spans="1:29" ht="15">
      <c r="A18" s="428"/>
      <c r="B18" s="456"/>
      <c r="C18" s="2610" t="s">
        <v>3234</v>
      </c>
      <c r="D18" s="450"/>
      <c r="E18" s="2611" t="s">
        <v>3232</v>
      </c>
      <c r="F18" s="450"/>
      <c r="G18" s="2611" t="s">
        <v>3232</v>
      </c>
      <c r="H18" s="448"/>
      <c r="I18" s="2611" t="s">
        <v>3232</v>
      </c>
      <c r="J18" s="448"/>
      <c r="K18" s="2608"/>
      <c r="L18" s="1143"/>
      <c r="M18" s="1134"/>
      <c r="N18" s="1134"/>
      <c r="O18" s="1134"/>
      <c r="P18" s="3435"/>
      <c r="Q18" s="1813"/>
      <c r="R18" s="774"/>
      <c r="S18" s="775"/>
      <c r="T18" s="774"/>
      <c r="U18" s="775"/>
      <c r="V18" s="774"/>
      <c r="W18" s="775"/>
      <c r="X18" s="1816"/>
      <c r="Y18" s="3416"/>
      <c r="Z18" s="1817"/>
      <c r="AA18" s="1814">
        <v>1</v>
      </c>
      <c r="AB18" s="1814">
        <v>1</v>
      </c>
      <c r="AC18" s="1814">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3</v>
      </c>
      <c r="L19" s="1143"/>
      <c r="M19" s="1134"/>
      <c r="N19" s="1134"/>
      <c r="O19" s="1134"/>
      <c r="P19" s="3435"/>
      <c r="Q19" s="1813" t="str">
        <f>B19</f>
        <v>公共配套设施</v>
      </c>
      <c r="R19" s="774" t="s">
        <v>21</v>
      </c>
      <c r="S19" s="775">
        <f>F19</f>
        <v>100</v>
      </c>
      <c r="T19" s="774" t="s">
        <v>21</v>
      </c>
      <c r="U19" s="775">
        <f>H19</f>
        <v>100</v>
      </c>
      <c r="V19" s="774" t="s">
        <v>21</v>
      </c>
      <c r="W19" s="775">
        <f>J19</f>
        <v>100</v>
      </c>
      <c r="X19" s="1816"/>
      <c r="Y19" s="3416"/>
      <c r="Z19" s="1817" t="str">
        <f>Q19</f>
        <v>公共配套设施</v>
      </c>
      <c r="AA19" s="1814">
        <f t="shared" si="3"/>
        <v>1</v>
      </c>
      <c r="AB19" s="1814">
        <f t="shared" si="4"/>
        <v>1</v>
      </c>
      <c r="AC19" s="1814">
        <f t="shared" si="5"/>
        <v>1</v>
      </c>
    </row>
    <row r="20" spans="1:29" ht="15">
      <c r="A20" s="428"/>
      <c r="B20" s="456"/>
      <c r="C20" s="447" t="s">
        <v>3232</v>
      </c>
      <c r="D20" s="448"/>
      <c r="E20" s="447" t="s">
        <v>3232</v>
      </c>
      <c r="F20" s="448"/>
      <c r="G20" s="447" t="s">
        <v>3232</v>
      </c>
      <c r="H20" s="448"/>
      <c r="I20" s="447" t="s">
        <v>3232</v>
      </c>
      <c r="J20" s="448"/>
      <c r="K20" s="2608"/>
      <c r="L20" s="1143"/>
      <c r="M20" s="1134"/>
      <c r="N20" s="1134"/>
      <c r="O20" s="1134"/>
      <c r="P20" s="3435"/>
      <c r="Q20" s="1813"/>
      <c r="R20" s="774"/>
      <c r="S20" s="775"/>
      <c r="T20" s="774"/>
      <c r="U20" s="775"/>
      <c r="V20" s="774"/>
      <c r="W20" s="775"/>
      <c r="X20" s="1816"/>
      <c r="Y20" s="3416"/>
      <c r="Z20" s="1817"/>
      <c r="AA20" s="1814">
        <v>1</v>
      </c>
      <c r="AB20" s="1814">
        <v>1</v>
      </c>
      <c r="AC20" s="1814">
        <v>1</v>
      </c>
    </row>
    <row r="21" spans="1:29" ht="28.5">
      <c r="A21" s="428"/>
      <c r="B21" s="1387"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435"/>
      <c r="Q21" s="1813" t="str">
        <f>B21</f>
        <v>基础设施水平</v>
      </c>
      <c r="R21" s="774" t="s">
        <v>17</v>
      </c>
      <c r="S21" s="775">
        <f>F21</f>
        <v>100</v>
      </c>
      <c r="T21" s="774" t="s">
        <v>17</v>
      </c>
      <c r="U21" s="775">
        <f>H21</f>
        <v>100</v>
      </c>
      <c r="V21" s="774" t="s">
        <v>17</v>
      </c>
      <c r="W21" s="775">
        <f>J21</f>
        <v>100</v>
      </c>
      <c r="X21" s="1816"/>
      <c r="Y21" s="3416"/>
      <c r="Z21" s="1817" t="str">
        <f>Q21</f>
        <v>基础设施水平</v>
      </c>
      <c r="AA21" s="1814">
        <f t="shared" ref="AA21" si="8">D21/F21</f>
        <v>1</v>
      </c>
      <c r="AB21" s="1814">
        <f t="shared" ref="AB21" si="9">D21/H21</f>
        <v>1</v>
      </c>
      <c r="AC21" s="1814">
        <f t="shared" ref="AC21" si="10">D21/J21</f>
        <v>1</v>
      </c>
    </row>
    <row r="22" spans="1:29" ht="15">
      <c r="A22" s="428"/>
      <c r="B22" s="1387"/>
      <c r="C22" s="2610" t="s">
        <v>3235</v>
      </c>
      <c r="D22" s="448"/>
      <c r="E22" s="2610" t="s">
        <v>3235</v>
      </c>
      <c r="F22" s="448"/>
      <c r="G22" s="2610" t="s">
        <v>3235</v>
      </c>
      <c r="H22" s="448"/>
      <c r="I22" s="2610" t="s">
        <v>3235</v>
      </c>
      <c r="J22" s="448"/>
      <c r="K22" s="2614"/>
      <c r="L22" s="1143"/>
      <c r="M22" s="1134"/>
      <c r="N22" s="1134"/>
      <c r="O22" s="1134"/>
      <c r="P22" s="3435"/>
      <c r="Q22" s="1813"/>
      <c r="R22" s="774"/>
      <c r="S22" s="775"/>
      <c r="T22" s="774"/>
      <c r="U22" s="775"/>
      <c r="V22" s="774"/>
      <c r="W22" s="775"/>
      <c r="X22" s="1816"/>
      <c r="Y22" s="3416"/>
      <c r="Z22" s="1817"/>
      <c r="AA22" s="1814">
        <v>1</v>
      </c>
      <c r="AB22" s="1814">
        <v>1</v>
      </c>
      <c r="AC22" s="1814">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435"/>
      <c r="Q23" s="1813" t="str">
        <f>B23</f>
        <v>自然及人文环境</v>
      </c>
      <c r="R23" s="774" t="s">
        <v>21</v>
      </c>
      <c r="S23" s="775">
        <f>F23</f>
        <v>100</v>
      </c>
      <c r="T23" s="774" t="s">
        <v>21</v>
      </c>
      <c r="U23" s="775">
        <f>H23</f>
        <v>100</v>
      </c>
      <c r="V23" s="774" t="s">
        <v>21</v>
      </c>
      <c r="W23" s="775">
        <f>J23</f>
        <v>100</v>
      </c>
      <c r="X23" s="1816"/>
      <c r="Y23" s="3416"/>
      <c r="Z23" s="1817" t="str">
        <f>Q23</f>
        <v>自然及人文环境</v>
      </c>
      <c r="AA23" s="1814">
        <f>D23/F23</f>
        <v>1</v>
      </c>
      <c r="AB23" s="1814">
        <f>D23/H23</f>
        <v>1</v>
      </c>
      <c r="AC23" s="1814">
        <f>D23/J23</f>
        <v>1</v>
      </c>
    </row>
    <row r="24" spans="1:29" ht="15.75" thickBot="1">
      <c r="A24" s="428"/>
      <c r="B24" s="456"/>
      <c r="C24" s="447" t="s">
        <v>3232</v>
      </c>
      <c r="D24" s="448"/>
      <c r="E24" s="447" t="s">
        <v>3232</v>
      </c>
      <c r="F24" s="448"/>
      <c r="G24" s="447" t="s">
        <v>3232</v>
      </c>
      <c r="H24" s="448"/>
      <c r="I24" s="447" t="s">
        <v>3232</v>
      </c>
      <c r="J24" s="448"/>
      <c r="K24" s="2608"/>
      <c r="L24" s="1143"/>
      <c r="M24" s="1134"/>
      <c r="N24" s="1134"/>
      <c r="O24" s="1134"/>
      <c r="P24" s="3435"/>
      <c r="Q24" s="1813"/>
      <c r="R24" s="774"/>
      <c r="S24" s="775"/>
      <c r="T24" s="774"/>
      <c r="U24" s="775"/>
      <c r="V24" s="774"/>
      <c r="W24" s="775"/>
      <c r="X24" s="1816"/>
      <c r="Y24" s="3416"/>
      <c r="Z24" s="1817"/>
      <c r="AA24" s="1814">
        <v>1</v>
      </c>
      <c r="AB24" s="1814">
        <v>1</v>
      </c>
      <c r="AC24" s="1814">
        <v>1</v>
      </c>
    </row>
    <row r="25" spans="1:29" ht="15" hidden="1">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43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416"/>
      <c r="Z25" s="1817" t="str">
        <f>Q25</f>
        <v>楼层-1</v>
      </c>
      <c r="AA25" s="1814">
        <f t="shared" ref="AA25:AA46" si="15">D25/F25</f>
        <v>1</v>
      </c>
      <c r="AB25" s="1814">
        <f t="shared" ref="AB25:AB46" si="16">D25/H25</f>
        <v>1</v>
      </c>
      <c r="AC25" s="1814">
        <f t="shared" ref="AC25:AC46" si="17">D25/J25</f>
        <v>1</v>
      </c>
    </row>
    <row r="26" spans="1:29" ht="15" hidden="1">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435"/>
      <c r="Q26" s="1813" t="str">
        <f t="shared" si="11"/>
        <v>朝向</v>
      </c>
      <c r="R26" s="774" t="s">
        <v>21</v>
      </c>
      <c r="S26" s="775">
        <f t="shared" si="12"/>
        <v>100</v>
      </c>
      <c r="T26" s="774" t="s">
        <v>21</v>
      </c>
      <c r="U26" s="775">
        <f t="shared" si="13"/>
        <v>100</v>
      </c>
      <c r="V26" s="774" t="s">
        <v>21</v>
      </c>
      <c r="W26" s="775">
        <f t="shared" si="14"/>
        <v>100</v>
      </c>
      <c r="X26" s="1816"/>
      <c r="Y26" s="3416"/>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435"/>
      <c r="Q27" s="1798">
        <f t="shared" si="11"/>
        <v>111</v>
      </c>
      <c r="R27" s="770" t="s">
        <v>21</v>
      </c>
      <c r="S27" s="771">
        <f t="shared" si="12"/>
        <v>100</v>
      </c>
      <c r="T27" s="770" t="s">
        <v>21</v>
      </c>
      <c r="U27" s="771">
        <f t="shared" si="13"/>
        <v>100</v>
      </c>
      <c r="V27" s="770" t="s">
        <v>21</v>
      </c>
      <c r="W27" s="771">
        <f t="shared" si="14"/>
        <v>100</v>
      </c>
      <c r="X27" s="772"/>
      <c r="Y27" s="3416"/>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435"/>
      <c r="Q28" s="1813">
        <f t="shared" si="11"/>
        <v>111</v>
      </c>
      <c r="R28" s="774" t="s">
        <v>21</v>
      </c>
      <c r="S28" s="775">
        <f t="shared" si="12"/>
        <v>100</v>
      </c>
      <c r="T28" s="774" t="s">
        <v>21</v>
      </c>
      <c r="U28" s="775">
        <f t="shared" si="13"/>
        <v>100</v>
      </c>
      <c r="V28" s="774" t="s">
        <v>21</v>
      </c>
      <c r="W28" s="775">
        <f t="shared" si="14"/>
        <v>100</v>
      </c>
      <c r="X28" s="1816"/>
      <c r="Y28" s="3416"/>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435"/>
      <c r="Q29" s="1813">
        <f t="shared" si="11"/>
        <v>111</v>
      </c>
      <c r="R29" s="774" t="s">
        <v>21</v>
      </c>
      <c r="S29" s="775">
        <f t="shared" si="12"/>
        <v>100</v>
      </c>
      <c r="T29" s="774" t="s">
        <v>21</v>
      </c>
      <c r="U29" s="775">
        <f t="shared" si="13"/>
        <v>100</v>
      </c>
      <c r="V29" s="774" t="s">
        <v>21</v>
      </c>
      <c r="W29" s="775">
        <f t="shared" si="14"/>
        <v>100</v>
      </c>
      <c r="X29" s="1816"/>
      <c r="Y29" s="3416"/>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435"/>
      <c r="Q30" s="1813">
        <f t="shared" si="11"/>
        <v>111</v>
      </c>
      <c r="R30" s="774" t="s">
        <v>21</v>
      </c>
      <c r="S30" s="775">
        <f t="shared" si="12"/>
        <v>100</v>
      </c>
      <c r="T30" s="774" t="s">
        <v>21</v>
      </c>
      <c r="U30" s="775">
        <f t="shared" si="13"/>
        <v>100</v>
      </c>
      <c r="V30" s="774" t="s">
        <v>21</v>
      </c>
      <c r="W30" s="775">
        <f t="shared" si="14"/>
        <v>100</v>
      </c>
      <c r="X30" s="1816"/>
      <c r="Y30" s="3416"/>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435"/>
      <c r="Q31" s="1813">
        <f t="shared" si="11"/>
        <v>111</v>
      </c>
      <c r="R31" s="774" t="s">
        <v>21</v>
      </c>
      <c r="S31" s="775">
        <f t="shared" si="12"/>
        <v>100</v>
      </c>
      <c r="T31" s="774" t="s">
        <v>21</v>
      </c>
      <c r="U31" s="775">
        <f t="shared" si="13"/>
        <v>100</v>
      </c>
      <c r="V31" s="774" t="s">
        <v>21</v>
      </c>
      <c r="W31" s="775">
        <f t="shared" si="14"/>
        <v>100</v>
      </c>
      <c r="X31" s="1816"/>
      <c r="Y31" s="3416"/>
      <c r="Z31" s="1817">
        <f t="shared" si="18"/>
        <v>111</v>
      </c>
      <c r="AA31" s="1814">
        <f t="shared" si="15"/>
        <v>1</v>
      </c>
      <c r="AB31" s="1814">
        <f t="shared" si="16"/>
        <v>1</v>
      </c>
      <c r="AC31" s="1814">
        <f t="shared" si="17"/>
        <v>1</v>
      </c>
    </row>
    <row r="32" spans="1:29" ht="15">
      <c r="A32" s="440" t="s">
        <v>2562</v>
      </c>
      <c r="B32" s="71" t="s">
        <v>2563</v>
      </c>
      <c r="C32" s="2619" t="s">
        <v>3257</v>
      </c>
      <c r="D32" s="467">
        <v>100</v>
      </c>
      <c r="E32" s="2619" t="s">
        <v>3257</v>
      </c>
      <c r="F32" s="461">
        <f>SUMIF(100:100,E32,101:101)-SUMIF(100:100,C32,101:101)+100</f>
        <v>100</v>
      </c>
      <c r="G32" s="2619" t="s">
        <v>3257</v>
      </c>
      <c r="H32" s="467">
        <f>SUMIF(100:100,G32,101:101)-SUMIF(100:100,C32,101:101)+100</f>
        <v>100</v>
      </c>
      <c r="I32" s="2619" t="s">
        <v>3257</v>
      </c>
      <c r="J32" s="435">
        <f>SUMIF(100:100,I32,101:101)-SUMIF(100:100,C32,101:101)+100</f>
        <v>100</v>
      </c>
      <c r="K32" s="426">
        <v>2</v>
      </c>
      <c r="L32" s="1143"/>
      <c r="M32" s="1134"/>
      <c r="N32" s="1134"/>
      <c r="O32" s="1134"/>
      <c r="P32" s="3430" t="s">
        <v>2564</v>
      </c>
      <c r="Q32" s="1813" t="str">
        <f t="shared" si="11"/>
        <v>建筑类型</v>
      </c>
      <c r="R32" s="774" t="s">
        <v>21</v>
      </c>
      <c r="S32" s="775">
        <f t="shared" si="12"/>
        <v>100</v>
      </c>
      <c r="T32" s="774" t="s">
        <v>21</v>
      </c>
      <c r="U32" s="775">
        <f t="shared" si="13"/>
        <v>100</v>
      </c>
      <c r="V32" s="774" t="s">
        <v>21</v>
      </c>
      <c r="W32" s="775">
        <f t="shared" si="14"/>
        <v>100</v>
      </c>
      <c r="X32" s="1816"/>
      <c r="Y32" s="3418" t="s">
        <v>2564</v>
      </c>
      <c r="Z32" s="1817" t="str">
        <f t="shared" si="18"/>
        <v>建筑类型</v>
      </c>
      <c r="AA32" s="1814">
        <f t="shared" si="15"/>
        <v>1</v>
      </c>
      <c r="AB32" s="1814">
        <f t="shared" si="16"/>
        <v>1</v>
      </c>
      <c r="AC32" s="1814">
        <f t="shared" si="17"/>
        <v>1</v>
      </c>
    </row>
    <row r="33" spans="1:29" s="471" customFormat="1" ht="15">
      <c r="A33" s="468"/>
      <c r="B33" s="422" t="s">
        <v>2565</v>
      </c>
      <c r="C33" s="469">
        <f>假设开发法!D7</f>
        <v>93950</v>
      </c>
      <c r="D33" s="136">
        <v>100</v>
      </c>
      <c r="E33" s="430">
        <v>31000</v>
      </c>
      <c r="F33" s="425">
        <f>LOOKUP(E33,103:103,104:104)-LOOKUP(C33,103:103,104:104)+100</f>
        <v>99</v>
      </c>
      <c r="G33" s="429">
        <v>34000</v>
      </c>
      <c r="H33" s="136">
        <f>LOOKUP(G33,103:103,104:104)-LOOKUP(C33,103:103,104:104)+100</f>
        <v>99</v>
      </c>
      <c r="I33" s="430">
        <v>160000</v>
      </c>
      <c r="J33" s="136">
        <f>LOOKUP(I33,103:103,104:104)-LOOKUP(C33,103:103,104:104)+100</f>
        <v>100</v>
      </c>
      <c r="K33" s="2603"/>
      <c r="L33" s="1141"/>
      <c r="M33" s="1144"/>
      <c r="N33" s="1144"/>
      <c r="O33" s="1144"/>
      <c r="P33" s="3431"/>
      <c r="Q33" s="776" t="str">
        <f t="shared" si="11"/>
        <v>项目建筑规模</v>
      </c>
      <c r="R33" s="777" t="s">
        <v>21</v>
      </c>
      <c r="S33" s="778">
        <f t="shared" si="12"/>
        <v>99</v>
      </c>
      <c r="T33" s="777" t="s">
        <v>21</v>
      </c>
      <c r="U33" s="778">
        <f t="shared" si="13"/>
        <v>99</v>
      </c>
      <c r="V33" s="777" t="s">
        <v>21</v>
      </c>
      <c r="W33" s="778">
        <f t="shared" si="14"/>
        <v>100</v>
      </c>
      <c r="X33" s="779"/>
      <c r="Y33" s="3418"/>
      <c r="Z33" s="780" t="str">
        <f t="shared" si="18"/>
        <v>项目建筑规模</v>
      </c>
      <c r="AA33" s="1814">
        <f t="shared" si="15"/>
        <v>1.0101010101010102</v>
      </c>
      <c r="AB33" s="1814">
        <f t="shared" si="16"/>
        <v>1.0101010101010102</v>
      </c>
      <c r="AC33" s="1814">
        <f t="shared" si="17"/>
        <v>1</v>
      </c>
    </row>
    <row r="34" spans="1:29" ht="15">
      <c r="A34" s="472"/>
      <c r="B34" s="422" t="s">
        <v>2566</v>
      </c>
      <c r="C34" s="2620" t="s">
        <v>3224</v>
      </c>
      <c r="D34" s="435">
        <v>100</v>
      </c>
      <c r="E34" s="2620" t="s">
        <v>3224</v>
      </c>
      <c r="F34" s="461">
        <f>SUMIF(105:105,E34,106:106)-SUMIF(105:105,C34,106:106)+100</f>
        <v>100</v>
      </c>
      <c r="G34" s="2620" t="s">
        <v>3224</v>
      </c>
      <c r="H34" s="435">
        <f>SUMIF(105:105,G34,106:106)-SUMIF(105:105,C34,106:106)+100</f>
        <v>100</v>
      </c>
      <c r="I34" s="2620" t="s">
        <v>3224</v>
      </c>
      <c r="J34" s="435">
        <f>SUMIF(105:105,I34,106:106)-SUMIF(105:105,C34,106:106)+100</f>
        <v>100</v>
      </c>
      <c r="K34" s="426">
        <v>2</v>
      </c>
      <c r="L34" s="1143"/>
      <c r="M34" s="1134"/>
      <c r="N34" s="1134"/>
      <c r="O34" s="1134"/>
      <c r="P34" s="3431"/>
      <c r="Q34" s="1813" t="str">
        <f t="shared" si="11"/>
        <v>建筑结构</v>
      </c>
      <c r="R34" s="774" t="s">
        <v>21</v>
      </c>
      <c r="S34" s="775">
        <f t="shared" si="12"/>
        <v>100</v>
      </c>
      <c r="T34" s="774" t="s">
        <v>21</v>
      </c>
      <c r="U34" s="775">
        <f t="shared" si="13"/>
        <v>100</v>
      </c>
      <c r="V34" s="774" t="s">
        <v>21</v>
      </c>
      <c r="W34" s="775">
        <f t="shared" si="14"/>
        <v>100</v>
      </c>
      <c r="X34" s="1816"/>
      <c r="Y34" s="3418"/>
      <c r="Z34" s="1817" t="str">
        <f t="shared" si="18"/>
        <v>建筑结构</v>
      </c>
      <c r="AA34" s="1814">
        <f t="shared" si="15"/>
        <v>1</v>
      </c>
      <c r="AB34" s="1814">
        <f t="shared" si="16"/>
        <v>1</v>
      </c>
      <c r="AC34" s="1814">
        <f t="shared" si="17"/>
        <v>1</v>
      </c>
    </row>
    <row r="35" spans="1:29" ht="15">
      <c r="A35" s="472"/>
      <c r="B35" s="422" t="s">
        <v>2567</v>
      </c>
      <c r="C35" s="2615" t="s">
        <v>3260</v>
      </c>
      <c r="D35" s="435">
        <v>100</v>
      </c>
      <c r="E35" s="2615" t="s">
        <v>3260</v>
      </c>
      <c r="F35" s="461">
        <f>SUMIF(107:107,E35,108:108)-SUMIF(107:107,C35,108:108)+100</f>
        <v>100</v>
      </c>
      <c r="G35" s="2615" t="s">
        <v>3260</v>
      </c>
      <c r="H35" s="435">
        <f>SUMIF(107:107,G35,108:108)-SUMIF(107:107,C35,108:108)+100</f>
        <v>100</v>
      </c>
      <c r="I35" s="2615" t="s">
        <v>3260</v>
      </c>
      <c r="J35" s="435">
        <f>SUMIF(107:107,I35,108:108)-SUMIF(107:107,C35,108:108)+100</f>
        <v>100</v>
      </c>
      <c r="K35" s="426">
        <v>2</v>
      </c>
      <c r="L35" s="1143"/>
      <c r="M35" s="1134"/>
      <c r="N35" s="1134"/>
      <c r="O35" s="1134"/>
      <c r="P35" s="3431"/>
      <c r="Q35" s="1813" t="str">
        <f t="shared" si="11"/>
        <v>建筑品质</v>
      </c>
      <c r="R35" s="774" t="s">
        <v>21</v>
      </c>
      <c r="S35" s="775">
        <f t="shared" si="12"/>
        <v>100</v>
      </c>
      <c r="T35" s="774" t="s">
        <v>21</v>
      </c>
      <c r="U35" s="775">
        <f t="shared" si="13"/>
        <v>100</v>
      </c>
      <c r="V35" s="774" t="s">
        <v>21</v>
      </c>
      <c r="W35" s="775">
        <f t="shared" si="14"/>
        <v>100</v>
      </c>
      <c r="X35" s="1816"/>
      <c r="Y35" s="3418"/>
      <c r="Z35" s="1817" t="str">
        <f t="shared" si="18"/>
        <v>建筑品质</v>
      </c>
      <c r="AA35" s="1814">
        <f t="shared" si="15"/>
        <v>1</v>
      </c>
      <c r="AB35" s="1814">
        <f t="shared" si="16"/>
        <v>1</v>
      </c>
      <c r="AC35" s="1814">
        <f t="shared" si="17"/>
        <v>1</v>
      </c>
    </row>
    <row r="36" spans="1:29" ht="15">
      <c r="A36" s="472"/>
      <c r="B36" s="422" t="s">
        <v>2568</v>
      </c>
      <c r="C36" s="2615" t="s">
        <v>3267</v>
      </c>
      <c r="D36" s="435">
        <v>100</v>
      </c>
      <c r="E36" s="2615" t="s">
        <v>3267</v>
      </c>
      <c r="F36" s="461">
        <f>SUMIF(109:109,E36,110:110)-SUMIF(109:109,C36,110:110)+100</f>
        <v>100</v>
      </c>
      <c r="G36" s="2615" t="s">
        <v>3267</v>
      </c>
      <c r="H36" s="435">
        <f>SUMIF(109:109,G36,110:110)-SUMIF(109:109,C36,110:110)+100</f>
        <v>100</v>
      </c>
      <c r="I36" s="2615" t="s">
        <v>3267</v>
      </c>
      <c r="J36" s="435">
        <f>SUMIF(109:109,I36,110:110)-SUMIF(109:109,C36,110:110)+100</f>
        <v>100</v>
      </c>
      <c r="K36" s="426">
        <v>2</v>
      </c>
      <c r="L36" s="1143"/>
      <c r="M36" s="1134"/>
      <c r="N36" s="1134"/>
      <c r="O36" s="1134"/>
      <c r="P36" s="3431"/>
      <c r="Q36" s="1813" t="str">
        <f t="shared" si="11"/>
        <v>公共部分装修</v>
      </c>
      <c r="R36" s="774" t="s">
        <v>21</v>
      </c>
      <c r="S36" s="775">
        <f t="shared" si="12"/>
        <v>100</v>
      </c>
      <c r="T36" s="774" t="s">
        <v>21</v>
      </c>
      <c r="U36" s="775">
        <f t="shared" si="13"/>
        <v>100</v>
      </c>
      <c r="V36" s="774" t="s">
        <v>21</v>
      </c>
      <c r="W36" s="775">
        <f t="shared" si="14"/>
        <v>100</v>
      </c>
      <c r="X36" s="1816"/>
      <c r="Y36" s="3418"/>
      <c r="Z36" s="1817" t="str">
        <f t="shared" si="18"/>
        <v>公共部分装修</v>
      </c>
      <c r="AA36" s="1814">
        <f t="shared" si="15"/>
        <v>1</v>
      </c>
      <c r="AB36" s="1814">
        <f t="shared" si="16"/>
        <v>1</v>
      </c>
      <c r="AC36" s="1814">
        <f t="shared" si="17"/>
        <v>1</v>
      </c>
    </row>
    <row r="37" spans="1:29" s="117" customFormat="1" ht="15">
      <c r="A37" s="473"/>
      <c r="B37" s="422" t="s">
        <v>2569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431"/>
      <c r="Q37" s="1798" t="str">
        <f t="shared" si="11"/>
        <v>成新度</v>
      </c>
      <c r="R37" s="770" t="s">
        <v>21</v>
      </c>
      <c r="S37" s="771">
        <f t="shared" si="12"/>
        <v>100</v>
      </c>
      <c r="T37" s="770" t="s">
        <v>21</v>
      </c>
      <c r="U37" s="771">
        <f t="shared" si="13"/>
        <v>100</v>
      </c>
      <c r="V37" s="770" t="s">
        <v>21</v>
      </c>
      <c r="W37" s="771">
        <f t="shared" si="14"/>
        <v>100</v>
      </c>
      <c r="X37" s="772"/>
      <c r="Y37" s="3418"/>
      <c r="Z37" s="55" t="str">
        <f t="shared" si="18"/>
        <v>成新度</v>
      </c>
      <c r="AA37" s="773">
        <f t="shared" si="15"/>
        <v>1</v>
      </c>
      <c r="AB37" s="773">
        <f t="shared" si="16"/>
        <v>1</v>
      </c>
      <c r="AC37" s="773">
        <f t="shared" si="17"/>
        <v>1</v>
      </c>
    </row>
    <row r="38" spans="1:29" ht="15">
      <c r="A38" s="472"/>
      <c r="B38" s="422" t="s">
        <v>2570</v>
      </c>
      <c r="C38" s="2615" t="s">
        <v>3268</v>
      </c>
      <c r="D38" s="435">
        <v>100</v>
      </c>
      <c r="E38" s="2615" t="s">
        <v>3268</v>
      </c>
      <c r="F38" s="461">
        <f>SUMIF(114:114,E38,115:115)-SUMIF(114:114,C38,115:115)+100</f>
        <v>100</v>
      </c>
      <c r="G38" s="2615" t="s">
        <v>3268</v>
      </c>
      <c r="H38" s="435">
        <f>SUMIF(114:114,G38,115:115)-SUMIF(114:114,C38,115:115)+100</f>
        <v>100</v>
      </c>
      <c r="I38" s="2615" t="s">
        <v>3268</v>
      </c>
      <c r="J38" s="435">
        <f>SUMIF(114:114,I38,115:115)-SUMIF(114:114,C38,115:115)+100</f>
        <v>100</v>
      </c>
      <c r="K38" s="426">
        <v>2</v>
      </c>
      <c r="L38" s="1143"/>
      <c r="M38" s="1134"/>
      <c r="N38" s="1134"/>
      <c r="O38" s="1134"/>
      <c r="P38" s="3431" t="s">
        <v>2564</v>
      </c>
      <c r="Q38" s="1813" t="str">
        <f t="shared" si="11"/>
        <v>物业管理</v>
      </c>
      <c r="R38" s="774" t="s">
        <v>21</v>
      </c>
      <c r="S38" s="775">
        <f t="shared" si="12"/>
        <v>100</v>
      </c>
      <c r="T38" s="774" t="s">
        <v>21</v>
      </c>
      <c r="U38" s="775">
        <f t="shared" si="13"/>
        <v>100</v>
      </c>
      <c r="V38" s="774" t="s">
        <v>21</v>
      </c>
      <c r="W38" s="775">
        <f t="shared" si="14"/>
        <v>100</v>
      </c>
      <c r="X38" s="1816"/>
      <c r="Y38" s="3418" t="s">
        <v>2564</v>
      </c>
      <c r="Z38" s="1817" t="str">
        <f t="shared" si="18"/>
        <v>物业管理</v>
      </c>
      <c r="AA38" s="1814">
        <f t="shared" si="15"/>
        <v>1</v>
      </c>
      <c r="AB38" s="1814">
        <f t="shared" si="16"/>
        <v>1</v>
      </c>
      <c r="AC38" s="1814">
        <f t="shared" si="17"/>
        <v>1</v>
      </c>
    </row>
    <row r="39" spans="1:29" ht="15">
      <c r="A39" s="472"/>
      <c r="B39" s="422" t="s">
        <v>2571</v>
      </c>
      <c r="C39" s="2615" t="s">
        <v>3235</v>
      </c>
      <c r="D39" s="435">
        <v>100</v>
      </c>
      <c r="E39" s="2615" t="s">
        <v>3235</v>
      </c>
      <c r="F39" s="461">
        <f>SUMIF(116:116,E39,117:117)-SUMIF(116:116,C39,117:117)+100</f>
        <v>100</v>
      </c>
      <c r="G39" s="2615" t="s">
        <v>3235</v>
      </c>
      <c r="H39" s="435">
        <f>SUMIF(116:116,G39,117:117)-SUMIF(116:116,C39,117:117)+100</f>
        <v>100</v>
      </c>
      <c r="I39" s="2615" t="s">
        <v>3235</v>
      </c>
      <c r="J39" s="435">
        <f>SUMIF(116:116,I39,117:117)-SUMIF(116:116,C39,117:117)+100</f>
        <v>100</v>
      </c>
      <c r="K39" s="426">
        <v>1</v>
      </c>
      <c r="L39" s="1143"/>
      <c r="M39" s="1134"/>
      <c r="N39" s="1134"/>
      <c r="O39" s="1134"/>
      <c r="P39" s="3431"/>
      <c r="Q39" s="1813" t="str">
        <f t="shared" si="11"/>
        <v>市政基础设施</v>
      </c>
      <c r="R39" s="774" t="s">
        <v>21</v>
      </c>
      <c r="S39" s="775">
        <f t="shared" si="12"/>
        <v>100</v>
      </c>
      <c r="T39" s="774" t="s">
        <v>21</v>
      </c>
      <c r="U39" s="775">
        <f t="shared" si="13"/>
        <v>100</v>
      </c>
      <c r="V39" s="774" t="s">
        <v>21</v>
      </c>
      <c r="W39" s="775">
        <f t="shared" si="14"/>
        <v>100</v>
      </c>
      <c r="X39" s="1816"/>
      <c r="Y39" s="3418"/>
      <c r="Z39" s="1817" t="str">
        <f t="shared" si="18"/>
        <v>市政基础设施</v>
      </c>
      <c r="AA39" s="1814">
        <f t="shared" si="15"/>
        <v>1</v>
      </c>
      <c r="AB39" s="1814">
        <f t="shared" si="16"/>
        <v>1</v>
      </c>
      <c r="AC39" s="1814">
        <f t="shared" si="17"/>
        <v>1</v>
      </c>
    </row>
    <row r="40" spans="1:29" ht="15" hidden="1">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431"/>
      <c r="Q40" s="1813" t="str">
        <f t="shared" si="11"/>
        <v>房型</v>
      </c>
      <c r="R40" s="774" t="s">
        <v>21</v>
      </c>
      <c r="S40" s="775">
        <f t="shared" si="12"/>
        <v>100</v>
      </c>
      <c r="T40" s="774" t="s">
        <v>21</v>
      </c>
      <c r="U40" s="775">
        <f t="shared" si="13"/>
        <v>100</v>
      </c>
      <c r="V40" s="774" t="s">
        <v>21</v>
      </c>
      <c r="W40" s="775">
        <f t="shared" si="14"/>
        <v>100</v>
      </c>
      <c r="X40" s="1816"/>
      <c r="Y40" s="3418"/>
      <c r="Z40" s="1817" t="str">
        <f t="shared" si="18"/>
        <v>房型</v>
      </c>
      <c r="AA40" s="1814">
        <f t="shared" si="15"/>
        <v>1</v>
      </c>
      <c r="AB40" s="1814">
        <f t="shared" si="16"/>
        <v>1</v>
      </c>
      <c r="AC40" s="1814">
        <f t="shared" si="17"/>
        <v>1</v>
      </c>
    </row>
    <row r="41" spans="1:29" s="471" customFormat="1" ht="28.5" hidden="1">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431"/>
      <c r="Q41" s="776" t="str">
        <f t="shared" si="11"/>
        <v>单套/主力户型建筑面积</v>
      </c>
      <c r="R41" s="777" t="s">
        <v>21</v>
      </c>
      <c r="S41" s="778">
        <f t="shared" si="12"/>
        <v>100</v>
      </c>
      <c r="T41" s="777" t="s">
        <v>21</v>
      </c>
      <c r="U41" s="778">
        <f t="shared" si="13"/>
        <v>100</v>
      </c>
      <c r="V41" s="777" t="s">
        <v>21</v>
      </c>
      <c r="W41" s="778">
        <f t="shared" si="14"/>
        <v>100</v>
      </c>
      <c r="X41" s="779"/>
      <c r="Y41" s="3418"/>
      <c r="Z41" s="780" t="str">
        <f t="shared" si="18"/>
        <v>单套/主力户型建筑面积</v>
      </c>
      <c r="AA41" s="1814">
        <f t="shared" si="15"/>
        <v>1</v>
      </c>
      <c r="AB41" s="1814">
        <f t="shared" si="16"/>
        <v>1</v>
      </c>
      <c r="AC41" s="1814">
        <f t="shared" si="17"/>
        <v>1</v>
      </c>
    </row>
    <row r="42" spans="1:29" ht="15.75" thickBot="1">
      <c r="A42" s="472"/>
      <c r="B42" s="422" t="s">
        <v>2574</v>
      </c>
      <c r="C42" s="2615" t="s">
        <v>3267</v>
      </c>
      <c r="D42" s="435">
        <v>100</v>
      </c>
      <c r="E42" s="2615" t="s">
        <v>3267</v>
      </c>
      <c r="F42" s="461">
        <f>SUMIF(122:122,E42,123:123)-SUMIF(122:122,C42,123:123)+100</f>
        <v>100</v>
      </c>
      <c r="G42" s="2615" t="s">
        <v>3267</v>
      </c>
      <c r="H42" s="435">
        <f>SUMIF(122:122,G42,123:123)-SUMIF(122:122,C42,123:123)+100</f>
        <v>100</v>
      </c>
      <c r="I42" s="2615" t="s">
        <v>3267</v>
      </c>
      <c r="J42" s="435">
        <f>SUMIF(122:122,I42,123:123)-SUMIF(122:122,C42,123:123)+100</f>
        <v>100</v>
      </c>
      <c r="K42" s="426">
        <v>2</v>
      </c>
      <c r="L42" s="1143"/>
      <c r="M42" s="1134"/>
      <c r="N42" s="1134"/>
      <c r="O42" s="1134"/>
      <c r="P42" s="3431"/>
      <c r="Q42" s="1813" t="str">
        <f t="shared" si="11"/>
        <v>内部装修</v>
      </c>
      <c r="R42" s="774" t="s">
        <v>21</v>
      </c>
      <c r="S42" s="775">
        <f t="shared" si="12"/>
        <v>100</v>
      </c>
      <c r="T42" s="774" t="s">
        <v>21</v>
      </c>
      <c r="U42" s="775">
        <f t="shared" si="13"/>
        <v>100</v>
      </c>
      <c r="V42" s="774" t="s">
        <v>21</v>
      </c>
      <c r="W42" s="775">
        <f t="shared" si="14"/>
        <v>100</v>
      </c>
      <c r="X42" s="1816"/>
      <c r="Y42" s="3418"/>
      <c r="Z42" s="1817" t="str">
        <f t="shared" si="18"/>
        <v>内部装修</v>
      </c>
      <c r="AA42" s="1814">
        <f t="shared" si="15"/>
        <v>1</v>
      </c>
      <c r="AB42" s="1814">
        <f t="shared" si="16"/>
        <v>1</v>
      </c>
      <c r="AC42" s="1814">
        <f t="shared" si="17"/>
        <v>1</v>
      </c>
    </row>
    <row r="43" spans="1:29" ht="15" hidden="1">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431"/>
      <c r="Q43" s="1813" t="str">
        <f t="shared" si="11"/>
        <v>内部装修维护情况</v>
      </c>
      <c r="R43" s="774" t="s">
        <v>21</v>
      </c>
      <c r="S43" s="775">
        <f t="shared" si="12"/>
        <v>100</v>
      </c>
      <c r="T43" s="774" t="s">
        <v>21</v>
      </c>
      <c r="U43" s="775">
        <f t="shared" si="13"/>
        <v>100</v>
      </c>
      <c r="V43" s="774" t="s">
        <v>21</v>
      </c>
      <c r="W43" s="775">
        <f t="shared" si="14"/>
        <v>100</v>
      </c>
      <c r="X43" s="1816"/>
      <c r="Y43" s="3418"/>
      <c r="Z43" s="1817" t="str">
        <f t="shared" si="18"/>
        <v>内部装修维护情况</v>
      </c>
      <c r="AA43" s="1814">
        <f t="shared" si="15"/>
        <v>1</v>
      </c>
      <c r="AB43" s="1814">
        <f t="shared" si="16"/>
        <v>1</v>
      </c>
      <c r="AC43" s="1814">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431"/>
      <c r="Q44" s="1798">
        <f t="shared" si="11"/>
        <v>111</v>
      </c>
      <c r="R44" s="770" t="s">
        <v>21</v>
      </c>
      <c r="S44" s="771">
        <f t="shared" si="12"/>
        <v>100</v>
      </c>
      <c r="T44" s="770" t="s">
        <v>21</v>
      </c>
      <c r="U44" s="771">
        <f t="shared" si="13"/>
        <v>100</v>
      </c>
      <c r="V44" s="770" t="s">
        <v>21</v>
      </c>
      <c r="W44" s="771">
        <f t="shared" si="14"/>
        <v>100</v>
      </c>
      <c r="X44" s="772"/>
      <c r="Y44" s="3418"/>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431"/>
      <c r="Q45" s="1813">
        <f t="shared" si="11"/>
        <v>111</v>
      </c>
      <c r="R45" s="774" t="s">
        <v>21</v>
      </c>
      <c r="S45" s="775">
        <f t="shared" si="12"/>
        <v>100</v>
      </c>
      <c r="T45" s="774" t="s">
        <v>21</v>
      </c>
      <c r="U45" s="775">
        <f t="shared" si="13"/>
        <v>100</v>
      </c>
      <c r="V45" s="774" t="s">
        <v>21</v>
      </c>
      <c r="W45" s="775">
        <f t="shared" si="14"/>
        <v>100</v>
      </c>
      <c r="X45" s="1816"/>
      <c r="Y45" s="3418"/>
      <c r="Z45" s="1817">
        <f t="shared" si="18"/>
        <v>111</v>
      </c>
      <c r="AA45" s="1814">
        <f t="shared" si="15"/>
        <v>1</v>
      </c>
      <c r="AB45" s="1814">
        <f t="shared" si="16"/>
        <v>1</v>
      </c>
      <c r="AC45" s="1814">
        <f t="shared" si="17"/>
        <v>1</v>
      </c>
    </row>
    <row r="46" spans="1:29" ht="15.75" hidden="1"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432"/>
      <c r="Q46" s="1813">
        <f t="shared" si="11"/>
        <v>111</v>
      </c>
      <c r="R46" s="774" t="s">
        <v>20</v>
      </c>
      <c r="S46" s="775">
        <f t="shared" si="12"/>
        <v>100</v>
      </c>
      <c r="T46" s="774" t="s">
        <v>20</v>
      </c>
      <c r="U46" s="775">
        <f t="shared" si="13"/>
        <v>100</v>
      </c>
      <c r="V46" s="774" t="s">
        <v>20</v>
      </c>
      <c r="W46" s="775">
        <f t="shared" si="14"/>
        <v>100</v>
      </c>
      <c r="X46" s="1816"/>
      <c r="Y46" s="3433"/>
      <c r="Z46" s="1817">
        <f t="shared" si="18"/>
        <v>111</v>
      </c>
      <c r="AA46" s="1814">
        <f t="shared" si="15"/>
        <v>1</v>
      </c>
      <c r="AB46" s="1814">
        <f t="shared" si="16"/>
        <v>1</v>
      </c>
      <c r="AC46" s="1814">
        <f t="shared" si="17"/>
        <v>1</v>
      </c>
    </row>
    <row r="47" spans="1:29" ht="15">
      <c r="A47" s="479" t="s">
        <v>2576</v>
      </c>
      <c r="B47" s="480"/>
      <c r="C47" s="1410" t="s">
        <v>19</v>
      </c>
      <c r="D47" s="1411"/>
      <c r="E47" s="1412">
        <v>30000</v>
      </c>
      <c r="F47" s="1413"/>
      <c r="G47" s="1414">
        <f>34000*0.95</f>
        <v>32300</v>
      </c>
      <c r="H47" s="1415"/>
      <c r="I47" s="1412">
        <v>27200</v>
      </c>
      <c r="J47" s="1415"/>
      <c r="K47" s="2621"/>
      <c r="L47" s="1146"/>
      <c r="M47" s="1147"/>
      <c r="N47" s="1134"/>
      <c r="O47" s="1147"/>
      <c r="P47" s="3400" t="str">
        <f>A47</f>
        <v>成交单价（元/平方米）</v>
      </c>
      <c r="Q47" s="3400"/>
      <c r="R47" s="3429">
        <f>E47</f>
        <v>30000</v>
      </c>
      <c r="S47" s="3429"/>
      <c r="T47" s="3429">
        <f>G47</f>
        <v>32300</v>
      </c>
      <c r="U47" s="3429"/>
      <c r="V47" s="3429">
        <f>I47</f>
        <v>27200</v>
      </c>
      <c r="W47" s="3429"/>
      <c r="X47" s="759"/>
      <c r="Y47" s="781"/>
      <c r="Z47" s="759"/>
      <c r="AA47" s="759"/>
      <c r="AB47" s="759"/>
      <c r="AC47" s="759"/>
    </row>
    <row r="48" spans="1:29" ht="15.75" thickBot="1">
      <c r="A48" s="486" t="s">
        <v>2577</v>
      </c>
      <c r="B48" s="487"/>
      <c r="C48" s="1416">
        <f>R49</f>
        <v>33381</v>
      </c>
      <c r="D48" s="1417"/>
      <c r="E48" s="1418">
        <f>R48</f>
        <v>33670</v>
      </c>
      <c r="F48" s="1418"/>
      <c r="G48" s="1416">
        <f>T48</f>
        <v>36251</v>
      </c>
      <c r="H48" s="1417"/>
      <c r="I48" s="1418">
        <f>V48</f>
        <v>30222</v>
      </c>
      <c r="J48" s="1417"/>
      <c r="K48" s="2622"/>
      <c r="L48" s="1146"/>
      <c r="M48" s="1147"/>
      <c r="N48" s="1147"/>
      <c r="O48" s="1147"/>
      <c r="P48" s="3400" t="str">
        <f>A48</f>
        <v>比较价值（元/平方米）</v>
      </c>
      <c r="Q48" s="3400"/>
      <c r="R48" s="3429">
        <f>IF(F1="售价",ROUND(PRODUCT(R47,AA7:AA46),0),ROUND(PRODUCT(R47,AA7:AA46),1))</f>
        <v>33670</v>
      </c>
      <c r="S48" s="3429"/>
      <c r="T48" s="3429">
        <f>IF(F1="售价",ROUND(PRODUCT(T47,AB7:AB46),0),ROUND(PRODUCT(T47,AB7:AB46),1))</f>
        <v>36251</v>
      </c>
      <c r="U48" s="3429"/>
      <c r="V48" s="3429">
        <f>IF(F1="售价",ROUND(PRODUCT(V47,AC7:AC46),0),ROUND(PRODUCT(V47,AC7:AC46),1))</f>
        <v>30222</v>
      </c>
      <c r="W48" s="3429"/>
      <c r="X48" s="759"/>
      <c r="Y48" s="759"/>
      <c r="Z48" s="759"/>
      <c r="AA48" s="759"/>
      <c r="AB48" s="759"/>
      <c r="AC48" s="759"/>
    </row>
    <row r="49" spans="1:29" ht="15.75" thickBot="1">
      <c r="A49" s="492" t="s">
        <v>2578</v>
      </c>
      <c r="B49" s="493"/>
      <c r="C49" s="1419">
        <f>R49</f>
        <v>33381</v>
      </c>
      <c r="D49" s="1420"/>
      <c r="E49" s="1420"/>
      <c r="F49" s="1420"/>
      <c r="G49" s="1420"/>
      <c r="H49" s="1420"/>
      <c r="I49" s="1420"/>
      <c r="J49" s="1420"/>
      <c r="K49" s="2623"/>
      <c r="L49" s="1146"/>
      <c r="M49" s="1147"/>
      <c r="N49" s="1147"/>
      <c r="O49" s="1147"/>
      <c r="P49" s="3420" t="str">
        <f>A49</f>
        <v>估价对象XX用房的比较价值（楼面单价，元/平方米）</v>
      </c>
      <c r="Q49" s="3421"/>
      <c r="R49" s="3428">
        <f>IF(F1="售价",ROUND(AVERAGE(R48:V48),0),ROUND(AVERAGE(R48:V48),1))</f>
        <v>33381</v>
      </c>
      <c r="S49" s="3428"/>
      <c r="T49" s="3428"/>
      <c r="U49" s="3428"/>
      <c r="V49" s="3428"/>
      <c r="W49" s="34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0.1223333333333334</v>
      </c>
      <c r="F52" s="500" t="str">
        <f>IF(OR(E52&gt;=0.3,E52&lt;=-0.3),"超过30%","")</f>
        <v/>
      </c>
      <c r="G52" s="499">
        <f>IF(G47&lt;G48,G48/G47-1,G47/G48-1)</f>
        <v>0.12232198142414852</v>
      </c>
      <c r="H52" s="500" t="str">
        <f>IF(OR(G52&gt;=0.3,G52&lt;=-0.3),"超过30%","")</f>
        <v/>
      </c>
      <c r="I52" s="499">
        <f>IF(I47&lt;I48,I48/I47-1,I47/I48-1)</f>
        <v>0.11110294117647057</v>
      </c>
      <c r="J52" s="500" t="str">
        <f>IF(OR(I52&gt;=0.3,I52&lt;=-0.3),"超过30%","")</f>
        <v/>
      </c>
      <c r="K52" s="1108"/>
      <c r="L52" s="1109"/>
      <c r="M52" s="1147"/>
      <c r="N52" s="1147"/>
      <c r="O52" s="1147"/>
    </row>
    <row r="53" spans="1:29" ht="13.5" customHeight="1">
      <c r="A53" s="1147"/>
      <c r="B53" s="1147"/>
      <c r="C53" s="497" t="s">
        <v>2580</v>
      </c>
      <c r="D53" s="501"/>
      <c r="E53" s="499">
        <f>IF(E48&lt;G48,G48/E48-1,E48/G48-1)</f>
        <v>7.665577665577672E-2</v>
      </c>
      <c r="F53" s="500" t="str">
        <f>IF(OR(E53&gt;=0.2,E53&lt;=-0.2),"超过20%","")</f>
        <v/>
      </c>
      <c r="G53" s="499">
        <f>IF(G48&lt;I48,I48/G48-1,G48/I48-1)</f>
        <v>0.19949043742968708</v>
      </c>
      <c r="H53" s="500" t="str">
        <f>IF(OR(G53&gt;=0.2,G53&lt;=-0.2),"超过20%","")</f>
        <v/>
      </c>
      <c r="I53" s="499">
        <f>IF(I48&lt;E48,E48/I48-1,I48/E48-1)</f>
        <v>0.11408907418436898</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7.6666666666666661E-2</v>
      </c>
      <c r="F54" s="500" t="str">
        <f>IF(OR(E54&gt;=0.3,E54&lt;=-0.3),"超过30%","")</f>
        <v/>
      </c>
      <c r="G54" s="499">
        <f>IF(G47&lt;I47,I47/G47-1,G47/I47-1)</f>
        <v>0.1875</v>
      </c>
      <c r="H54" s="500" t="str">
        <f>IF(OR(G54&gt;=0.3,G54&lt;=-0.3),"超过30%","")</f>
        <v/>
      </c>
      <c r="I54" s="499">
        <f>IF(I47&lt;E47,E47/I47-1,I47/E47-1)</f>
        <v>0.10294117647058831</v>
      </c>
      <c r="J54" s="500" t="str">
        <f>IF(OR(I54&gt;=0.3,I54&lt;=-0.3),"超过30%","")</f>
        <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6"/>
      <c r="Q57" s="504"/>
    </row>
    <row r="58" spans="1:29" s="508" customFormat="1" ht="15">
      <c r="A58" s="505" t="s">
        <v>2583</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2585</v>
      </c>
      <c r="B61" s="510"/>
      <c r="C61" s="522" t="s">
        <v>2586</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t="str">
        <f>C9</f>
        <v>公寓</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30"/>
      <c r="Q66" s="504"/>
    </row>
    <row r="67" spans="1:17" ht="15.75" thickTop="1">
      <c r="A67" s="534"/>
      <c r="B67" s="546" t="s">
        <v>2557</v>
      </c>
      <c r="C67" s="547" t="str">
        <f>C68&amp;"（含）"&amp;"-"&amp;D68</f>
        <v>0（含）-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v>0</v>
      </c>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90</v>
      </c>
      <c r="E79" s="544">
        <f>D79-$K17</f>
        <v>80</v>
      </c>
      <c r="F79" s="544">
        <f>E79-$K17</f>
        <v>70</v>
      </c>
      <c r="G79" s="544">
        <f>F79-$K17</f>
        <v>60</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0"/>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0"/>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0"/>
      <c r="Q85" s="504"/>
    </row>
    <row r="86" spans="1:17" s="117" customFormat="1" ht="15.75" thickTop="1">
      <c r="A86" s="579"/>
      <c r="B86" s="538" t="s">
        <v>2609</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2610</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2562</v>
      </c>
      <c r="B100" s="528" t="s">
        <v>2611</v>
      </c>
      <c r="C100" s="3118" t="s">
        <v>3258</v>
      </c>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0"/>
      <c r="Q101" s="504"/>
    </row>
    <row r="102" spans="1:17" ht="29.25" thickTop="1">
      <c r="A102" s="534"/>
      <c r="B102" s="538" t="s">
        <v>2612</v>
      </c>
      <c r="C102" s="578" t="str">
        <f>C103&amp;"(含)"&amp;"-"&amp;D103</f>
        <v>0(含)-50000</v>
      </c>
      <c r="D102" s="578" t="str">
        <f t="shared" ref="D102:L102" si="27">D103&amp;"(含)"&amp;"-"&amp;E103</f>
        <v>50000(含)-100000</v>
      </c>
      <c r="E102" s="578" t="str">
        <f t="shared" si="27"/>
        <v>100000(含)-150000</v>
      </c>
      <c r="F102" s="578" t="str">
        <f t="shared" si="27"/>
        <v>150000(含)-200000</v>
      </c>
      <c r="G102" s="578" t="str">
        <f t="shared" si="27"/>
        <v>200000(含)-250000</v>
      </c>
      <c r="H102" s="578" t="str">
        <f t="shared" si="27"/>
        <v>250000(含)-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v>0</v>
      </c>
      <c r="D103" s="595">
        <v>50000</v>
      </c>
      <c r="E103" s="595">
        <v>100000</v>
      </c>
      <c r="F103" s="595">
        <v>150000</v>
      </c>
      <c r="G103" s="595">
        <v>200000</v>
      </c>
      <c r="H103" s="595">
        <v>250000</v>
      </c>
      <c r="I103" s="595"/>
      <c r="J103" s="596"/>
      <c r="K103" s="596"/>
      <c r="L103" s="597"/>
      <c r="M103" s="598"/>
      <c r="N103" s="1157"/>
      <c r="O103" s="1157"/>
      <c r="P103" s="2631"/>
      <c r="Q103" s="559"/>
    </row>
    <row r="104" spans="1:17" s="471" customFormat="1" ht="15.75" thickBot="1">
      <c r="A104" s="553"/>
      <c r="B104" s="543"/>
      <c r="C104" s="560">
        <v>98</v>
      </c>
      <c r="D104" s="536">
        <v>99</v>
      </c>
      <c r="E104" s="536">
        <v>100</v>
      </c>
      <c r="F104" s="536">
        <v>99</v>
      </c>
      <c r="G104" s="536">
        <v>98</v>
      </c>
      <c r="H104" s="536"/>
      <c r="I104" s="536"/>
      <c r="J104" s="536"/>
      <c r="K104" s="536"/>
      <c r="L104" s="536"/>
      <c r="M104" s="536"/>
      <c r="N104" s="1156"/>
      <c r="O104" s="1156"/>
      <c r="P104" s="2631"/>
      <c r="Q104" s="559"/>
    </row>
    <row r="105" spans="1:17" ht="15" thickTop="1">
      <c r="A105" s="599"/>
      <c r="B105" s="538" t="s">
        <v>2613</v>
      </c>
      <c r="C105" s="3129" t="s">
        <v>3259</v>
      </c>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0"/>
      <c r="Q106" s="504"/>
    </row>
    <row r="107" spans="1:17" ht="15" thickTop="1">
      <c r="A107" s="599"/>
      <c r="B107" s="538" t="s">
        <v>2614</v>
      </c>
      <c r="C107" s="3128" t="s">
        <v>3261</v>
      </c>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0"/>
      <c r="Q108" s="504"/>
    </row>
    <row r="109" spans="1:17" ht="15" thickTop="1">
      <c r="A109" s="599"/>
      <c r="B109" s="538" t="s">
        <v>2615</v>
      </c>
      <c r="C109" s="3129" t="s">
        <v>3262</v>
      </c>
      <c r="D109" s="3129" t="s">
        <v>3263</v>
      </c>
      <c r="E109" s="3129" t="s">
        <v>3264</v>
      </c>
      <c r="F109" s="3128" t="s">
        <v>3265</v>
      </c>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1"/>
      <c r="Q113" s="559"/>
    </row>
    <row r="114" spans="1:17" ht="15" thickTop="1">
      <c r="A114" s="599"/>
      <c r="B114" s="538" t="s">
        <v>2616</v>
      </c>
      <c r="C114" s="3129" t="s">
        <v>3266</v>
      </c>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0"/>
      <c r="Q115" s="504"/>
    </row>
    <row r="116" spans="1:17" ht="15" thickTop="1">
      <c r="A116" s="599"/>
      <c r="B116" s="538" t="s">
        <v>2617</v>
      </c>
      <c r="C116" s="554" t="s">
        <v>3244</v>
      </c>
      <c r="D116" s="554" t="s">
        <v>3245</v>
      </c>
      <c r="E116" s="554" t="s">
        <v>3235</v>
      </c>
      <c r="F116" s="554" t="s">
        <v>3246</v>
      </c>
      <c r="G116" s="554" t="s">
        <v>3247</v>
      </c>
      <c r="H116" s="583"/>
      <c r="I116" s="583"/>
      <c r="J116" s="583"/>
      <c r="K116" s="584"/>
      <c r="L116" s="585"/>
      <c r="M116" s="586"/>
      <c r="N116" s="1155"/>
      <c r="O116" s="1155"/>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0"/>
      <c r="Q117" s="504"/>
    </row>
    <row r="118" spans="1:17" ht="15" thickTop="1">
      <c r="A118" s="599"/>
      <c r="B118" s="538" t="s">
        <v>2618</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2619</v>
      </c>
      <c r="C122" s="3129" t="s">
        <v>3262</v>
      </c>
      <c r="D122" s="3129" t="s">
        <v>3263</v>
      </c>
      <c r="E122" s="3129" t="s">
        <v>3264</v>
      </c>
      <c r="F122" s="3128" t="s">
        <v>3265</v>
      </c>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6" t="s">
        <v>2624</v>
      </c>
      <c r="D138" s="146" t="s">
        <v>2625</v>
      </c>
      <c r="E138" s="2645" t="s">
        <v>2626</v>
      </c>
      <c r="F138" s="2646" t="s">
        <v>2627</v>
      </c>
      <c r="G138" s="146" t="s">
        <v>2625</v>
      </c>
      <c r="H138" s="147" t="s">
        <v>2626</v>
      </c>
      <c r="I138" s="2647"/>
      <c r="J138" s="146" t="s">
        <v>2628</v>
      </c>
      <c r="K138" s="147" t="s">
        <v>2629</v>
      </c>
    </row>
    <row r="139" spans="1:17" ht="15">
      <c r="B139" s="1087">
        <v>6</v>
      </c>
      <c r="C139" s="1088">
        <v>96</v>
      </c>
      <c r="D139" s="2648" t="s">
        <v>2630</v>
      </c>
      <c r="E139" s="1089">
        <v>100</v>
      </c>
      <c r="F139" s="1090">
        <v>102.5</v>
      </c>
      <c r="G139" s="2648" t="s">
        <v>2630</v>
      </c>
      <c r="H139" s="1091">
        <v>105</v>
      </c>
      <c r="I139" s="2649" t="s">
        <v>2631</v>
      </c>
      <c r="J139" s="1088">
        <v>20</v>
      </c>
      <c r="K139" s="1092">
        <f>C145/(J139-2)</f>
        <v>4.0555555555555553E-3</v>
      </c>
    </row>
    <row r="140" spans="1:17" ht="15">
      <c r="B140" s="1093">
        <v>5</v>
      </c>
      <c r="C140" s="1094">
        <v>100</v>
      </c>
      <c r="D140" s="1094"/>
      <c r="E140" s="1095"/>
      <c r="F140" s="1096">
        <v>102</v>
      </c>
      <c r="G140" s="1094"/>
      <c r="H140" s="1097"/>
      <c r="I140" s="2650" t="s">
        <v>2632</v>
      </c>
      <c r="J140" s="315">
        <f>ROUNDUP((J139-1)/2,0)</f>
        <v>10</v>
      </c>
      <c r="K140" s="1098">
        <v>100</v>
      </c>
    </row>
    <row r="141" spans="1:17" ht="15">
      <c r="B141" s="1093">
        <v>4</v>
      </c>
      <c r="C141" s="1094">
        <v>102</v>
      </c>
      <c r="D141" s="1094"/>
      <c r="E141" s="1095"/>
      <c r="F141" s="1096">
        <v>101.5</v>
      </c>
      <c r="G141" s="1094"/>
      <c r="H141" s="1097"/>
      <c r="I141" s="2650" t="s">
        <v>2633</v>
      </c>
      <c r="J141" s="315">
        <v>1</v>
      </c>
      <c r="K141" s="1099">
        <f>ROUND(100+(J141-J140)*K139*100,1)</f>
        <v>96.4</v>
      </c>
    </row>
    <row r="142" spans="1:17" ht="15">
      <c r="B142" s="1093">
        <v>3</v>
      </c>
      <c r="C142" s="1094">
        <v>103</v>
      </c>
      <c r="D142" s="1094"/>
      <c r="E142" s="1095"/>
      <c r="F142" s="1096">
        <v>101</v>
      </c>
      <c r="G142" s="1094"/>
      <c r="H142" s="1097"/>
      <c r="I142" s="2650" t="s">
        <v>2634</v>
      </c>
      <c r="J142" s="315">
        <f>J139</f>
        <v>20</v>
      </c>
      <c r="K142" s="1100">
        <v>95</v>
      </c>
    </row>
    <row r="143" spans="1:17" ht="15">
      <c r="B143" s="1093">
        <v>2</v>
      </c>
      <c r="C143" s="1094">
        <v>100</v>
      </c>
      <c r="D143" s="1094"/>
      <c r="E143" s="1095"/>
      <c r="F143" s="1096">
        <v>100.5</v>
      </c>
      <c r="G143" s="1094"/>
      <c r="H143" s="1097"/>
      <c r="I143" s="2650" t="s">
        <v>2635</v>
      </c>
      <c r="J143" s="1094">
        <v>15</v>
      </c>
      <c r="K143" s="1099">
        <f>ROUND(100+(J143-J140)*K139*100,1)</f>
        <v>102</v>
      </c>
    </row>
    <row r="144" spans="1:17" ht="15">
      <c r="B144" s="1093">
        <v>1</v>
      </c>
      <c r="C144" s="1094">
        <v>98</v>
      </c>
      <c r="D144" s="2651" t="s">
        <v>2636</v>
      </c>
      <c r="E144" s="1095">
        <v>102</v>
      </c>
      <c r="F144" s="1101">
        <v>100</v>
      </c>
      <c r="G144" s="2651" t="s">
        <v>2636</v>
      </c>
      <c r="H144" s="1097">
        <v>105</v>
      </c>
      <c r="I144" s="2650" t="s">
        <v>2635</v>
      </c>
      <c r="J144" s="1094">
        <v>18</v>
      </c>
      <c r="K144" s="1099">
        <f>ROUND(100+(J144-J140)*K139*100,1)</f>
        <v>103.2</v>
      </c>
    </row>
    <row r="145" spans="2:11" ht="15.75" thickBot="1">
      <c r="B145" s="2652" t="s">
        <v>2637</v>
      </c>
      <c r="C145" s="1102">
        <f>ROUND(MAX(C139:C144)/MIN(C139:C144)-1,3)</f>
        <v>7.2999999999999995E-2</v>
      </c>
      <c r="D145" s="1103"/>
      <c r="E145" s="1103"/>
      <c r="F145" s="2653" t="s">
        <v>2638</v>
      </c>
      <c r="G145" s="2654"/>
      <c r="H145" s="2655"/>
      <c r="I145" s="2656" t="s">
        <v>2635</v>
      </c>
      <c r="J145" s="1104">
        <v>8</v>
      </c>
      <c r="K145" s="1105">
        <f>ROUND(100+(J145-J140)*K139*100,1)</f>
        <v>99.2</v>
      </c>
    </row>
    <row r="147" spans="2:11">
      <c r="B147" s="2637" t="s">
        <v>2639</v>
      </c>
    </row>
    <row r="148" spans="2:11">
      <c r="B148" s="2637"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N27" sqref="N27"/>
    </sheetView>
  </sheetViews>
  <sheetFormatPr defaultRowHeight="13.5"/>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6" zoomScale="85" zoomScaleNormal="85" zoomScaleSheetLayoutView="90" workbookViewId="0">
      <selection activeCell="C29" sqref="C2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3222</v>
      </c>
      <c r="E1" s="1824" t="s">
        <v>1383</v>
      </c>
      <c r="F1" s="1286">
        <f ca="1">J53</f>
        <v>38.6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297660</v>
      </c>
      <c r="C2" s="1848" t="s">
        <v>1512</v>
      </c>
      <c r="D2" s="1848"/>
      <c r="E2" s="1849"/>
      <c r="F2" s="1850"/>
      <c r="G2" s="1851"/>
      <c r="H2" s="1843"/>
      <c r="I2" s="1843"/>
      <c r="J2" s="1843"/>
      <c r="K2" s="1844"/>
      <c r="L2" s="1843"/>
      <c r="M2" s="1843"/>
    </row>
    <row r="3" spans="1:37" ht="18" customHeight="1" thickBot="1">
      <c r="A3" s="1852" t="s">
        <v>1513</v>
      </c>
      <c r="B3" s="1853">
        <f ca="1">IF(ISERROR(B2*10000/F43),0,ROUND(B2*10000/F43,0))</f>
        <v>26510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15735</v>
      </c>
      <c r="D5" s="1825" t="s">
        <v>1398</v>
      </c>
      <c r="E5" s="1296"/>
      <c r="F5" s="1297"/>
      <c r="G5" s="1854"/>
      <c r="H5" s="344">
        <v>1</v>
      </c>
      <c r="I5" s="345" t="s">
        <v>1397</v>
      </c>
      <c r="J5" s="1295">
        <f ca="1">J6+J10+J12</f>
        <v>0</v>
      </c>
      <c r="K5" s="1825" t="s">
        <v>1398</v>
      </c>
      <c r="L5" s="1296"/>
      <c r="M5" s="1297"/>
    </row>
    <row r="6" spans="1:37" ht="18" customHeight="1">
      <c r="A6" s="1294" t="s">
        <v>1032</v>
      </c>
      <c r="B6" s="3438" t="s">
        <v>1399</v>
      </c>
      <c r="C6" s="1299">
        <f ca="1">ROUND(F6*F8*F7*(1-F9)/10000,0)</f>
        <v>15676</v>
      </c>
      <c r="D6" s="164" t="s">
        <v>3032</v>
      </c>
      <c r="E6" s="347" t="s">
        <v>1401</v>
      </c>
      <c r="F6" s="348">
        <f ca="1">INDIRECT("'数据-取费表'!u"&amp;$G$1)</f>
        <v>4.5</v>
      </c>
      <c r="G6" s="1854"/>
      <c r="H6" s="1294" t="s">
        <v>1032</v>
      </c>
      <c r="I6" s="3438" t="s">
        <v>1399</v>
      </c>
      <c r="J6" s="346">
        <f ca="1">ROUND(M6*M8*M7*(1-M9)/10000,0)</f>
        <v>0</v>
      </c>
      <c r="K6" s="164" t="s">
        <v>3031</v>
      </c>
      <c r="L6" s="347" t="s">
        <v>1401</v>
      </c>
      <c r="M6" s="348">
        <f ca="1">INDIRECT("'数据-取费表'!z"&amp;$G$1)</f>
        <v>0</v>
      </c>
    </row>
    <row r="7" spans="1:37" ht="18" customHeight="1">
      <c r="A7" s="1298"/>
      <c r="B7" s="3439"/>
      <c r="C7" s="1300"/>
      <c r="D7" s="352"/>
      <c r="E7" s="1301" t="s">
        <v>1402</v>
      </c>
      <c r="F7" s="348">
        <f ca="1">IF(INDIRECT("'数据-取费表'!ah"&amp;$G$1)="",INDIRECT("'数据-取费表'!k"&amp;$G$1),INDIRECT("'数据-取费表'!ah"&amp;$G$1))</f>
        <v>112284.08</v>
      </c>
      <c r="G7" s="1854"/>
      <c r="H7" s="349"/>
      <c r="I7" s="3439"/>
      <c r="J7" s="351"/>
      <c r="K7" s="352"/>
      <c r="L7" s="347" t="s">
        <v>1402</v>
      </c>
      <c r="M7" s="348">
        <f ca="1">F7</f>
        <v>112284.08</v>
      </c>
    </row>
    <row r="8" spans="1:37" ht="18" customHeight="1">
      <c r="A8" s="349"/>
      <c r="B8" s="3439"/>
      <c r="C8" s="351"/>
      <c r="D8" s="352"/>
      <c r="E8" s="347" t="s">
        <v>1403</v>
      </c>
      <c r="F8" s="348">
        <f ca="1">INDIRECT("'数据-取费表'!ai"&amp;$G$1)</f>
        <v>365</v>
      </c>
      <c r="G8" s="1854"/>
      <c r="H8" s="349"/>
      <c r="I8" s="3439"/>
      <c r="J8" s="351"/>
      <c r="K8" s="352"/>
      <c r="L8" s="347" t="s">
        <v>1403</v>
      </c>
      <c r="M8" s="348">
        <f ca="1">INDIRECT("'数据-取费表'!ai"&amp;$G$1)</f>
        <v>365</v>
      </c>
    </row>
    <row r="9" spans="1:37" ht="18" customHeight="1">
      <c r="A9" s="349"/>
      <c r="B9" s="3440"/>
      <c r="C9" s="351"/>
      <c r="D9" s="352"/>
      <c r="E9" s="347" t="s">
        <v>1404</v>
      </c>
      <c r="F9" s="357">
        <f ca="1">INDIRECT("'数据-取费表'!w"&amp;$G$1)</f>
        <v>0.15</v>
      </c>
      <c r="G9" s="1854"/>
      <c r="H9" s="349"/>
      <c r="I9" s="34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59</v>
      </c>
      <c r="D10" s="1827" t="s">
        <v>3041</v>
      </c>
      <c r="E10" s="358" t="s">
        <v>1406</v>
      </c>
      <c r="F10" s="1369" t="s">
        <v>3230</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85281</v>
      </c>
      <c r="D13" s="1334" t="s">
        <v>1411</v>
      </c>
      <c r="E13" s="1334" t="s">
        <v>1412</v>
      </c>
      <c r="F13" s="1335">
        <f ca="1">INDIRECT("'数据-取费表'!y"&amp;$G$1)</f>
        <v>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54426</v>
      </c>
      <c r="D14" s="1803" t="s">
        <v>1414</v>
      </c>
      <c r="E14" s="1797"/>
      <c r="F14" s="364"/>
      <c r="G14" s="1854"/>
      <c r="H14" s="1204" t="s">
        <v>1032</v>
      </c>
      <c r="I14" s="347" t="s">
        <v>1415</v>
      </c>
      <c r="J14" s="24">
        <f ca="1">C29</f>
        <v>85281</v>
      </c>
      <c r="K14" s="15"/>
      <c r="L14" s="982"/>
      <c r="M14" s="983"/>
    </row>
    <row r="15" spans="1:37" s="1861" customFormat="1" ht="18" customHeight="1" thickBot="1">
      <c r="A15" s="1204" t="s">
        <v>1033</v>
      </c>
      <c r="B15" s="347" t="s">
        <v>1416</v>
      </c>
      <c r="C15" s="24">
        <f ca="1">ROUND(C14*F15,0)</f>
        <v>2721</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2041</v>
      </c>
      <c r="K16" s="1340" t="s">
        <v>1421</v>
      </c>
      <c r="L16" s="1341"/>
      <c r="M16" s="1297"/>
    </row>
    <row r="17" spans="1:37" s="1861" customFormat="1" ht="18" customHeight="1">
      <c r="A17" s="1204" t="s">
        <v>1386</v>
      </c>
      <c r="B17" s="347" t="s">
        <v>1422</v>
      </c>
      <c r="C17" s="24">
        <f ca="1">ROUND(F17*(F43+INDIRECT("'数据-取费表'!S"&amp;$G$1))/10000,0)</f>
        <v>3628</v>
      </c>
      <c r="D17" s="347" t="s">
        <v>1423</v>
      </c>
      <c r="E17" s="347" t="s">
        <v>1424</v>
      </c>
      <c r="F17" s="26">
        <f>'数据-取费表'!B35</f>
        <v>200</v>
      </c>
      <c r="G17" s="1857"/>
      <c r="H17" s="1204" t="s">
        <v>1032</v>
      </c>
      <c r="I17" s="347" t="s">
        <v>1425</v>
      </c>
      <c r="J17" s="24">
        <f ca="1">ROUND(IF(项目基本情况!B11="自然人",J5*M17,J18+J19+J20),1)</f>
        <v>761.4</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816</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61591</v>
      </c>
      <c r="D19" s="140" t="s">
        <v>1432</v>
      </c>
      <c r="E19" s="1821"/>
      <c r="F19" s="26"/>
      <c r="G19" s="1854"/>
      <c r="H19" s="1204" t="s">
        <v>1033</v>
      </c>
      <c r="I19" s="347" t="s">
        <v>1433</v>
      </c>
      <c r="J19" s="24">
        <f ca="1">IF(K19="按租金收入计税",ROUND(J5*M19,2),ROUND(C29*M19*0.7,2))</f>
        <v>716.36</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1848</v>
      </c>
      <c r="D20" s="369" t="s">
        <v>1436</v>
      </c>
      <c r="E20" s="347" t="s">
        <v>1418</v>
      </c>
      <c r="F20" s="367">
        <f>'数据-取费表'!B37</f>
        <v>0.03</v>
      </c>
      <c r="G20" s="1857"/>
      <c r="H20" s="1204" t="s">
        <v>1385</v>
      </c>
      <c r="I20" s="164" t="s">
        <v>1437</v>
      </c>
      <c r="J20" s="25">
        <f ca="1">ROUND(M20*M21/10000,2)</f>
        <v>45.05</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1.4999999999999999E-2</v>
      </c>
      <c r="G21" s="1857"/>
      <c r="H21" s="372"/>
      <c r="I21" s="356"/>
      <c r="J21" s="29"/>
      <c r="K21" s="373"/>
      <c r="L21" s="347" t="s">
        <v>1443</v>
      </c>
      <c r="M21" s="348">
        <f ca="1">INDIRECT("'数据-取费表'!r"&amp;$G$1)</f>
        <v>90108.06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1279.2</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3014</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-2041</v>
      </c>
      <c r="K25" s="1348" t="s">
        <v>1460</v>
      </c>
      <c r="L25" s="1349"/>
      <c r="M25" s="1350"/>
    </row>
    <row r="26" spans="1:37">
      <c r="A26" s="1204" t="s">
        <v>1031</v>
      </c>
      <c r="B26" s="347" t="s">
        <v>1461</v>
      </c>
      <c r="C26" s="24">
        <f ca="1">ROUND((C19+C20)*F26,0)</f>
        <v>12688</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85281</v>
      </c>
      <c r="D29" s="1345"/>
      <c r="E29" s="1343"/>
      <c r="F29" s="1346"/>
      <c r="G29" s="1857"/>
      <c r="H29" s="380" t="s">
        <v>1030</v>
      </c>
      <c r="I29" s="381" t="s">
        <v>1475</v>
      </c>
      <c r="J29" s="382">
        <f ca="1">ROUND(J26/(1+F40)^F41,0)</f>
        <v>0</v>
      </c>
      <c r="K29" s="383" t="s">
        <v>1476</v>
      </c>
      <c r="L29" s="384"/>
      <c r="M29" s="385">
        <f ca="1">INDIRECT("'数据-取费表'!k"&amp;$G$1)</f>
        <v>112284.08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4337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2772.5</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839.2</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1888.2</v>
      </c>
      <c r="D33" s="1831" t="s">
        <v>3223</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45.05</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90108.06</v>
      </c>
      <c r="G35" s="1854"/>
      <c r="H35" s="745"/>
      <c r="I35" s="1863"/>
      <c r="J35" s="1864"/>
      <c r="K35" s="1865"/>
      <c r="L35" s="1862"/>
      <c r="M35" s="1862"/>
    </row>
    <row r="36" spans="1:18" ht="18" customHeight="1">
      <c r="A36" s="1355" t="s">
        <v>1036</v>
      </c>
      <c r="B36" s="347" t="s">
        <v>1445</v>
      </c>
      <c r="C36" s="24">
        <f ca="1">ROUND(C29*F36,1)</f>
        <v>1279.2</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127.9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157.4</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11398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297660</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38.6</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26510</v>
      </c>
      <c r="D43" s="383" t="s">
        <v>1484</v>
      </c>
      <c r="E43" s="384" t="s">
        <v>1485</v>
      </c>
      <c r="F43" s="385">
        <f ca="1">INDIRECT("'数据-取费表'!k"&amp;$G$1)</f>
        <v>112284.08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-434481</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3224</v>
      </c>
      <c r="K47" s="1885" t="s">
        <v>1523</v>
      </c>
      <c r="L47" s="1886">
        <f ca="1">INDIRECT("'数据-取费表'!d"&amp;$G$1)</f>
        <v>40</v>
      </c>
      <c r="M47" s="1841" t="str">
        <f>IF(ISNUMBER(FIND("住宅",C1)),"住宅","非住宅")</f>
        <v>非住宅</v>
      </c>
      <c r="O47" s="1887" t="s">
        <v>1037</v>
      </c>
      <c r="P47" s="1888" t="s">
        <v>1524</v>
      </c>
      <c r="Q47" s="1889">
        <f ca="1">C40+J29</f>
        <v>297660</v>
      </c>
      <c r="R47" s="1889" t="s">
        <v>1525</v>
      </c>
    </row>
    <row r="48" spans="1:18" s="1845" customFormat="1" ht="28.5" thickBot="1">
      <c r="A48" s="1363" t="s">
        <v>1132</v>
      </c>
      <c r="B48" s="345" t="s">
        <v>1397</v>
      </c>
      <c r="C48" s="1820">
        <f ca="1">C49+C53+C55</f>
        <v>0</v>
      </c>
      <c r="D48" s="1365"/>
      <c r="E48" s="1366"/>
      <c r="F48" s="1184"/>
      <c r="G48" s="792"/>
      <c r="H48" s="793"/>
      <c r="I48" s="1890" t="s">
        <v>1526</v>
      </c>
      <c r="J48" s="1891" t="s">
        <v>3225</v>
      </c>
      <c r="K48" s="1892" t="s">
        <v>1527</v>
      </c>
      <c r="L48" s="1893">
        <f ca="1">INDIRECT("'数据-取费表'!f"&amp;$G$1)</f>
        <v>40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85281</v>
      </c>
      <c r="R49" s="1889" t="s">
        <v>1525</v>
      </c>
    </row>
    <row r="50" spans="1:18" s="1845" customFormat="1" ht="13.5" thickBot="1">
      <c r="A50" s="1198"/>
      <c r="B50" s="1201"/>
      <c r="C50" s="1371"/>
      <c r="D50" s="1175"/>
      <c r="E50" s="1280" t="s">
        <v>1402</v>
      </c>
      <c r="F50" s="1281">
        <f ca="1">F7</f>
        <v>112284.08</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76350</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38.6</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38.6</v>
      </c>
      <c r="K53" s="3436" t="s">
        <v>1544</v>
      </c>
      <c r="L53" s="3437"/>
      <c r="O53" s="1887" t="s">
        <v>1043</v>
      </c>
      <c r="P53" s="1888" t="s">
        <v>1545</v>
      </c>
      <c r="Q53" s="1889">
        <f ca="1">Q47+Q48</f>
        <v>297660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85281</v>
      </c>
      <c r="D56" s="1917"/>
      <c r="E56" s="1918"/>
      <c r="F56" s="1910"/>
      <c r="I56" s="1919" t="s">
        <v>1550</v>
      </c>
      <c r="J56" s="1920" t="s">
        <v>3132</v>
      </c>
      <c r="K56" s="1890" t="s">
        <v>1551</v>
      </c>
      <c r="L56" s="1893" t="str">
        <f ca="1">IF(L48&lt;J51,"——",L48-J53)</f>
        <v>——</v>
      </c>
      <c r="O56" s="1887" t="s">
        <v>1037</v>
      </c>
      <c r="P56" s="1888" t="s">
        <v>1524</v>
      </c>
      <c r="Q56" s="1889">
        <f ca="1">C40+J29</f>
        <v>297660</v>
      </c>
      <c r="R56" s="1889" t="s">
        <v>1525</v>
      </c>
    </row>
    <row r="57" spans="1:18" s="1845" customFormat="1" ht="24.75" thickBot="1">
      <c r="A57" s="1921"/>
      <c r="B57" s="1172" t="s">
        <v>1474</v>
      </c>
      <c r="C57" s="282">
        <f ca="1">C29</f>
        <v>85281</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8616</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7208.7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7163.6</v>
      </c>
      <c r="D61" s="1831" t="s">
        <v>1434</v>
      </c>
      <c r="E61" s="1172" t="s">
        <v>1490</v>
      </c>
      <c r="F61" s="367">
        <f t="shared" si="0"/>
        <v>0.12</v>
      </c>
      <c r="I61" s="1931"/>
      <c r="J61" s="1931"/>
      <c r="K61" s="1931"/>
      <c r="L61" s="1931"/>
      <c r="O61" s="1897" t="s">
        <v>1042</v>
      </c>
      <c r="P61" s="1888" t="str">
        <f>K59</f>
        <v>续建工期及建筑物耐用年限下的土地年期修正系数Kn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45.05</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297660</v>
      </c>
      <c r="R62" s="1889" t="s">
        <v>1044</v>
      </c>
    </row>
    <row r="63" spans="1:18" s="1845" customFormat="1" ht="13.5" thickBot="1">
      <c r="A63" s="372"/>
      <c r="B63" s="1178"/>
      <c r="C63" s="29"/>
      <c r="D63" s="1188"/>
      <c r="E63" s="1172" t="s">
        <v>1495</v>
      </c>
      <c r="F63" s="348">
        <f t="shared" ca="1" si="0"/>
        <v>90108.06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1279.2</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127.9</v>
      </c>
      <c r="D65" s="1186" t="s">
        <v>1450</v>
      </c>
      <c r="E65" s="1172" t="s">
        <v>1451</v>
      </c>
      <c r="F65" s="376">
        <f t="shared" ca="1" si="0"/>
        <v>1.5E-3</v>
      </c>
      <c r="I65" s="1932" t="s">
        <v>1575</v>
      </c>
      <c r="J65" s="1933">
        <v>40</v>
      </c>
      <c r="K65" s="1933">
        <v>30</v>
      </c>
      <c r="L65" s="1933">
        <v>50</v>
      </c>
      <c r="M65" s="1935">
        <v>0.02</v>
      </c>
      <c r="O65" s="1887" t="s">
        <v>1037</v>
      </c>
      <c r="P65" s="1888" t="s">
        <v>1576</v>
      </c>
      <c r="Q65" s="1889">
        <f ca="1">C40+J29</f>
        <v>297660</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-8616</v>
      </c>
      <c r="D67" s="1185" t="s">
        <v>1460</v>
      </c>
      <c r="E67" s="1190"/>
      <c r="F67" s="1191"/>
      <c r="O67" s="1897" t="s">
        <v>1039</v>
      </c>
      <c r="P67" s="1888" t="s">
        <v>1558</v>
      </c>
      <c r="Q67" s="1936">
        <f ca="1">L51</f>
        <v>76350</v>
      </c>
      <c r="R67" s="1889" t="s">
        <v>1578</v>
      </c>
    </row>
    <row r="68" spans="1:18" s="1845" customFormat="1" ht="16.5" thickBot="1">
      <c r="A68" s="1169" t="s">
        <v>1029</v>
      </c>
      <c r="B68" s="1170" t="s">
        <v>1481</v>
      </c>
      <c r="C68" s="346">
        <f ca="1">ROUND(C67*(1-((1+F70)/(1+F68))^F69)/(F68-F70),0)</f>
        <v>-136821</v>
      </c>
      <c r="D68" s="1187" t="s">
        <v>1465</v>
      </c>
      <c r="E68" s="1172" t="s">
        <v>1466</v>
      </c>
      <c r="F68" s="357">
        <f ca="1">F40</f>
        <v>5.5E-2</v>
      </c>
      <c r="O68" s="1897" t="s">
        <v>1040</v>
      </c>
      <c r="P68" s="1937" t="s">
        <v>1579</v>
      </c>
      <c r="Q68" s="1889">
        <f ca="1">ROUND(Q69-Q70*Q71,0)</f>
        <v>4149</v>
      </c>
      <c r="R68" s="1889" t="s">
        <v>1048</v>
      </c>
    </row>
    <row r="69" spans="1:18" s="1845" customFormat="1" ht="13.5" thickBot="1">
      <c r="A69" s="1173"/>
      <c r="B69" s="1174"/>
      <c r="C69" s="351"/>
      <c r="D69" s="1192" t="s">
        <v>1469</v>
      </c>
      <c r="E69" s="1172" t="s">
        <v>1470</v>
      </c>
      <c r="F69" s="379">
        <f ca="1">F41</f>
        <v>38.6</v>
      </c>
      <c r="O69" s="1897" t="s">
        <v>1045</v>
      </c>
      <c r="P69" s="1937" t="s">
        <v>1580</v>
      </c>
      <c r="Q69" s="1889">
        <f ca="1">C39</f>
        <v>11398</v>
      </c>
      <c r="R69" s="1889" t="s">
        <v>1525</v>
      </c>
    </row>
    <row r="70" spans="1:18" s="1845" customFormat="1" ht="13.5" thickBot="1">
      <c r="A70" s="1176"/>
      <c r="B70" s="1177"/>
      <c r="C70" s="355"/>
      <c r="D70" s="1188"/>
      <c r="E70" s="1172" t="s">
        <v>1473</v>
      </c>
      <c r="F70" s="1278"/>
      <c r="O70" s="1897" t="s">
        <v>1046</v>
      </c>
      <c r="P70" s="1937" t="s">
        <v>1581</v>
      </c>
      <c r="Q70" s="1889">
        <f ca="1">C13</f>
        <v>85281</v>
      </c>
      <c r="R70" s="1889" t="s">
        <v>1525</v>
      </c>
    </row>
    <row r="71" spans="1:18" s="1845" customFormat="1" ht="13.5" thickBot="1">
      <c r="A71" s="1193" t="s">
        <v>1030</v>
      </c>
      <c r="B71" s="1194" t="s">
        <v>1483</v>
      </c>
      <c r="C71" s="382">
        <f ca="1">ROUND(C68*10000/F71,0)</f>
        <v>-12185</v>
      </c>
      <c r="D71" s="1195" t="s">
        <v>1484</v>
      </c>
      <c r="E71" s="1196" t="s">
        <v>1485</v>
      </c>
      <c r="F71" s="385">
        <f ca="1">F43</f>
        <v>112284.08</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续建工期及建筑物耐用年限下的土地年期修正系数Kn</v>
      </c>
      <c r="Q74" s="1889" t="e">
        <f ca="1">L59</f>
        <v>#DIV/0!</v>
      </c>
      <c r="R74" s="1889" t="s">
        <v>1565</v>
      </c>
    </row>
    <row r="75" spans="1:18" ht="13.5" thickBot="1">
      <c r="A75" s="1845"/>
      <c r="B75" s="386" t="s">
        <v>1502</v>
      </c>
      <c r="C75" s="387">
        <f ca="1">ROUND(C13*C76,0)</f>
        <v>7249</v>
      </c>
      <c r="D75" s="1845"/>
      <c r="E75" s="1845"/>
      <c r="F75" s="1845"/>
      <c r="K75" s="1871"/>
      <c r="L75" s="1845"/>
      <c r="O75" s="1887" t="s">
        <v>1043</v>
      </c>
      <c r="P75" s="1888" t="s">
        <v>1545</v>
      </c>
      <c r="Q75" s="1889">
        <f ca="1">Q65+Q66</f>
        <v>297660</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0.36399999999999999</v>
      </c>
    </row>
    <row r="80" spans="1:18">
      <c r="B80" s="386" t="s">
        <v>1507</v>
      </c>
      <c r="C80" s="318">
        <f ca="1">ROUND(C75/C39,3)</f>
        <v>0.63600000000000001</v>
      </c>
    </row>
    <row r="81" spans="2:3">
      <c r="B81" s="314" t="s">
        <v>1508</v>
      </c>
      <c r="C81" s="282"/>
    </row>
    <row r="82" spans="2:3">
      <c r="B82" s="317" t="s">
        <v>1509</v>
      </c>
      <c r="C82" s="319">
        <f ca="1">1-C83</f>
        <v>0.71300000000000008</v>
      </c>
    </row>
    <row r="83" spans="2:3">
      <c r="B83" s="317" t="s">
        <v>1510</v>
      </c>
      <c r="C83" s="318">
        <f ca="1">ROUND(C13/C40,3)</f>
        <v>0.28699999999999998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2" sqref="D2: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3137</v>
      </c>
      <c r="D1" s="1823" t="s">
        <v>3222</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438" t="s">
        <v>1399</v>
      </c>
      <c r="C6" s="1299" t="e">
        <f ca="1">ROUND(F6*F8*F7*(1-F9)/10000,0)</f>
        <v>#N/A</v>
      </c>
      <c r="D6" s="164" t="s">
        <v>3032</v>
      </c>
      <c r="E6" s="347" t="s">
        <v>1401</v>
      </c>
      <c r="F6" s="348" t="e">
        <f ca="1">INDIRECT("'数据-取费表'!u"&amp;$G$1)</f>
        <v>#N/A</v>
      </c>
      <c r="G6" s="1854"/>
      <c r="H6" s="1294" t="s">
        <v>1032</v>
      </c>
      <c r="I6" s="3438" t="s">
        <v>1399</v>
      </c>
      <c r="J6" s="346" t="e">
        <f ca="1">ROUND(M6*M8*M7*(1-M9)/10000,0)</f>
        <v>#N/A</v>
      </c>
      <c r="K6" s="164" t="s">
        <v>3031</v>
      </c>
      <c r="L6" s="347" t="s">
        <v>1401</v>
      </c>
      <c r="M6" s="348" t="e">
        <f ca="1">INDIRECT("'数据-取费表'!z"&amp;$G$1)</f>
        <v>#N/A</v>
      </c>
    </row>
    <row r="7" spans="1:37" ht="18" customHeight="1">
      <c r="A7" s="1298"/>
      <c r="B7" s="3439"/>
      <c r="C7" s="1300"/>
      <c r="D7" s="352"/>
      <c r="E7" s="3122" t="s">
        <v>1402</v>
      </c>
      <c r="F7" s="348" t="e">
        <f ca="1">IF(INDIRECT("'数据-取费表'!ah"&amp;$G$1)="",INDIRECT("'数据-取费表'!k"&amp;$G$1),INDIRECT("'数据-取费表'!ah"&amp;$G$1))</f>
        <v>#N/A</v>
      </c>
      <c r="G7" s="1854"/>
      <c r="H7" s="349"/>
      <c r="I7" s="3439"/>
      <c r="J7" s="351"/>
      <c r="K7" s="352"/>
      <c r="L7" s="347" t="s">
        <v>1402</v>
      </c>
      <c r="M7" s="348" t="e">
        <f ca="1">F7</f>
        <v>#N/A</v>
      </c>
    </row>
    <row r="8" spans="1:37" ht="18" customHeight="1">
      <c r="A8" s="349"/>
      <c r="B8" s="3439"/>
      <c r="C8" s="351"/>
      <c r="D8" s="352"/>
      <c r="E8" s="347" t="s">
        <v>1403</v>
      </c>
      <c r="F8" s="348" t="e">
        <f ca="1">INDIRECT("'数据-取费表'!ai"&amp;$G$1)</f>
        <v>#N/A</v>
      </c>
      <c r="G8" s="1854"/>
      <c r="H8" s="349"/>
      <c r="I8" s="3439"/>
      <c r="J8" s="351"/>
      <c r="K8" s="352"/>
      <c r="L8" s="347" t="s">
        <v>1403</v>
      </c>
      <c r="M8" s="348" t="e">
        <f ca="1">INDIRECT("'数据-取费表'!ai"&amp;$G$1)</f>
        <v>#N/A</v>
      </c>
    </row>
    <row r="9" spans="1:37" ht="18" customHeight="1">
      <c r="A9" s="349"/>
      <c r="B9" s="3440"/>
      <c r="C9" s="351"/>
      <c r="D9" s="352"/>
      <c r="E9" s="347" t="s">
        <v>1404</v>
      </c>
      <c r="F9" s="357" t="e">
        <f ca="1">INDIRECT("'数据-取费表'!w"&amp;$G$1)</f>
        <v>#N/A</v>
      </c>
      <c r="G9" s="1854"/>
      <c r="H9" s="349"/>
      <c r="I9" s="3440"/>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3230</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3125" t="s">
        <v>1414</v>
      </c>
      <c r="E14" s="3124"/>
      <c r="F14" s="364"/>
      <c r="G14" s="1854"/>
      <c r="H14" s="1204" t="s">
        <v>1032</v>
      </c>
      <c r="I14" s="347" t="s">
        <v>1415</v>
      </c>
      <c r="J14" s="24" t="e">
        <f ca="1">C29</f>
        <v>#N/A</v>
      </c>
      <c r="K14" s="3121"/>
      <c r="L14" s="982"/>
      <c r="M14" s="983"/>
    </row>
    <row r="15" spans="1:37" s="1861" customFormat="1" ht="18" customHeight="1" thickBot="1">
      <c r="A15" s="1204" t="s">
        <v>1033</v>
      </c>
      <c r="B15" s="347" t="s">
        <v>1416</v>
      </c>
      <c r="C15" s="24" t="e">
        <f ca="1">ROUND(C14*F15,0)</f>
        <v>#N/A</v>
      </c>
      <c r="D15" s="365" t="s">
        <v>1417</v>
      </c>
      <c r="E15" s="365" t="s">
        <v>1418</v>
      </c>
      <c r="F15" s="366">
        <f>'数据-取费表'!B33</f>
        <v>0.05</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3127"/>
      <c r="M16" s="1297"/>
    </row>
    <row r="17" spans="1:37" s="1861" customFormat="1" ht="18" customHeight="1">
      <c r="A17" s="1204" t="s">
        <v>1386</v>
      </c>
      <c r="B17" s="347" t="s">
        <v>1422</v>
      </c>
      <c r="C17" s="24" t="e">
        <f ca="1">ROUND(F17*(F43+INDIRECT("'数据-取费表'!S"&amp;$G$1))/10000,0)</f>
        <v>#N/A</v>
      </c>
      <c r="D17" s="347" t="s">
        <v>1423</v>
      </c>
      <c r="E17" s="347" t="s">
        <v>1424</v>
      </c>
      <c r="F17" s="26">
        <f>'数据-取费表'!B35</f>
        <v>200</v>
      </c>
      <c r="G17" s="1857"/>
      <c r="H17" s="1204" t="s">
        <v>1032</v>
      </c>
      <c r="I17" s="347" t="s">
        <v>1425</v>
      </c>
      <c r="J17" s="24" t="e">
        <f ca="1">ROUND(IF(项目基本情况!B11="自然人",J5*M17,J18+J19+J20),1)</f>
        <v>#N/A</v>
      </c>
      <c r="K17" s="3125" t="s">
        <v>1426</v>
      </c>
      <c r="L17" s="3126"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3126"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3120"/>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0.03</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1.4999999999999999E-2</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3120"/>
      <c r="F22" s="26"/>
      <c r="G22" s="1854"/>
      <c r="H22" s="1204" t="s">
        <v>1036</v>
      </c>
      <c r="I22" s="347" t="s">
        <v>1445</v>
      </c>
      <c r="J22" s="24" t="e">
        <f ca="1">ROUND(J14*M22,1)</f>
        <v>#N/A</v>
      </c>
      <c r="K22" s="3126"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t="e">
        <f ca="1">ROUND(J13*M23,1)</f>
        <v>#N/A</v>
      </c>
      <c r="K23" s="3126" t="s">
        <v>1450</v>
      </c>
      <c r="L23" s="347" t="s">
        <v>1451</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1451</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3120"/>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3127"/>
      <c r="F30" s="1297"/>
      <c r="G30" s="1854"/>
      <c r="H30" s="745"/>
      <c r="I30" s="746"/>
      <c r="J30" s="747"/>
      <c r="K30" s="748"/>
      <c r="L30" s="749"/>
      <c r="M30" s="750"/>
    </row>
    <row r="31" spans="1:37" ht="18" customHeight="1">
      <c r="A31" s="1204" t="s">
        <v>1032</v>
      </c>
      <c r="B31" s="347" t="s">
        <v>1425</v>
      </c>
      <c r="C31" s="24" t="e">
        <f ca="1">ROUND(IF(项目基本情况!B11="自然人",C5*F31,C32+C33+C34),1)</f>
        <v>#N/A</v>
      </c>
      <c r="D31" s="3125" t="s">
        <v>1426</v>
      </c>
      <c r="E31" s="3126"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3126"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3223</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3126"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3126" t="s">
        <v>1450</v>
      </c>
      <c r="E37" s="347" t="s">
        <v>1451</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1451</v>
      </c>
      <c r="F38" s="1339" t="e">
        <f ca="1">INDIRECT("'数据-取费表'!Am"&amp;$G$1)</f>
        <v>#N/A</v>
      </c>
      <c r="G38" s="1854"/>
      <c r="H38" s="1862"/>
      <c r="I38" s="1863"/>
      <c r="J38" s="1864"/>
      <c r="K38" s="1868"/>
      <c r="L38" s="1862"/>
      <c r="M38" s="1862"/>
    </row>
    <row r="39" spans="1:18" ht="24.6" customHeight="1" thickTop="1">
      <c r="A39" s="1332" t="s">
        <v>1028</v>
      </c>
      <c r="B39" s="1347" t="s">
        <v>1479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3224</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3119" t="e">
        <f ca="1">C49+C53+C55</f>
        <v>#N/A</v>
      </c>
      <c r="D48" s="1365"/>
      <c r="E48" s="1366"/>
      <c r="F48" s="1184"/>
      <c r="G48" s="792"/>
      <c r="H48" s="793"/>
      <c r="I48" s="1890" t="s">
        <v>1526</v>
      </c>
      <c r="J48" s="1891" t="s">
        <v>3225</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60</v>
      </c>
      <c r="K51" s="1903" t="s">
        <v>1537</v>
      </c>
      <c r="L51" s="1904" t="e">
        <f ca="1">ROUND(-PV(INDIRECT("'数据-取费表'!h"&amp;$G$1),L48,(C39-C13*C76),0),0)</f>
        <v>#N/A</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436" t="s">
        <v>1544</v>
      </c>
      <c r="L53" s="3437"/>
      <c r="O53" s="1887" t="s">
        <v>1043</v>
      </c>
      <c r="P53" s="1888" t="s">
        <v>1545</v>
      </c>
      <c r="Q53" s="1889" t="e">
        <f ca="1">Q47+Q48</f>
        <v>#N/A</v>
      </c>
      <c r="R53" s="1889" t="s">
        <v>1044</v>
      </c>
    </row>
    <row r="54" spans="1:18" s="1845" customFormat="1" ht="13.5" thickBot="1">
      <c r="A54" s="1409"/>
      <c r="B54" s="1828" t="s">
        <v>1384</v>
      </c>
      <c r="C54" s="1181"/>
      <c r="D54" s="1827"/>
      <c r="E54" s="3123"/>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3123"/>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3132</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1489</v>
      </c>
      <c r="C61" s="24" t="e">
        <f ca="1">IF(项目基本情况!B11="自然人","——",IF(D61="按租金收入计税",ROUND(C48*F61,2),IF(D61="按房产原值计税",ROUND(C57*F61*0.7,2),INDIRECT("'数据-取费表'!Aj"&amp;$G$1))))</f>
        <v>#N/A</v>
      </c>
      <c r="D61" s="1831" t="s">
        <v>1434</v>
      </c>
      <c r="E61" s="1172" t="s">
        <v>1490</v>
      </c>
      <c r="F61" s="367">
        <f t="shared" si="0"/>
        <v>0.12</v>
      </c>
      <c r="I61" s="1931"/>
      <c r="J61" s="1931"/>
      <c r="K61" s="1931"/>
      <c r="L61" s="1931"/>
      <c r="O61" s="1897" t="s">
        <v>1042</v>
      </c>
      <c r="P61" s="1888" t="str">
        <f>K59</f>
        <v>续建工期及建筑物耐用年限下的土地年期修正系数Kn</v>
      </c>
      <c r="Q61" s="1889" t="e">
        <f ca="1">L59</f>
        <v>#N/A</v>
      </c>
      <c r="R61" s="1889" t="s">
        <v>1565</v>
      </c>
    </row>
    <row r="62" spans="1:18" s="1845" customFormat="1" ht="13.5" thickBot="1">
      <c r="A62" s="1204" t="s">
        <v>1491</v>
      </c>
      <c r="B62" s="1171" t="s">
        <v>1492</v>
      </c>
      <c r="C62" s="25" t="e">
        <f ca="1">IF(项目基本情况!B11="自然人","——",ROUND(F62*F63/10000,2))</f>
        <v>#N/A</v>
      </c>
      <c r="D62" s="1187" t="s">
        <v>1493</v>
      </c>
      <c r="E62" s="1172" t="s">
        <v>1494</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t="e">
        <f ca="1">ROUND(C57*F64,1)</f>
        <v>#N/A</v>
      </c>
      <c r="D64" s="1186" t="s">
        <v>1478</v>
      </c>
      <c r="E64" s="1172" t="s">
        <v>1490</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1451</v>
      </c>
      <c r="F65" s="376" t="e">
        <f t="shared" ca="1" si="0"/>
        <v>#N/A</v>
      </c>
      <c r="I65" s="1932" t="s">
        <v>1575</v>
      </c>
      <c r="J65" s="1933">
        <v>40</v>
      </c>
      <c r="K65" s="1933">
        <v>30</v>
      </c>
      <c r="L65" s="1933">
        <v>50</v>
      </c>
      <c r="M65" s="1935">
        <v>0.02</v>
      </c>
      <c r="O65" s="1887" t="s">
        <v>1037</v>
      </c>
      <c r="P65" s="1888" t="s">
        <v>1576</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续建工期及建筑物耐用年限下的土地年期修正系数Kn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36">
      <c r="A4" s="1951" t="str">
        <f>"受贵公司委托，我公司对"&amp;项目基本情况!S1&amp;"进行了预评估。"</f>
        <v>受贵公司委托，我公司对河北省崇礼县太子城出让国有建设用地使用权及在建建筑物房地产抵押价值进行了预评估。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崇礼县太子城出让国有建设用地使用权及在建建筑物房地产，为中赫所有。根据《国有土地使用证》[]，估价对象（分摊）出让国有建设用地使用权面积为165503平方米，建筑面积为333221.08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崇礼县太子城出让国有建设用地使用权及在建建筑物房地产,为中赫开发建设的商业项目，该项目尚在开发建设中。根据《国有土地使用证》[]，估价对象（分摊）出让国有建设用地使用权面积为165503平方米，规划建筑面积为333221.08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河北省崇礼县太子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2019年2月20日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20日，估价对象规划用途为，土地取得方式为出让，出让国有建设用地使用权剩余土地使用年限为商业40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商业40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438" t="s">
        <v>1399</v>
      </c>
      <c r="C6" s="1299">
        <f ca="1">ROUND(F6*F8*F7*(1-F9),0)</f>
        <v>0</v>
      </c>
      <c r="D6" s="164" t="s">
        <v>3029</v>
      </c>
      <c r="E6" s="347" t="s">
        <v>1401</v>
      </c>
      <c r="F6" s="348">
        <f ca="1">INDIRECT("'数据-取费表'!u"&amp;$G$1)</f>
        <v>0</v>
      </c>
      <c r="G6" s="1854"/>
      <c r="H6" s="1294" t="s">
        <v>1032</v>
      </c>
      <c r="I6" s="3438" t="s">
        <v>1399</v>
      </c>
      <c r="J6" s="346">
        <f ca="1">ROUND(M6*M8*M7*(1-M9),0)</f>
        <v>0</v>
      </c>
      <c r="K6" s="1837" t="s">
        <v>3030</v>
      </c>
      <c r="L6" s="347" t="s">
        <v>1401</v>
      </c>
      <c r="M6" s="348">
        <f ca="1">INDIRECT("'数据-取费表'!z"&amp;$G$1)</f>
        <v>0</v>
      </c>
    </row>
    <row r="7" spans="1:37" ht="18" customHeight="1">
      <c r="A7" s="1298"/>
      <c r="B7" s="3439"/>
      <c r="C7" s="1300"/>
      <c r="D7" s="352"/>
      <c r="E7" s="1301" t="s">
        <v>1402</v>
      </c>
      <c r="F7" s="348">
        <f ca="1">IF(INDIRECT("'数据-取费表'!ah"&amp;$G$1)="",INDIRECT("'数据-取费表'!k"&amp;$G$1),INDIRECT("'数据-取费表'!ah"&amp;$G$1))</f>
        <v>0</v>
      </c>
      <c r="G7" s="1854"/>
      <c r="H7" s="349"/>
      <c r="I7" s="3439"/>
      <c r="J7" s="351"/>
      <c r="K7" s="352"/>
      <c r="L7" s="347" t="s">
        <v>1402</v>
      </c>
      <c r="M7" s="348">
        <f ca="1">F7</f>
        <v>0</v>
      </c>
    </row>
    <row r="8" spans="1:37" ht="18" customHeight="1">
      <c r="A8" s="349"/>
      <c r="B8" s="3439"/>
      <c r="C8" s="351"/>
      <c r="D8" s="352"/>
      <c r="E8" s="347" t="s">
        <v>1403</v>
      </c>
      <c r="F8" s="348">
        <f ca="1">INDIRECT("'数据-取费表'!ai"&amp;$G$1)</f>
        <v>0</v>
      </c>
      <c r="G8" s="1854"/>
      <c r="H8" s="349"/>
      <c r="I8" s="3439"/>
      <c r="J8" s="351"/>
      <c r="K8" s="352"/>
      <c r="L8" s="347" t="s">
        <v>1403</v>
      </c>
      <c r="M8" s="348">
        <f ca="1">INDIRECT("'数据-取费表'!ai"&amp;$G$1)</f>
        <v>0</v>
      </c>
    </row>
    <row r="9" spans="1:37" ht="18" customHeight="1">
      <c r="A9" s="349"/>
      <c r="B9" s="3440"/>
      <c r="C9" s="351"/>
      <c r="D9" s="352"/>
      <c r="E9" s="347" t="s">
        <v>1404</v>
      </c>
      <c r="F9" s="357">
        <f ca="1">INDIRECT("'数据-取费表'!w"&amp;$G$1)</f>
        <v>0</v>
      </c>
      <c r="G9" s="1854"/>
      <c r="H9" s="349"/>
      <c r="I9" s="344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1.4999999999999999E-2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436" t="s">
        <v>1544</v>
      </c>
      <c r="L53" s="3437"/>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2525</v>
      </c>
      <c r="B1" s="2565"/>
      <c r="C1" s="2565"/>
      <c r="D1" s="2565"/>
      <c r="E1" s="2566"/>
    </row>
    <row r="2" spans="1:6" ht="15.75">
      <c r="A2" s="2567" t="s">
        <v>2329</v>
      </c>
      <c r="B2" s="2568">
        <f ca="1">SUMIF(B6:B13,"&lt;&gt;#ref!",B6:B13)</f>
        <v>297660</v>
      </c>
      <c r="C2" s="2569" t="s">
        <v>2518</v>
      </c>
      <c r="D2" s="2570" t="s">
        <v>2519</v>
      </c>
      <c r="E2" s="2571">
        <f>SUM(E6:E13)</f>
        <v>181422.11</v>
      </c>
    </row>
    <row r="3" spans="1:6" ht="15.75">
      <c r="A3" s="2567" t="s">
        <v>1391</v>
      </c>
      <c r="B3" s="2568">
        <f ca="1">ROUND(B2*10000/E2,0)</f>
        <v>16407</v>
      </c>
      <c r="C3" s="2569" t="s">
        <v>2526</v>
      </c>
      <c r="D3" s="2572"/>
      <c r="E3" s="2573"/>
    </row>
    <row r="4" spans="1:6" ht="15.75">
      <c r="A4" s="2574"/>
      <c r="B4" s="2572"/>
      <c r="C4" s="2572"/>
      <c r="D4" s="2572"/>
      <c r="E4" s="2573"/>
    </row>
    <row r="5" spans="1:6" ht="15">
      <c r="A5" s="2575" t="s">
        <v>2520</v>
      </c>
      <c r="B5" s="3441" t="s">
        <v>2521</v>
      </c>
      <c r="C5" s="3441"/>
      <c r="D5" s="2576"/>
      <c r="E5" s="2577" t="s">
        <v>2522</v>
      </c>
      <c r="F5" s="2578" t="s">
        <v>2523</v>
      </c>
    </row>
    <row r="6" spans="1:6">
      <c r="A6" s="2579" t="str">
        <f>'数据-取费表'!AN6</f>
        <v>收益法</v>
      </c>
      <c r="B6" s="2578">
        <f ca="1">IF(F6="是",'数据-取费表'!AO6,0)</f>
        <v>297660</v>
      </c>
      <c r="C6" s="2569" t="s">
        <v>2518</v>
      </c>
      <c r="D6" s="2572"/>
      <c r="E6" s="2580">
        <f>IF(OR(A6=0,F6="否"),0,'数据-取费表'!K6+'数据-取费表'!S6)</f>
        <v>181422.11</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42" t="s">
        <v>1073</v>
      </c>
      <c r="B1" s="3443"/>
      <c r="C1" s="3444"/>
      <c r="D1" s="3445">
        <f>SUM(I10,I15,I20,I21,I23)</f>
        <v>0</v>
      </c>
      <c r="E1" s="3445"/>
      <c r="F1" s="3445"/>
      <c r="G1" s="3445"/>
      <c r="H1" s="3445"/>
      <c r="I1" s="3446"/>
    </row>
    <row r="2" spans="1:9">
      <c r="A2" s="3447" t="s">
        <v>1074</v>
      </c>
      <c r="B2" s="3448" t="s">
        <v>1075</v>
      </c>
      <c r="C2" s="3448"/>
      <c r="D2" s="1304" t="s">
        <v>1076</v>
      </c>
      <c r="E2" s="1304" t="s">
        <v>1077</v>
      </c>
      <c r="F2" s="1304" t="s">
        <v>1078</v>
      </c>
      <c r="G2" s="1304" t="s">
        <v>1079</v>
      </c>
      <c r="H2" s="1304" t="s">
        <v>1080</v>
      </c>
      <c r="I2" s="1305" t="s">
        <v>1081</v>
      </c>
    </row>
    <row r="3" spans="1:9">
      <c r="A3" s="3447"/>
      <c r="B3" s="3448" t="s">
        <v>1082</v>
      </c>
      <c r="C3" s="3448"/>
      <c r="D3" s="1306"/>
      <c r="E3" s="1304"/>
      <c r="F3" s="1307"/>
      <c r="G3" s="1307"/>
      <c r="H3" s="1308"/>
      <c r="I3" s="1309">
        <f>ROUND(D3*E3*F3*G3*H3/10000,0)</f>
        <v>0</v>
      </c>
    </row>
    <row r="4" spans="1:9">
      <c r="A4" s="3447"/>
      <c r="B4" s="3448" t="s">
        <v>1083</v>
      </c>
      <c r="C4" s="3448"/>
      <c r="D4" s="1306"/>
      <c r="E4" s="1304"/>
      <c r="F4" s="1307"/>
      <c r="G4" s="1307"/>
      <c r="H4" s="1308"/>
      <c r="I4" s="1309">
        <f t="shared" ref="I4:I9" si="0">ROUND(D4*E4*F4*G4*H4/10000,0)</f>
        <v>0</v>
      </c>
    </row>
    <row r="5" spans="1:9">
      <c r="A5" s="3447"/>
      <c r="B5" s="3448" t="s">
        <v>1084</v>
      </c>
      <c r="C5" s="3448"/>
      <c r="D5" s="1306"/>
      <c r="E5" s="1304"/>
      <c r="F5" s="1307"/>
      <c r="G5" s="1307"/>
      <c r="H5" s="1308"/>
      <c r="I5" s="1309">
        <f t="shared" si="0"/>
        <v>0</v>
      </c>
    </row>
    <row r="6" spans="1:9">
      <c r="A6" s="3447"/>
      <c r="B6" s="3448" t="s">
        <v>1085</v>
      </c>
      <c r="C6" s="3448"/>
      <c r="D6" s="1306"/>
      <c r="E6" s="1304"/>
      <c r="F6" s="1307"/>
      <c r="G6" s="1307"/>
      <c r="H6" s="1308"/>
      <c r="I6" s="1309">
        <f t="shared" si="0"/>
        <v>0</v>
      </c>
    </row>
    <row r="7" spans="1:9">
      <c r="A7" s="3447"/>
      <c r="B7" s="3448" t="s">
        <v>1086</v>
      </c>
      <c r="C7" s="3448"/>
      <c r="D7" s="1306"/>
      <c r="E7" s="1304"/>
      <c r="F7" s="1307"/>
      <c r="G7" s="1307"/>
      <c r="H7" s="1308"/>
      <c r="I7" s="1309">
        <f t="shared" si="0"/>
        <v>0</v>
      </c>
    </row>
    <row r="8" spans="1:9">
      <c r="A8" s="3447"/>
      <c r="B8" s="3448" t="s">
        <v>1087</v>
      </c>
      <c r="C8" s="3448"/>
      <c r="D8" s="1306"/>
      <c r="E8" s="1304"/>
      <c r="F8" s="1307"/>
      <c r="G8" s="1307"/>
      <c r="H8" s="1308"/>
      <c r="I8" s="1309">
        <f t="shared" si="0"/>
        <v>0</v>
      </c>
    </row>
    <row r="9" spans="1:9">
      <c r="A9" s="3447"/>
      <c r="B9" s="3448" t="s">
        <v>1088</v>
      </c>
      <c r="C9" s="3448"/>
      <c r="D9" s="1306"/>
      <c r="E9" s="1304"/>
      <c r="F9" s="1307"/>
      <c r="G9" s="1307"/>
      <c r="H9" s="1308"/>
      <c r="I9" s="1309">
        <f t="shared" si="0"/>
        <v>0</v>
      </c>
    </row>
    <row r="10" spans="1:9">
      <c r="A10" s="3447"/>
      <c r="B10" s="3449" t="s">
        <v>1089</v>
      </c>
      <c r="C10" s="3449"/>
      <c r="D10" s="1310"/>
      <c r="E10" s="1310" t="e">
        <f>ROUND(D1*10000/D10/H9,0)</f>
        <v>#DIV/0!</v>
      </c>
      <c r="F10" s="1311"/>
      <c r="G10" s="1311"/>
      <c r="H10" s="1312"/>
      <c r="I10" s="1313">
        <f>SUM(I3:I9)</f>
        <v>0</v>
      </c>
    </row>
    <row r="11" spans="1:9" ht="14.25">
      <c r="A11" s="3447" t="s">
        <v>1090</v>
      </c>
      <c r="B11" s="3448" t="s">
        <v>1091</v>
      </c>
      <c r="C11" s="3448"/>
      <c r="D11" s="1306" t="s">
        <v>1092</v>
      </c>
      <c r="E11" s="1306" t="s">
        <v>1093</v>
      </c>
      <c r="F11" s="1307" t="s">
        <v>1094</v>
      </c>
      <c r="G11" s="1307" t="s">
        <v>1080</v>
      </c>
      <c r="H11" s="1314" t="s">
        <v>1095</v>
      </c>
      <c r="I11" s="1305" t="s">
        <v>1081</v>
      </c>
    </row>
    <row r="12" spans="1:9">
      <c r="A12" s="3447"/>
      <c r="B12" s="3448" t="s">
        <v>1096</v>
      </c>
      <c r="C12" s="3448"/>
      <c r="D12" s="1306"/>
      <c r="E12" s="1306"/>
      <c r="F12" s="1307"/>
      <c r="G12" s="1308"/>
      <c r="H12" s="1315"/>
      <c r="I12" s="1305">
        <f>ROUND(D12*E12*F12*G12/10000,0)</f>
        <v>0</v>
      </c>
    </row>
    <row r="13" spans="1:9">
      <c r="A13" s="3447"/>
      <c r="B13" s="3448" t="s">
        <v>1097</v>
      </c>
      <c r="C13" s="3448"/>
      <c r="D13" s="1306"/>
      <c r="E13" s="1306"/>
      <c r="F13" s="1307"/>
      <c r="G13" s="1308"/>
      <c r="H13" s="1315"/>
      <c r="I13" s="1305">
        <f>ROUND(D13*E13*F13*G13/10000,0)</f>
        <v>0</v>
      </c>
    </row>
    <row r="14" spans="1:9">
      <c r="A14" s="3447"/>
      <c r="B14" s="3448" t="s">
        <v>1098</v>
      </c>
      <c r="C14" s="3448"/>
      <c r="D14" s="1306"/>
      <c r="E14" s="1306"/>
      <c r="F14" s="1307"/>
      <c r="G14" s="1308"/>
      <c r="H14" s="1315"/>
      <c r="I14" s="1305">
        <f>ROUND(D14*E14*F14*G14/10000,0)</f>
        <v>0</v>
      </c>
    </row>
    <row r="15" spans="1:9">
      <c r="A15" s="3447"/>
      <c r="B15" s="3449" t="s">
        <v>1089</v>
      </c>
      <c r="C15" s="3449"/>
      <c r="D15" s="1310"/>
      <c r="E15" s="1310">
        <f>SUM(E12:E14)</f>
        <v>0</v>
      </c>
      <c r="F15" s="1311"/>
      <c r="G15" s="1308"/>
      <c r="H15" s="1315"/>
      <c r="I15" s="1316">
        <f>SUM(I12:I14)</f>
        <v>0</v>
      </c>
    </row>
    <row r="16" spans="1:9" ht="24">
      <c r="A16" s="3447" t="s">
        <v>1099</v>
      </c>
      <c r="B16" s="3448" t="s">
        <v>1100</v>
      </c>
      <c r="C16" s="3448"/>
      <c r="D16" s="1306" t="s">
        <v>1076</v>
      </c>
      <c r="E16" s="1317" t="s">
        <v>1101</v>
      </c>
      <c r="F16" s="1307" t="s">
        <v>1102</v>
      </c>
      <c r="G16" s="1308" t="s">
        <v>1080</v>
      </c>
      <c r="H16" s="1314" t="s">
        <v>1095</v>
      </c>
      <c r="I16" s="1305" t="s">
        <v>1081</v>
      </c>
    </row>
    <row r="17" spans="1:9" ht="14.25">
      <c r="A17" s="3447"/>
      <c r="B17" s="3448" t="s">
        <v>1103</v>
      </c>
      <c r="C17" s="3448"/>
      <c r="D17" s="1306"/>
      <c r="E17" s="1306"/>
      <c r="F17" s="1307"/>
      <c r="G17" s="1308"/>
      <c r="H17" s="1318"/>
      <c r="I17" s="1319">
        <f>ROUND(D17*E17*F17*G17/10000,0)</f>
        <v>0</v>
      </c>
    </row>
    <row r="18" spans="1:9" ht="14.25">
      <c r="A18" s="3447"/>
      <c r="B18" s="3448" t="s">
        <v>1104</v>
      </c>
      <c r="C18" s="3448"/>
      <c r="D18" s="1306"/>
      <c r="E18" s="1306"/>
      <c r="F18" s="1307"/>
      <c r="G18" s="1308"/>
      <c r="H18" s="1318"/>
      <c r="I18" s="1319">
        <f>ROUND(D18*E18*F18*G18/10000,0)</f>
        <v>0</v>
      </c>
    </row>
    <row r="19" spans="1:9" ht="14.25">
      <c r="A19" s="3447"/>
      <c r="B19" s="3448" t="s">
        <v>1105</v>
      </c>
      <c r="C19" s="3448"/>
      <c r="D19" s="1306"/>
      <c r="E19" s="1306"/>
      <c r="F19" s="1307"/>
      <c r="G19" s="1308"/>
      <c r="H19" s="1318"/>
      <c r="I19" s="1319">
        <f>ROUND(D19*E19*F19*G19/10000,0)</f>
        <v>0</v>
      </c>
    </row>
    <row r="20" spans="1:9">
      <c r="A20" s="3447"/>
      <c r="B20" s="3449" t="s">
        <v>1089</v>
      </c>
      <c r="C20" s="3449"/>
      <c r="D20" s="1310">
        <f>SUM(D17:D19)</f>
        <v>0</v>
      </c>
      <c r="E20" s="1310"/>
      <c r="F20" s="1311"/>
      <c r="G20" s="1308"/>
      <c r="H20" s="1315"/>
      <c r="I20" s="1316">
        <f>SUM(I17:I19)</f>
        <v>0</v>
      </c>
    </row>
    <row r="21" spans="1:9">
      <c r="A21" s="3447" t="s">
        <v>1106</v>
      </c>
      <c r="B21" s="3451"/>
      <c r="C21" s="3451"/>
      <c r="D21" s="3451"/>
      <c r="E21" s="3451"/>
      <c r="F21" s="3451"/>
      <c r="G21" s="3451"/>
      <c r="H21" s="1768">
        <v>0.1</v>
      </c>
      <c r="I21" s="1313">
        <f>ROUND(I10*H21,0)</f>
        <v>0</v>
      </c>
    </row>
    <row r="22" spans="1:9" ht="14.25">
      <c r="A22" s="3452" t="s">
        <v>1107</v>
      </c>
      <c r="B22" s="3453"/>
      <c r="C22" s="3454"/>
      <c r="D22" s="1320" t="s">
        <v>1108</v>
      </c>
      <c r="E22" s="1320" t="s">
        <v>1109</v>
      </c>
      <c r="F22" s="1321" t="s">
        <v>1110</v>
      </c>
      <c r="G22" s="1321" t="s">
        <v>1111</v>
      </c>
      <c r="H22" s="1314" t="s">
        <v>1112</v>
      </c>
      <c r="I22" s="1305" t="s">
        <v>1113</v>
      </c>
    </row>
    <row r="23" spans="1:9" ht="14.25" thickBot="1">
      <c r="A23" s="3455"/>
      <c r="B23" s="3456"/>
      <c r="C23" s="3457"/>
      <c r="D23" s="1322"/>
      <c r="E23" s="1322"/>
      <c r="F23" s="1322"/>
      <c r="G23" s="1323"/>
      <c r="H23" s="1324"/>
      <c r="I23" s="1325">
        <f>ROUND(E23*D23*F23*(1-G23)/10000,0)</f>
        <v>0</v>
      </c>
    </row>
    <row r="26" spans="1:9">
      <c r="A26" s="1326" t="s">
        <v>1114</v>
      </c>
      <c r="B26" s="1326"/>
      <c r="C26" s="1326"/>
      <c r="D26" s="1326"/>
      <c r="E26" s="3458">
        <f>C27-C30-C31-C32</f>
        <v>0</v>
      </c>
      <c r="F26" s="3458"/>
      <c r="G26" s="3458"/>
      <c r="H26" s="1740" t="s">
        <v>1336</v>
      </c>
    </row>
    <row r="27" spans="1:9">
      <c r="A27" s="1327">
        <v>1</v>
      </c>
      <c r="B27" s="1328" t="s">
        <v>1115</v>
      </c>
      <c r="C27" s="1328">
        <f>C28+C29</f>
        <v>0</v>
      </c>
      <c r="D27" s="1328"/>
      <c r="E27" s="3459"/>
      <c r="F27" s="3459"/>
      <c r="G27" s="3459"/>
    </row>
    <row r="28" spans="1:9">
      <c r="A28" s="1329" t="s">
        <v>1116</v>
      </c>
      <c r="B28" s="1328" t="s">
        <v>1117</v>
      </c>
      <c r="C28" s="1328"/>
      <c r="D28" s="1328"/>
      <c r="E28" s="3459"/>
      <c r="F28" s="3459"/>
      <c r="G28" s="345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450"/>
      <c r="F32" s="3450"/>
      <c r="G32" s="3450"/>
    </row>
    <row r="33" spans="1:7" hidden="1">
      <c r="A33" s="3460" t="s">
        <v>1126</v>
      </c>
      <c r="B33" s="3461"/>
      <c r="C33" s="3461"/>
      <c r="D33" s="3462"/>
      <c r="E33" s="3458"/>
      <c r="F33" s="3458"/>
      <c r="G33" s="3458"/>
    </row>
    <row r="34" spans="1:7" hidden="1">
      <c r="A34" s="1331">
        <v>1</v>
      </c>
      <c r="B34" s="1328" t="s">
        <v>1127</v>
      </c>
      <c r="C34" s="1328"/>
      <c r="D34" s="1328"/>
      <c r="E34" s="3459"/>
      <c r="F34" s="3459"/>
      <c r="G34" s="3459"/>
    </row>
    <row r="35" spans="1:7" hidden="1">
      <c r="A35" s="1331">
        <v>2</v>
      </c>
      <c r="B35" s="1328" t="s">
        <v>1128</v>
      </c>
      <c r="C35" s="1328"/>
      <c r="D35" s="1328"/>
      <c r="E35" s="3459"/>
      <c r="F35" s="3459"/>
      <c r="G35" s="3459"/>
    </row>
    <row r="36" spans="1:7" hidden="1">
      <c r="A36" s="1331">
        <v>3</v>
      </c>
      <c r="B36" s="1328" t="s">
        <v>1129</v>
      </c>
      <c r="C36" s="1328"/>
      <c r="D36" s="1328"/>
      <c r="E36" s="3459"/>
      <c r="F36" s="3459"/>
      <c r="G36" s="3459"/>
    </row>
    <row r="37" spans="1:7" hidden="1">
      <c r="A37" s="1331">
        <v>4</v>
      </c>
      <c r="B37" s="1328" t="s">
        <v>1130</v>
      </c>
      <c r="C37" s="1328"/>
      <c r="D37" s="1328"/>
      <c r="E37" s="3459"/>
      <c r="F37" s="3459"/>
      <c r="G37" s="3459"/>
    </row>
    <row r="38" spans="1:7" hidden="1">
      <c r="A38" s="3460" t="s">
        <v>1131</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2641</v>
      </c>
      <c r="C1" s="1637" t="s">
        <v>2529</v>
      </c>
      <c r="D1" s="1624"/>
      <c r="E1" s="2657"/>
      <c r="F1" s="2587"/>
      <c r="G1" s="1634" t="s">
        <v>2642</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2329</v>
      </c>
      <c r="B2" s="1421" t="e">
        <f ca="1">IF(C2="——",ROUND(C49*D3/10000,0),ROUND(C49*D3/10000,0)-D2)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2331</v>
      </c>
      <c r="B3" s="609" t="e">
        <f ca="1">IF(C2="——",C49,ROUND(B2*10000/D3,0))</f>
        <v>#DIV/0!</v>
      </c>
      <c r="C3" s="400" t="s">
        <v>2643</v>
      </c>
      <c r="D3" s="399">
        <f>IF(D1="",'数据-汇总表'!E3,SUMIF('数据-汇总表'!$C19:$C33,D1,'数据-汇总表'!$E19:$E33))</f>
        <v>333221.08</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2644</v>
      </c>
      <c r="B4" s="402"/>
      <c r="C4" s="3401" t="s">
        <v>2645</v>
      </c>
      <c r="D4" s="3402"/>
      <c r="E4" s="3403" t="s">
        <v>2646</v>
      </c>
      <c r="F4" s="3404"/>
      <c r="G4" s="3401" t="s">
        <v>2647</v>
      </c>
      <c r="H4" s="3402"/>
      <c r="I4" s="3401" t="s">
        <v>2648</v>
      </c>
      <c r="J4" s="3402"/>
      <c r="K4" s="610" t="s">
        <v>2649</v>
      </c>
      <c r="L4" s="1133"/>
      <c r="M4" s="1134"/>
      <c r="N4" s="1134"/>
      <c r="O4" s="1134"/>
      <c r="P4" s="3405" t="s">
        <v>2650</v>
      </c>
      <c r="Q4" s="3406"/>
      <c r="R4" s="3388" t="s">
        <v>2646</v>
      </c>
      <c r="S4" s="3389"/>
      <c r="T4" s="3388" t="s">
        <v>2647</v>
      </c>
      <c r="U4" s="3389"/>
      <c r="V4" s="3413" t="s">
        <v>2648</v>
      </c>
      <c r="W4" s="3413"/>
      <c r="X4" s="1816"/>
      <c r="Y4" s="3388" t="s">
        <v>2650</v>
      </c>
      <c r="Z4" s="3389"/>
      <c r="AA4" s="3383" t="s">
        <v>2646</v>
      </c>
      <c r="AB4" s="3413" t="s">
        <v>2647</v>
      </c>
      <c r="AC4" s="3383" t="s">
        <v>2648</v>
      </c>
    </row>
    <row r="5" spans="1:29" ht="15">
      <c r="A5" s="404"/>
      <c r="B5" s="405"/>
      <c r="C5" s="3394" t="s">
        <v>2541</v>
      </c>
      <c r="D5" s="3395"/>
      <c r="E5" s="3392" t="s">
        <v>2542</v>
      </c>
      <c r="F5" s="3393"/>
      <c r="G5" s="3394" t="s">
        <v>2543</v>
      </c>
      <c r="H5" s="3395"/>
      <c r="I5" s="3394" t="s">
        <v>2544</v>
      </c>
      <c r="J5" s="3395"/>
      <c r="K5" s="610"/>
      <c r="L5" s="1133"/>
      <c r="M5" s="1134"/>
      <c r="N5" s="1134"/>
      <c r="O5" s="1134"/>
      <c r="P5" s="3407"/>
      <c r="Q5" s="3408"/>
      <c r="R5" s="3390"/>
      <c r="S5" s="3391"/>
      <c r="T5" s="3390"/>
      <c r="U5" s="3391"/>
      <c r="V5" s="3413"/>
      <c r="W5" s="3413"/>
      <c r="X5" s="1816"/>
      <c r="Y5" s="3390"/>
      <c r="Z5" s="3391"/>
      <c r="AA5" s="3384"/>
      <c r="AB5" s="3413"/>
      <c r="AC5" s="3384"/>
    </row>
    <row r="6" spans="1:29" ht="15.75" thickBot="1">
      <c r="A6" s="406"/>
      <c r="B6" s="407"/>
      <c r="C6" s="3396" t="s">
        <v>2545</v>
      </c>
      <c r="D6" s="3397"/>
      <c r="E6" s="3398" t="s">
        <v>2545</v>
      </c>
      <c r="F6" s="3399"/>
      <c r="G6" s="3396" t="s">
        <v>2545</v>
      </c>
      <c r="H6" s="3397"/>
      <c r="I6" s="3396" t="s">
        <v>2545</v>
      </c>
      <c r="J6" s="3397"/>
      <c r="K6" s="610" t="s">
        <v>2546</v>
      </c>
      <c r="L6" s="1133"/>
      <c r="M6" s="1134"/>
      <c r="N6" s="1134"/>
      <c r="O6" s="1134"/>
      <c r="P6" s="3409"/>
      <c r="Q6" s="3410"/>
      <c r="R6" s="3390"/>
      <c r="S6" s="3391"/>
      <c r="T6" s="3411"/>
      <c r="U6" s="3412"/>
      <c r="V6" s="3413"/>
      <c r="W6" s="3413"/>
      <c r="X6" s="1816"/>
      <c r="Y6" s="3411"/>
      <c r="Z6" s="3412"/>
      <c r="AA6" s="3385"/>
      <c r="AB6" s="3413"/>
      <c r="AC6" s="3385"/>
    </row>
    <row r="7" spans="1:29" s="117" customFormat="1" ht="15.75" thickBot="1">
      <c r="A7" s="408" t="s">
        <v>2547</v>
      </c>
      <c r="B7" s="409"/>
      <c r="C7" s="410">
        <f>'数据-取费表'!B2</f>
        <v>43516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386" t="s">
        <v>2548</v>
      </c>
      <c r="Q7" s="3414"/>
      <c r="R7" s="770" t="s">
        <v>17</v>
      </c>
      <c r="S7" s="771">
        <f t="shared" ref="S7:S15" si="0">F7</f>
        <v>0</v>
      </c>
      <c r="T7" s="770" t="s">
        <v>17</v>
      </c>
      <c r="U7" s="771">
        <f t="shared" ref="U7:U15" si="1">H7</f>
        <v>0</v>
      </c>
      <c r="V7" s="770" t="s">
        <v>17</v>
      </c>
      <c r="W7" s="771">
        <f t="shared" ref="W7:W15" si="2">J7</f>
        <v>0</v>
      </c>
      <c r="X7" s="772"/>
      <c r="Y7" s="3386" t="s">
        <v>2548</v>
      </c>
      <c r="Z7" s="3387"/>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386" t="s">
        <v>2551</v>
      </c>
      <c r="Q8" s="3387"/>
      <c r="R8" s="770" t="s">
        <v>17</v>
      </c>
      <c r="S8" s="771">
        <f t="shared" si="0"/>
        <v>0</v>
      </c>
      <c r="T8" s="770" t="s">
        <v>17</v>
      </c>
      <c r="U8" s="771">
        <f t="shared" si="1"/>
        <v>0</v>
      </c>
      <c r="V8" s="770" t="s">
        <v>17</v>
      </c>
      <c r="W8" s="771">
        <f t="shared" si="2"/>
        <v>0</v>
      </c>
      <c r="X8" s="772"/>
      <c r="Y8" s="3386" t="s">
        <v>2551</v>
      </c>
      <c r="Z8" s="3387"/>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424" t="s">
        <v>2554</v>
      </c>
      <c r="Q9" s="1798" t="str">
        <f t="shared" ref="Q9:Q15" si="6">B9</f>
        <v>用途</v>
      </c>
      <c r="R9" s="770" t="s">
        <v>17</v>
      </c>
      <c r="S9" s="771">
        <f t="shared" si="0"/>
        <v>100</v>
      </c>
      <c r="T9" s="770" t="s">
        <v>17</v>
      </c>
      <c r="U9" s="771">
        <f t="shared" si="1"/>
        <v>100</v>
      </c>
      <c r="V9" s="770" t="s">
        <v>17</v>
      </c>
      <c r="W9" s="771">
        <f t="shared" si="2"/>
        <v>100</v>
      </c>
      <c r="X9" s="772"/>
      <c r="Y9" s="319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424"/>
      <c r="Q10" s="1798" t="str">
        <f t="shared" si="6"/>
        <v>土地使用年限（年）</v>
      </c>
      <c r="R10" s="770" t="s">
        <v>17</v>
      </c>
      <c r="S10" s="771">
        <f t="shared" si="0"/>
        <v>100</v>
      </c>
      <c r="T10" s="770" t="s">
        <v>17</v>
      </c>
      <c r="U10" s="771">
        <f t="shared" si="1"/>
        <v>100</v>
      </c>
      <c r="V10" s="770" t="s">
        <v>17</v>
      </c>
      <c r="W10" s="771">
        <f t="shared" si="2"/>
        <v>100</v>
      </c>
      <c r="X10" s="772"/>
      <c r="Y10" s="3199"/>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424"/>
      <c r="Q11" s="1798" t="str">
        <f t="shared" si="6"/>
        <v>容积率</v>
      </c>
      <c r="R11" s="770" t="s">
        <v>17</v>
      </c>
      <c r="S11" s="771" t="e">
        <f t="shared" si="0"/>
        <v>#N/A</v>
      </c>
      <c r="T11" s="770" t="s">
        <v>17</v>
      </c>
      <c r="U11" s="771" t="e">
        <f t="shared" si="1"/>
        <v>#N/A</v>
      </c>
      <c r="V11" s="770" t="s">
        <v>17</v>
      </c>
      <c r="W11" s="771" t="e">
        <f t="shared" si="2"/>
        <v>#N/A</v>
      </c>
      <c r="X11" s="772"/>
      <c r="Y11" s="319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424"/>
      <c r="Q12" s="1798">
        <f t="shared" si="6"/>
        <v>111</v>
      </c>
      <c r="R12" s="770" t="s">
        <v>17</v>
      </c>
      <c r="S12" s="771">
        <f t="shared" si="0"/>
        <v>100</v>
      </c>
      <c r="T12" s="770" t="s">
        <v>17</v>
      </c>
      <c r="U12" s="771">
        <f t="shared" si="1"/>
        <v>100</v>
      </c>
      <c r="V12" s="770" t="s">
        <v>17</v>
      </c>
      <c r="W12" s="771">
        <f t="shared" si="2"/>
        <v>100</v>
      </c>
      <c r="X12" s="772"/>
      <c r="Y12" s="3199"/>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424"/>
      <c r="Q13" s="1798">
        <f t="shared" si="6"/>
        <v>111</v>
      </c>
      <c r="R13" s="770" t="s">
        <v>17</v>
      </c>
      <c r="S13" s="771">
        <f t="shared" si="0"/>
        <v>100</v>
      </c>
      <c r="T13" s="770" t="s">
        <v>17</v>
      </c>
      <c r="U13" s="771">
        <f t="shared" si="1"/>
        <v>100</v>
      </c>
      <c r="V13" s="770" t="s">
        <v>17</v>
      </c>
      <c r="W13" s="771">
        <f t="shared" si="2"/>
        <v>100</v>
      </c>
      <c r="X13" s="772"/>
      <c r="Y13" s="3199"/>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424"/>
      <c r="Q14" s="1798">
        <f t="shared" si="6"/>
        <v>111</v>
      </c>
      <c r="R14" s="770" t="s">
        <v>17</v>
      </c>
      <c r="S14" s="771">
        <f t="shared" si="0"/>
        <v>100</v>
      </c>
      <c r="T14" s="770" t="s">
        <v>17</v>
      </c>
      <c r="U14" s="771">
        <f t="shared" si="1"/>
        <v>100</v>
      </c>
      <c r="V14" s="770" t="s">
        <v>17</v>
      </c>
      <c r="W14" s="771">
        <f t="shared" si="2"/>
        <v>100</v>
      </c>
      <c r="X14" s="772"/>
      <c r="Y14" s="3199"/>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434" t="s">
        <v>2559</v>
      </c>
      <c r="Q15" s="1813" t="str">
        <f t="shared" si="6"/>
        <v>商业繁华度</v>
      </c>
      <c r="R15" s="774" t="s">
        <v>17</v>
      </c>
      <c r="S15" s="775">
        <f t="shared" si="0"/>
        <v>100</v>
      </c>
      <c r="T15" s="774" t="s">
        <v>17</v>
      </c>
      <c r="U15" s="775">
        <f t="shared" si="1"/>
        <v>100</v>
      </c>
      <c r="V15" s="774" t="s">
        <v>17</v>
      </c>
      <c r="W15" s="775">
        <f t="shared" si="2"/>
        <v>100</v>
      </c>
      <c r="X15" s="1816"/>
      <c r="Y15" s="3415"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435"/>
      <c r="Q16" s="1813"/>
      <c r="R16" s="774"/>
      <c r="S16" s="775"/>
      <c r="T16" s="774"/>
      <c r="U16" s="775"/>
      <c r="V16" s="774"/>
      <c r="W16" s="775"/>
      <c r="X16" s="1816"/>
      <c r="Y16" s="3416"/>
      <c r="Z16" s="1817"/>
      <c r="AA16" s="1814">
        <v>1</v>
      </c>
      <c r="AB16" s="1814">
        <v>1</v>
      </c>
      <c r="AC16" s="1814">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435"/>
      <c r="Q17" s="1813" t="str">
        <f>B17</f>
        <v>交通便捷度</v>
      </c>
      <c r="R17" s="774" t="s">
        <v>17</v>
      </c>
      <c r="S17" s="775">
        <f>F17</f>
        <v>100</v>
      </c>
      <c r="T17" s="774" t="s">
        <v>17</v>
      </c>
      <c r="U17" s="775">
        <f>H17</f>
        <v>100</v>
      </c>
      <c r="V17" s="774" t="s">
        <v>17</v>
      </c>
      <c r="W17" s="775">
        <f>J17</f>
        <v>100</v>
      </c>
      <c r="X17" s="1816"/>
      <c r="Y17" s="341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435"/>
      <c r="Q18" s="1813"/>
      <c r="R18" s="774"/>
      <c r="S18" s="775"/>
      <c r="T18" s="774"/>
      <c r="U18" s="775"/>
      <c r="V18" s="774"/>
      <c r="W18" s="775"/>
      <c r="X18" s="1816"/>
      <c r="Y18" s="3416"/>
      <c r="Z18" s="1817"/>
      <c r="AA18" s="1814">
        <v>1</v>
      </c>
      <c r="AB18" s="1814">
        <v>1</v>
      </c>
      <c r="AC18" s="1814">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435"/>
      <c r="Q19" s="1813" t="str">
        <f>B19</f>
        <v>公共配套设施</v>
      </c>
      <c r="R19" s="774" t="s">
        <v>17</v>
      </c>
      <c r="S19" s="775">
        <f>F19</f>
        <v>100</v>
      </c>
      <c r="T19" s="774" t="s">
        <v>17</v>
      </c>
      <c r="U19" s="775">
        <f>H19</f>
        <v>100</v>
      </c>
      <c r="V19" s="774" t="s">
        <v>17</v>
      </c>
      <c r="W19" s="775">
        <f>J19</f>
        <v>100</v>
      </c>
      <c r="X19" s="1816"/>
      <c r="Y19" s="341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435"/>
      <c r="Q20" s="1813"/>
      <c r="R20" s="774"/>
      <c r="S20" s="775"/>
      <c r="T20" s="774"/>
      <c r="U20" s="775"/>
      <c r="V20" s="774"/>
      <c r="W20" s="775"/>
      <c r="X20" s="1816"/>
      <c r="Y20" s="3416"/>
      <c r="Z20" s="1817"/>
      <c r="AA20" s="1814">
        <v>1</v>
      </c>
      <c r="AB20" s="1814">
        <v>1</v>
      </c>
      <c r="AC20" s="1814">
        <v>1</v>
      </c>
    </row>
    <row r="21" spans="1:29" ht="28.5">
      <c r="A21" s="428"/>
      <c r="B21" s="1387"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435"/>
      <c r="Q21" s="1813" t="str">
        <f>B21</f>
        <v>基础设施水平</v>
      </c>
      <c r="R21" s="774" t="s">
        <v>17</v>
      </c>
      <c r="S21" s="775">
        <f>F21</f>
        <v>100</v>
      </c>
      <c r="T21" s="774" t="s">
        <v>17</v>
      </c>
      <c r="U21" s="775">
        <f>H21</f>
        <v>100</v>
      </c>
      <c r="V21" s="774" t="s">
        <v>17</v>
      </c>
      <c r="W21" s="775">
        <f>J21</f>
        <v>100</v>
      </c>
      <c r="X21" s="1816"/>
      <c r="Y21" s="341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435"/>
      <c r="Q22" s="1813"/>
      <c r="R22" s="774"/>
      <c r="S22" s="775"/>
      <c r="T22" s="774"/>
      <c r="U22" s="775"/>
      <c r="V22" s="774"/>
      <c r="W22" s="775"/>
      <c r="X22" s="1816"/>
      <c r="Y22" s="3416"/>
      <c r="Z22" s="1817"/>
      <c r="AA22" s="1814">
        <v>1</v>
      </c>
      <c r="AB22" s="1814">
        <v>1</v>
      </c>
      <c r="AC22" s="1814">
        <v>1</v>
      </c>
    </row>
    <row r="23" spans="1:29" ht="57">
      <c r="A23" s="428"/>
      <c r="B23" s="451" t="s">
        <v>2102</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435"/>
      <c r="Q23" s="1813" t="str">
        <f>B23</f>
        <v>自然及人文环境</v>
      </c>
      <c r="R23" s="774" t="s">
        <v>17</v>
      </c>
      <c r="S23" s="775">
        <f>F23</f>
        <v>100</v>
      </c>
      <c r="T23" s="774" t="s">
        <v>17</v>
      </c>
      <c r="U23" s="775">
        <f>H23</f>
        <v>100</v>
      </c>
      <c r="V23" s="774" t="s">
        <v>17</v>
      </c>
      <c r="W23" s="775">
        <f>J23</f>
        <v>100</v>
      </c>
      <c r="X23" s="1816"/>
      <c r="Y23" s="3416"/>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435"/>
      <c r="Q24" s="1813"/>
      <c r="R24" s="774"/>
      <c r="S24" s="775"/>
      <c r="T24" s="774"/>
      <c r="U24" s="775"/>
      <c r="V24" s="774"/>
      <c r="W24" s="775"/>
      <c r="X24" s="1816"/>
      <c r="Y24" s="3416"/>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435"/>
      <c r="Q25" s="1813" t="str">
        <f t="shared" ref="Q25:Q46" si="11">B25</f>
        <v>临街状况</v>
      </c>
      <c r="R25" s="774" t="s">
        <v>17</v>
      </c>
      <c r="S25" s="775">
        <f>F25</f>
        <v>100</v>
      </c>
      <c r="T25" s="774" t="s">
        <v>17</v>
      </c>
      <c r="U25" s="775">
        <f>H25</f>
        <v>100</v>
      </c>
      <c r="V25" s="774" t="s">
        <v>17</v>
      </c>
      <c r="W25" s="775">
        <f>J25</f>
        <v>100</v>
      </c>
      <c r="X25" s="1816"/>
      <c r="Y25" s="3416"/>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435"/>
      <c r="Q26" s="1813" t="str">
        <f t="shared" si="11"/>
        <v>平面位置/可视性</v>
      </c>
      <c r="R26" s="774" t="s">
        <v>17</v>
      </c>
      <c r="S26" s="775">
        <f>F26</f>
        <v>100</v>
      </c>
      <c r="T26" s="774" t="s">
        <v>17</v>
      </c>
      <c r="U26" s="775">
        <f>H26</f>
        <v>100</v>
      </c>
      <c r="V26" s="774" t="s">
        <v>17</v>
      </c>
      <c r="W26" s="775">
        <f>J26</f>
        <v>100</v>
      </c>
      <c r="X26" s="1816"/>
      <c r="Y26" s="3416"/>
      <c r="Z26" s="1817" t="str">
        <f>Q26</f>
        <v>平面位置/可视性</v>
      </c>
      <c r="AA26" s="1814">
        <f t="shared" si="3"/>
        <v>1</v>
      </c>
      <c r="AB26" s="1814">
        <f t="shared" si="4"/>
        <v>1</v>
      </c>
      <c r="AC26" s="1814">
        <f t="shared" si="5"/>
        <v>1</v>
      </c>
    </row>
    <row r="27" spans="1:29" s="117" customFormat="1" ht="15">
      <c r="A27" s="431"/>
      <c r="B27" s="451" t="s">
        <v>2657</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435"/>
      <c r="Q27" s="1798" t="str">
        <f t="shared" si="11"/>
        <v>人流量</v>
      </c>
      <c r="R27" s="770" t="s">
        <v>17</v>
      </c>
      <c r="S27" s="771">
        <f>F27</f>
        <v>100</v>
      </c>
      <c r="T27" s="770" t="s">
        <v>17</v>
      </c>
      <c r="U27" s="771">
        <f>H27</f>
        <v>100</v>
      </c>
      <c r="V27" s="770" t="s">
        <v>17</v>
      </c>
      <c r="W27" s="771">
        <f>J27</f>
        <v>100</v>
      </c>
      <c r="X27" s="772"/>
      <c r="Y27" s="3416"/>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43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41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435"/>
      <c r="Q29" s="1813">
        <f t="shared" si="11"/>
        <v>111</v>
      </c>
      <c r="R29" s="774" t="s">
        <v>17</v>
      </c>
      <c r="S29" s="775">
        <f t="shared" si="12"/>
        <v>100</v>
      </c>
      <c r="T29" s="774" t="s">
        <v>17</v>
      </c>
      <c r="U29" s="775">
        <f t="shared" si="13"/>
        <v>100</v>
      </c>
      <c r="V29" s="774" t="s">
        <v>17</v>
      </c>
      <c r="W29" s="775">
        <f t="shared" si="14"/>
        <v>100</v>
      </c>
      <c r="X29" s="1816"/>
      <c r="Y29" s="341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435"/>
      <c r="Q30" s="1813">
        <f t="shared" si="11"/>
        <v>111</v>
      </c>
      <c r="R30" s="774" t="s">
        <v>17</v>
      </c>
      <c r="S30" s="775">
        <f t="shared" si="12"/>
        <v>100</v>
      </c>
      <c r="T30" s="774" t="s">
        <v>17</v>
      </c>
      <c r="U30" s="775">
        <f t="shared" si="13"/>
        <v>100</v>
      </c>
      <c r="V30" s="774" t="s">
        <v>17</v>
      </c>
      <c r="W30" s="775">
        <f t="shared" si="14"/>
        <v>100</v>
      </c>
      <c r="X30" s="1816"/>
      <c r="Y30" s="341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435"/>
      <c r="Q31" s="1813">
        <f t="shared" si="11"/>
        <v>111</v>
      </c>
      <c r="R31" s="774" t="s">
        <v>17</v>
      </c>
      <c r="S31" s="775">
        <f t="shared" si="12"/>
        <v>100</v>
      </c>
      <c r="T31" s="774" t="s">
        <v>17</v>
      </c>
      <c r="U31" s="775">
        <f t="shared" si="13"/>
        <v>100</v>
      </c>
      <c r="V31" s="774" t="s">
        <v>17</v>
      </c>
      <c r="W31" s="775">
        <f t="shared" si="14"/>
        <v>100</v>
      </c>
      <c r="X31" s="1816"/>
      <c r="Y31" s="3416"/>
      <c r="Z31" s="1817">
        <f t="shared" si="15"/>
        <v>111</v>
      </c>
      <c r="AA31" s="1814">
        <f t="shared" si="3"/>
        <v>1</v>
      </c>
      <c r="AB31" s="1814">
        <f t="shared" si="4"/>
        <v>1</v>
      </c>
      <c r="AC31" s="1814">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430" t="s">
        <v>2564</v>
      </c>
      <c r="Q32" s="1813" t="str">
        <f t="shared" si="11"/>
        <v>商业类型</v>
      </c>
      <c r="R32" s="774" t="s">
        <v>17</v>
      </c>
      <c r="S32" s="775">
        <f t="shared" si="12"/>
        <v>100</v>
      </c>
      <c r="T32" s="774" t="s">
        <v>17</v>
      </c>
      <c r="U32" s="775">
        <f t="shared" si="13"/>
        <v>100</v>
      </c>
      <c r="V32" s="774" t="s">
        <v>17</v>
      </c>
      <c r="W32" s="775">
        <f t="shared" si="14"/>
        <v>100</v>
      </c>
      <c r="X32" s="1816"/>
      <c r="Y32" s="3418"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431"/>
      <c r="Q33" s="776" t="str">
        <f t="shared" si="11"/>
        <v>项目建筑规模</v>
      </c>
      <c r="R33" s="777" t="s">
        <v>17</v>
      </c>
      <c r="S33" s="778" t="e">
        <f t="shared" si="12"/>
        <v>#N/A</v>
      </c>
      <c r="T33" s="777" t="s">
        <v>17</v>
      </c>
      <c r="U33" s="778" t="e">
        <f t="shared" si="13"/>
        <v>#N/A</v>
      </c>
      <c r="V33" s="777" t="s">
        <v>17</v>
      </c>
      <c r="W33" s="778" t="e">
        <f t="shared" si="14"/>
        <v>#N/A</v>
      </c>
      <c r="X33" s="779"/>
      <c r="Y33" s="3418"/>
      <c r="Z33" s="780" t="str">
        <f t="shared" si="15"/>
        <v>项目建筑规模</v>
      </c>
      <c r="AA33" s="1814" t="e">
        <f t="shared" si="3"/>
        <v>#N/A</v>
      </c>
      <c r="AB33" s="1814" t="e">
        <f t="shared" si="4"/>
        <v>#N/A</v>
      </c>
      <c r="AC33" s="1814" t="e">
        <f t="shared" si="5"/>
        <v>#N/A</v>
      </c>
    </row>
    <row r="34" spans="1:29" ht="15">
      <c r="A34" s="472"/>
      <c r="B34" s="422" t="s">
        <v>2566</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431"/>
      <c r="Q34" s="1813" t="str">
        <f t="shared" si="11"/>
        <v>建筑结构</v>
      </c>
      <c r="R34" s="774" t="s">
        <v>17</v>
      </c>
      <c r="S34" s="775">
        <f t="shared" si="12"/>
        <v>100</v>
      </c>
      <c r="T34" s="774" t="s">
        <v>17</v>
      </c>
      <c r="U34" s="775">
        <f t="shared" si="13"/>
        <v>100</v>
      </c>
      <c r="V34" s="774" t="s">
        <v>17</v>
      </c>
      <c r="W34" s="775">
        <f t="shared" si="14"/>
        <v>100</v>
      </c>
      <c r="X34" s="1816"/>
      <c r="Y34" s="3418"/>
      <c r="Z34" s="1817" t="str">
        <f t="shared" si="15"/>
        <v>建筑结构</v>
      </c>
      <c r="AA34" s="1814">
        <f t="shared" si="3"/>
        <v>1</v>
      </c>
      <c r="AB34" s="1814">
        <f t="shared" si="4"/>
        <v>1</v>
      </c>
      <c r="AC34" s="1814">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431"/>
      <c r="Q35" s="1813" t="str">
        <f t="shared" si="11"/>
        <v>公共部分装修</v>
      </c>
      <c r="R35" s="774" t="s">
        <v>17</v>
      </c>
      <c r="S35" s="775">
        <f t="shared" si="12"/>
        <v>100</v>
      </c>
      <c r="T35" s="774" t="s">
        <v>17</v>
      </c>
      <c r="U35" s="775">
        <f t="shared" si="13"/>
        <v>100</v>
      </c>
      <c r="V35" s="774" t="s">
        <v>17</v>
      </c>
      <c r="W35" s="775">
        <f t="shared" si="14"/>
        <v>100</v>
      </c>
      <c r="X35" s="1816"/>
      <c r="Y35" s="3418"/>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431"/>
      <c r="Q36" s="1813" t="str">
        <f t="shared" si="11"/>
        <v>成新度</v>
      </c>
      <c r="R36" s="774" t="s">
        <v>17</v>
      </c>
      <c r="S36" s="775" t="e">
        <f t="shared" si="12"/>
        <v>#N/A</v>
      </c>
      <c r="T36" s="774" t="s">
        <v>17</v>
      </c>
      <c r="U36" s="775" t="e">
        <f t="shared" si="13"/>
        <v>#N/A</v>
      </c>
      <c r="V36" s="774" t="s">
        <v>17</v>
      </c>
      <c r="W36" s="775" t="e">
        <f t="shared" si="14"/>
        <v>#N/A</v>
      </c>
      <c r="X36" s="1816"/>
      <c r="Y36" s="3418"/>
      <c r="Z36" s="1817" t="str">
        <f t="shared" si="15"/>
        <v>成新度</v>
      </c>
      <c r="AA36" s="1814" t="e">
        <f t="shared" si="3"/>
        <v>#N/A</v>
      </c>
      <c r="AB36" s="1814" t="e">
        <f t="shared" si="4"/>
        <v>#N/A</v>
      </c>
      <c r="AC36" s="1814"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431"/>
      <c r="Q37" s="1798" t="str">
        <f t="shared" si="11"/>
        <v>市政基础设施</v>
      </c>
      <c r="R37" s="770" t="s">
        <v>17</v>
      </c>
      <c r="S37" s="771">
        <f t="shared" si="12"/>
        <v>100</v>
      </c>
      <c r="T37" s="770" t="s">
        <v>17</v>
      </c>
      <c r="U37" s="771">
        <f t="shared" si="13"/>
        <v>100</v>
      </c>
      <c r="V37" s="770" t="s">
        <v>17</v>
      </c>
      <c r="W37" s="771">
        <f t="shared" si="14"/>
        <v>100</v>
      </c>
      <c r="X37" s="772"/>
      <c r="Y37" s="3418"/>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431" t="s">
        <v>2564</v>
      </c>
      <c r="Q38" s="1813" t="str">
        <f t="shared" si="11"/>
        <v>业态</v>
      </c>
      <c r="R38" s="774" t="s">
        <v>17</v>
      </c>
      <c r="S38" s="775">
        <f t="shared" si="12"/>
        <v>100</v>
      </c>
      <c r="T38" s="774" t="s">
        <v>17</v>
      </c>
      <c r="U38" s="775">
        <f t="shared" si="13"/>
        <v>100</v>
      </c>
      <c r="V38" s="774" t="s">
        <v>17</v>
      </c>
      <c r="W38" s="775">
        <f t="shared" si="14"/>
        <v>100</v>
      </c>
      <c r="X38" s="1816"/>
      <c r="Y38" s="3418" t="s">
        <v>2564</v>
      </c>
      <c r="Z38" s="1817" t="str">
        <f t="shared" si="15"/>
        <v>业态</v>
      </c>
      <c r="AA38" s="1814">
        <f t="shared" si="3"/>
        <v>1</v>
      </c>
      <c r="AB38" s="1814">
        <f t="shared" si="4"/>
        <v>1</v>
      </c>
      <c r="AC38" s="1814">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431"/>
      <c r="Q39" s="1813" t="str">
        <f t="shared" si="11"/>
        <v>层高</v>
      </c>
      <c r="R39" s="774" t="s">
        <v>17</v>
      </c>
      <c r="S39" s="775">
        <f t="shared" si="12"/>
        <v>100</v>
      </c>
      <c r="T39" s="774" t="s">
        <v>17</v>
      </c>
      <c r="U39" s="775">
        <f t="shared" si="13"/>
        <v>100</v>
      </c>
      <c r="V39" s="774" t="s">
        <v>17</v>
      </c>
      <c r="W39" s="775">
        <f t="shared" si="14"/>
        <v>100</v>
      </c>
      <c r="X39" s="1816"/>
      <c r="Y39" s="3418"/>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431"/>
      <c r="Q40" s="1813" t="str">
        <f t="shared" si="11"/>
        <v>单套建筑面积</v>
      </c>
      <c r="R40" s="774" t="s">
        <v>17</v>
      </c>
      <c r="S40" s="775">
        <f t="shared" si="12"/>
        <v>100</v>
      </c>
      <c r="T40" s="774" t="s">
        <v>17</v>
      </c>
      <c r="U40" s="775">
        <f t="shared" si="13"/>
        <v>100</v>
      </c>
      <c r="V40" s="774" t="s">
        <v>17</v>
      </c>
      <c r="W40" s="775">
        <f t="shared" si="14"/>
        <v>100</v>
      </c>
      <c r="X40" s="1816"/>
      <c r="Y40" s="3418"/>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431"/>
      <c r="Q41" s="776" t="str">
        <f t="shared" si="11"/>
        <v>进深比</v>
      </c>
      <c r="R41" s="777" t="s">
        <v>17</v>
      </c>
      <c r="S41" s="778">
        <f t="shared" si="12"/>
        <v>100</v>
      </c>
      <c r="T41" s="777" t="s">
        <v>17</v>
      </c>
      <c r="U41" s="778">
        <f t="shared" si="13"/>
        <v>100</v>
      </c>
      <c r="V41" s="777" t="s">
        <v>17</v>
      </c>
      <c r="W41" s="778">
        <f t="shared" si="14"/>
        <v>100</v>
      </c>
      <c r="X41" s="779"/>
      <c r="Y41" s="3418"/>
      <c r="Z41" s="780" t="str">
        <f t="shared" si="15"/>
        <v>进深比</v>
      </c>
      <c r="AA41" s="1814">
        <f t="shared" si="3"/>
        <v>1</v>
      </c>
      <c r="AB41" s="1814">
        <f t="shared" si="4"/>
        <v>1</v>
      </c>
      <c r="AC41" s="1814">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431"/>
      <c r="Q42" s="1813" t="str">
        <f t="shared" si="11"/>
        <v>内部装修</v>
      </c>
      <c r="R42" s="774" t="s">
        <v>17</v>
      </c>
      <c r="S42" s="775">
        <f t="shared" si="12"/>
        <v>100</v>
      </c>
      <c r="T42" s="774" t="s">
        <v>17</v>
      </c>
      <c r="U42" s="775">
        <f t="shared" si="13"/>
        <v>100</v>
      </c>
      <c r="V42" s="774" t="s">
        <v>17</v>
      </c>
      <c r="W42" s="775">
        <f t="shared" si="14"/>
        <v>100</v>
      </c>
      <c r="X42" s="1816"/>
      <c r="Y42" s="3418"/>
      <c r="Z42" s="1817" t="str">
        <f t="shared" si="15"/>
        <v>内部装修</v>
      </c>
      <c r="AA42" s="1814">
        <f t="shared" si="3"/>
        <v>1</v>
      </c>
      <c r="AB42" s="1814">
        <f t="shared" si="4"/>
        <v>1</v>
      </c>
      <c r="AC42" s="1814">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431"/>
      <c r="Q43" s="1813" t="str">
        <f t="shared" si="11"/>
        <v>内部装修维护情况</v>
      </c>
      <c r="R43" s="774" t="s">
        <v>17</v>
      </c>
      <c r="S43" s="775">
        <f t="shared" si="12"/>
        <v>100</v>
      </c>
      <c r="T43" s="774" t="s">
        <v>17</v>
      </c>
      <c r="U43" s="775">
        <f t="shared" si="13"/>
        <v>100</v>
      </c>
      <c r="V43" s="774" t="s">
        <v>17</v>
      </c>
      <c r="W43" s="775">
        <f t="shared" si="14"/>
        <v>100</v>
      </c>
      <c r="X43" s="1816"/>
      <c r="Y43" s="341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431"/>
      <c r="Q44" s="1798">
        <f t="shared" si="11"/>
        <v>111</v>
      </c>
      <c r="R44" s="770" t="s">
        <v>17</v>
      </c>
      <c r="S44" s="771">
        <f t="shared" si="12"/>
        <v>100</v>
      </c>
      <c r="T44" s="770" t="s">
        <v>17</v>
      </c>
      <c r="U44" s="771">
        <f t="shared" si="13"/>
        <v>100</v>
      </c>
      <c r="V44" s="770" t="s">
        <v>17</v>
      </c>
      <c r="W44" s="771">
        <f t="shared" si="14"/>
        <v>100</v>
      </c>
      <c r="X44" s="772"/>
      <c r="Y44" s="34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431"/>
      <c r="Q45" s="1813">
        <f t="shared" si="11"/>
        <v>111</v>
      </c>
      <c r="R45" s="774" t="s">
        <v>17</v>
      </c>
      <c r="S45" s="775">
        <f t="shared" si="12"/>
        <v>100</v>
      </c>
      <c r="T45" s="774" t="s">
        <v>17</v>
      </c>
      <c r="U45" s="775">
        <f t="shared" si="13"/>
        <v>100</v>
      </c>
      <c r="V45" s="774" t="s">
        <v>17</v>
      </c>
      <c r="W45" s="775">
        <f t="shared" si="14"/>
        <v>100</v>
      </c>
      <c r="X45" s="1816"/>
      <c r="Y45" s="3418"/>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432"/>
      <c r="Q46" s="1813">
        <f t="shared" si="11"/>
        <v>111</v>
      </c>
      <c r="R46" s="774" t="s">
        <v>17</v>
      </c>
      <c r="S46" s="775">
        <f t="shared" si="12"/>
        <v>100</v>
      </c>
      <c r="T46" s="774" t="s">
        <v>17</v>
      </c>
      <c r="U46" s="775">
        <f t="shared" si="13"/>
        <v>100</v>
      </c>
      <c r="V46" s="774" t="s">
        <v>17</v>
      </c>
      <c r="W46" s="775">
        <f t="shared" si="14"/>
        <v>100</v>
      </c>
      <c r="X46" s="1816"/>
      <c r="Y46" s="3433"/>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400" t="str">
        <f>A47</f>
        <v>成交单价（元/平方米）</v>
      </c>
      <c r="Q47" s="3400"/>
      <c r="R47" s="3413">
        <f>E47</f>
        <v>0</v>
      </c>
      <c r="S47" s="3413"/>
      <c r="T47" s="3413">
        <f>G47</f>
        <v>0</v>
      </c>
      <c r="U47" s="3413"/>
      <c r="V47" s="3413">
        <f>I47</f>
        <v>0</v>
      </c>
      <c r="W47" s="3413"/>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400" t="str">
        <f>A48</f>
        <v>比较价值（元/平方米）</v>
      </c>
      <c r="Q48" s="3400"/>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420" t="str">
        <f>A49</f>
        <v>估价对象XX用房的比较价值（楼面单价，元/平方米）</v>
      </c>
      <c r="Q49" s="3421"/>
      <c r="R49" s="3428" t="e">
        <f>IF(F1="售价",ROUND(AVERAGE(R48:V48),0),ROUND(AVERAGE(R48:V48),1))</f>
        <v>#DIV/0!</v>
      </c>
      <c r="S49" s="3428"/>
      <c r="T49" s="3428"/>
      <c r="U49" s="3428"/>
      <c r="V49" s="3428"/>
      <c r="W49" s="342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2547</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2584</v>
      </c>
      <c r="B60" s="516"/>
      <c r="C60" s="517"/>
      <c r="D60" s="518"/>
      <c r="E60" s="518"/>
      <c r="F60" s="518"/>
      <c r="G60" s="518"/>
      <c r="H60" s="518"/>
      <c r="I60" s="518"/>
      <c r="J60" s="518"/>
      <c r="K60" s="518"/>
      <c r="L60" s="518"/>
      <c r="M60" s="519"/>
      <c r="N60" s="518"/>
      <c r="O60" s="519"/>
      <c r="P60" s="2628"/>
      <c r="Q60" s="504"/>
    </row>
    <row r="61" spans="1:29" s="117" customFormat="1" ht="15">
      <c r="A61" s="521" t="s">
        <v>2549</v>
      </c>
      <c r="B61" s="510"/>
      <c r="C61" s="522" t="s">
        <v>2651</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2587</v>
      </c>
      <c r="B63" s="528" t="s">
        <v>2553</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2679</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2562</v>
      </c>
      <c r="B100" s="528" t="s">
        <v>2680</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2613</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2615</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2681</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2682</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2683</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2619</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9"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333221.08</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401" t="s">
        <v>2645</v>
      </c>
      <c r="D4" s="3402"/>
      <c r="E4" s="3403" t="s">
        <v>2646</v>
      </c>
      <c r="F4" s="3404"/>
      <c r="G4" s="3401" t="s">
        <v>2647</v>
      </c>
      <c r="H4" s="3402"/>
      <c r="I4" s="3401" t="s">
        <v>2648</v>
      </c>
      <c r="J4" s="3402"/>
      <c r="K4" s="610" t="s">
        <v>2649</v>
      </c>
      <c r="L4" s="1133"/>
      <c r="M4" s="1134"/>
      <c r="N4" s="1134"/>
      <c r="O4" s="1134"/>
      <c r="P4" s="3469" t="s">
        <v>2650</v>
      </c>
      <c r="Q4" s="3470"/>
      <c r="R4" s="3464" t="s">
        <v>2646</v>
      </c>
      <c r="S4" s="3465"/>
      <c r="T4" s="3464" t="s">
        <v>2647</v>
      </c>
      <c r="U4" s="3465"/>
      <c r="V4" s="3473" t="s">
        <v>2648</v>
      </c>
      <c r="W4" s="3473"/>
      <c r="X4" s="2670"/>
      <c r="Y4" s="3464" t="s">
        <v>2650</v>
      </c>
      <c r="Z4" s="3465"/>
      <c r="AA4" s="3463" t="s">
        <v>2646</v>
      </c>
      <c r="AB4" s="3463" t="s">
        <v>2647</v>
      </c>
      <c r="AC4" s="3466" t="s">
        <v>2648</v>
      </c>
    </row>
    <row r="5" spans="1:29" ht="15">
      <c r="A5" s="404"/>
      <c r="B5" s="405"/>
      <c r="C5" s="3394" t="s">
        <v>2541</v>
      </c>
      <c r="D5" s="3395"/>
      <c r="E5" s="3392" t="s">
        <v>2542</v>
      </c>
      <c r="F5" s="3393"/>
      <c r="G5" s="3394" t="s">
        <v>2543</v>
      </c>
      <c r="H5" s="3395"/>
      <c r="I5" s="3394" t="s">
        <v>2544</v>
      </c>
      <c r="J5" s="3395"/>
      <c r="K5" s="610"/>
      <c r="L5" s="1133"/>
      <c r="M5" s="1134"/>
      <c r="N5" s="1134"/>
      <c r="O5" s="1134"/>
      <c r="P5" s="3471"/>
      <c r="Q5" s="3408"/>
      <c r="R5" s="3390"/>
      <c r="S5" s="3391"/>
      <c r="T5" s="3390"/>
      <c r="U5" s="3391"/>
      <c r="V5" s="3413"/>
      <c r="W5" s="3413"/>
      <c r="X5" s="1816"/>
      <c r="Y5" s="3390"/>
      <c r="Z5" s="3391"/>
      <c r="AA5" s="3384"/>
      <c r="AB5" s="3384"/>
      <c r="AC5" s="3467"/>
    </row>
    <row r="6" spans="1:29" ht="15.75" thickBot="1">
      <c r="A6" s="406"/>
      <c r="B6" s="407"/>
      <c r="C6" s="3396" t="s">
        <v>2545</v>
      </c>
      <c r="D6" s="3397"/>
      <c r="E6" s="3398" t="s">
        <v>2545</v>
      </c>
      <c r="F6" s="3399"/>
      <c r="G6" s="3396" t="s">
        <v>2545</v>
      </c>
      <c r="H6" s="3397"/>
      <c r="I6" s="3396" t="s">
        <v>2545</v>
      </c>
      <c r="J6" s="3397"/>
      <c r="K6" s="610" t="s">
        <v>2546</v>
      </c>
      <c r="L6" s="1133"/>
      <c r="M6" s="1134"/>
      <c r="N6" s="1134"/>
      <c r="O6" s="1134"/>
      <c r="P6" s="3472"/>
      <c r="Q6" s="3410"/>
      <c r="R6" s="3390"/>
      <c r="S6" s="3391"/>
      <c r="T6" s="3411"/>
      <c r="U6" s="3412"/>
      <c r="V6" s="3413"/>
      <c r="W6" s="3413"/>
      <c r="X6" s="1816"/>
      <c r="Y6" s="3411"/>
      <c r="Z6" s="3412"/>
      <c r="AA6" s="3385"/>
      <c r="AB6" s="3385"/>
      <c r="AC6" s="3468"/>
    </row>
    <row r="7" spans="1:29" s="117" customFormat="1" ht="15.75" thickBot="1">
      <c r="A7" s="408" t="s">
        <v>2547</v>
      </c>
      <c r="B7" s="409"/>
      <c r="C7" s="410">
        <f>'数据-取费表'!B2</f>
        <v>43516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474" t="s">
        <v>2548</v>
      </c>
      <c r="Q7" s="3414"/>
      <c r="R7" s="770" t="s">
        <v>17</v>
      </c>
      <c r="S7" s="771">
        <f t="shared" ref="S7:S15" si="0">F7</f>
        <v>0</v>
      </c>
      <c r="T7" s="770" t="s">
        <v>17</v>
      </c>
      <c r="U7" s="771">
        <f t="shared" ref="U7:U15" si="1">H7</f>
        <v>0</v>
      </c>
      <c r="V7" s="770" t="s">
        <v>17</v>
      </c>
      <c r="W7" s="771">
        <f t="shared" ref="W7:W15" si="2">J7</f>
        <v>0</v>
      </c>
      <c r="X7" s="772"/>
      <c r="Y7" s="3386" t="s">
        <v>2548</v>
      </c>
      <c r="Z7" s="3387"/>
      <c r="AA7" s="773" t="e">
        <f>D7/F7</f>
        <v>#DIV/0!</v>
      </c>
      <c r="AB7" s="773" t="e">
        <f>D7/H7</f>
        <v>#DIV/0!</v>
      </c>
      <c r="AC7" s="2671"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474" t="s">
        <v>2551</v>
      </c>
      <c r="Q8" s="3387"/>
      <c r="R8" s="770" t="s">
        <v>17</v>
      </c>
      <c r="S8" s="771">
        <f t="shared" si="0"/>
        <v>0</v>
      </c>
      <c r="T8" s="770" t="s">
        <v>17</v>
      </c>
      <c r="U8" s="771">
        <f t="shared" si="1"/>
        <v>0</v>
      </c>
      <c r="V8" s="770" t="s">
        <v>17</v>
      </c>
      <c r="W8" s="771">
        <f t="shared" si="2"/>
        <v>0</v>
      </c>
      <c r="X8" s="772"/>
      <c r="Y8" s="3386" t="s">
        <v>2551</v>
      </c>
      <c r="Z8" s="3387"/>
      <c r="AA8" s="773" t="e">
        <f t="shared" ref="AA8:AA47" si="3">D8/F8</f>
        <v>#DIV/0!</v>
      </c>
      <c r="AB8" s="773" t="e">
        <f t="shared" ref="AB8:AB47" si="4">D8/H8</f>
        <v>#DIV/0!</v>
      </c>
      <c r="AC8" s="2671"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424" t="s">
        <v>2554</v>
      </c>
      <c r="Q9" s="1798" t="str">
        <f t="shared" ref="Q9:Q15" si="6">B9</f>
        <v>用途</v>
      </c>
      <c r="R9" s="770" t="s">
        <v>17</v>
      </c>
      <c r="S9" s="771">
        <f t="shared" si="0"/>
        <v>100</v>
      </c>
      <c r="T9" s="770" t="s">
        <v>17</v>
      </c>
      <c r="U9" s="771">
        <f t="shared" si="1"/>
        <v>100</v>
      </c>
      <c r="V9" s="770" t="s">
        <v>17</v>
      </c>
      <c r="W9" s="771">
        <f t="shared" si="2"/>
        <v>100</v>
      </c>
      <c r="X9" s="772"/>
      <c r="Y9" s="3199" t="s">
        <v>2555</v>
      </c>
      <c r="Z9" s="55" t="str">
        <f t="shared" ref="Z9:Z15" si="7">Q9</f>
        <v>用途</v>
      </c>
      <c r="AA9" s="773">
        <f t="shared" si="3"/>
        <v>1</v>
      </c>
      <c r="AB9" s="773">
        <f t="shared" si="4"/>
        <v>1</v>
      </c>
      <c r="AC9" s="2671">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424"/>
      <c r="Q10" s="1798" t="str">
        <f t="shared" si="6"/>
        <v>土地使用年限（年）</v>
      </c>
      <c r="R10" s="770" t="s">
        <v>17</v>
      </c>
      <c r="S10" s="771">
        <f t="shared" si="0"/>
        <v>100</v>
      </c>
      <c r="T10" s="770" t="s">
        <v>17</v>
      </c>
      <c r="U10" s="771">
        <f t="shared" si="1"/>
        <v>100</v>
      </c>
      <c r="V10" s="770" t="s">
        <v>17</v>
      </c>
      <c r="W10" s="771">
        <f t="shared" si="2"/>
        <v>100</v>
      </c>
      <c r="X10" s="772"/>
      <c r="Y10" s="3199"/>
      <c r="Z10" s="55" t="str">
        <f t="shared" si="7"/>
        <v>土地使用年限（年）</v>
      </c>
      <c r="AA10" s="773">
        <f t="shared" si="3"/>
        <v>1</v>
      </c>
      <c r="AB10" s="773">
        <f t="shared" si="4"/>
        <v>1</v>
      </c>
      <c r="AC10" s="2671">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424"/>
      <c r="Q11" s="1798" t="str">
        <f t="shared" si="6"/>
        <v>容积率</v>
      </c>
      <c r="R11" s="770" t="s">
        <v>17</v>
      </c>
      <c r="S11" s="771" t="e">
        <f t="shared" si="0"/>
        <v>#N/A</v>
      </c>
      <c r="T11" s="770" t="s">
        <v>17</v>
      </c>
      <c r="U11" s="771" t="e">
        <f t="shared" si="1"/>
        <v>#N/A</v>
      </c>
      <c r="V11" s="770" t="s">
        <v>17</v>
      </c>
      <c r="W11" s="771" t="e">
        <f t="shared" si="2"/>
        <v>#N/A</v>
      </c>
      <c r="X11" s="772"/>
      <c r="Y11" s="3199"/>
      <c r="Z11" s="55" t="str">
        <f t="shared" si="7"/>
        <v>容积率</v>
      </c>
      <c r="AA11" s="773" t="e">
        <f t="shared" si="3"/>
        <v>#N/A</v>
      </c>
      <c r="AB11" s="773" t="e">
        <f t="shared" si="4"/>
        <v>#N/A</v>
      </c>
      <c r="AC11" s="2671" t="e">
        <f t="shared" si="5"/>
        <v>#N/A</v>
      </c>
    </row>
    <row r="12" spans="1:29" s="117" customFormat="1" ht="15">
      <c r="A12" s="431"/>
      <c r="B12" s="2602">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424"/>
      <c r="Q12" s="1798">
        <f t="shared" si="6"/>
        <v>111</v>
      </c>
      <c r="R12" s="770" t="s">
        <v>17</v>
      </c>
      <c r="S12" s="771">
        <f t="shared" si="0"/>
        <v>100</v>
      </c>
      <c r="T12" s="770" t="s">
        <v>17</v>
      </c>
      <c r="U12" s="771">
        <f t="shared" si="1"/>
        <v>100</v>
      </c>
      <c r="V12" s="770" t="s">
        <v>17</v>
      </c>
      <c r="W12" s="771">
        <f t="shared" si="2"/>
        <v>100</v>
      </c>
      <c r="X12" s="772"/>
      <c r="Y12" s="3199"/>
      <c r="Z12" s="55">
        <f t="shared" si="7"/>
        <v>111</v>
      </c>
      <c r="AA12" s="773">
        <f>D12/F12</f>
        <v>1</v>
      </c>
      <c r="AB12" s="773">
        <f>D12/H12</f>
        <v>1</v>
      </c>
      <c r="AC12" s="2671">
        <f>D12/J12</f>
        <v>1</v>
      </c>
    </row>
    <row r="13" spans="1:29" ht="15">
      <c r="A13" s="428"/>
      <c r="B13" s="2602">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424"/>
      <c r="Q13" s="1798">
        <f t="shared" si="6"/>
        <v>111</v>
      </c>
      <c r="R13" s="770" t="s">
        <v>17</v>
      </c>
      <c r="S13" s="771">
        <f t="shared" si="0"/>
        <v>100</v>
      </c>
      <c r="T13" s="770" t="s">
        <v>17</v>
      </c>
      <c r="U13" s="771">
        <f t="shared" si="1"/>
        <v>100</v>
      </c>
      <c r="V13" s="770" t="s">
        <v>17</v>
      </c>
      <c r="W13" s="771">
        <f t="shared" si="2"/>
        <v>100</v>
      </c>
      <c r="X13" s="772"/>
      <c r="Y13" s="3199"/>
      <c r="Z13" s="55">
        <f t="shared" si="7"/>
        <v>111</v>
      </c>
      <c r="AA13" s="773">
        <f t="shared" si="3"/>
        <v>1</v>
      </c>
      <c r="AB13" s="773">
        <f t="shared" si="4"/>
        <v>1</v>
      </c>
      <c r="AC13" s="2671">
        <f t="shared" si="5"/>
        <v>1</v>
      </c>
    </row>
    <row r="14" spans="1:29" ht="15.75" thickBot="1">
      <c r="A14" s="436"/>
      <c r="B14" s="2604">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424"/>
      <c r="Q14" s="1798">
        <f t="shared" si="6"/>
        <v>111</v>
      </c>
      <c r="R14" s="770" t="s">
        <v>17</v>
      </c>
      <c r="S14" s="771">
        <f t="shared" si="0"/>
        <v>100</v>
      </c>
      <c r="T14" s="770" t="s">
        <v>17</v>
      </c>
      <c r="U14" s="771">
        <f t="shared" si="1"/>
        <v>100</v>
      </c>
      <c r="V14" s="770" t="s">
        <v>17</v>
      </c>
      <c r="W14" s="771">
        <f t="shared" si="2"/>
        <v>100</v>
      </c>
      <c r="X14" s="772"/>
      <c r="Y14" s="3199"/>
      <c r="Z14" s="55">
        <f t="shared" si="7"/>
        <v>111</v>
      </c>
      <c r="AA14" s="773">
        <f t="shared" si="3"/>
        <v>1</v>
      </c>
      <c r="AB14" s="773">
        <f t="shared" si="4"/>
        <v>1</v>
      </c>
      <c r="AC14" s="2671">
        <f t="shared" si="5"/>
        <v>1</v>
      </c>
    </row>
    <row r="15" spans="1:29" ht="71.25">
      <c r="A15" s="440" t="s">
        <v>2558</v>
      </c>
      <c r="B15" s="629" t="s">
        <v>2686</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434" t="s">
        <v>2559</v>
      </c>
      <c r="Q15" s="1813" t="str">
        <f t="shared" si="6"/>
        <v>办公集聚程度</v>
      </c>
      <c r="R15" s="774" t="s">
        <v>17</v>
      </c>
      <c r="S15" s="775">
        <f t="shared" si="0"/>
        <v>100</v>
      </c>
      <c r="T15" s="774" t="s">
        <v>17</v>
      </c>
      <c r="U15" s="775">
        <f t="shared" si="1"/>
        <v>100</v>
      </c>
      <c r="V15" s="774" t="s">
        <v>17</v>
      </c>
      <c r="W15" s="775">
        <f t="shared" si="2"/>
        <v>100</v>
      </c>
      <c r="X15" s="1816"/>
      <c r="Y15" s="3415" t="s">
        <v>2559</v>
      </c>
      <c r="Z15" s="1817" t="str">
        <f t="shared" si="7"/>
        <v>办公集聚程度</v>
      </c>
      <c r="AA15" s="1814">
        <f t="shared" si="3"/>
        <v>1</v>
      </c>
      <c r="AB15" s="1814">
        <f t="shared" si="4"/>
        <v>1</v>
      </c>
      <c r="AC15" s="2674">
        <f t="shared" si="5"/>
        <v>1</v>
      </c>
    </row>
    <row r="16" spans="1:29" ht="15">
      <c r="A16" s="428"/>
      <c r="B16" s="630"/>
      <c r="C16" s="2613"/>
      <c r="D16" s="448"/>
      <c r="E16" s="447"/>
      <c r="F16" s="448"/>
      <c r="G16" s="2613"/>
      <c r="H16" s="450"/>
      <c r="I16" s="447"/>
      <c r="J16" s="448"/>
      <c r="K16" s="615"/>
      <c r="L16" s="1143"/>
      <c r="M16" s="1134"/>
      <c r="N16" s="1134"/>
      <c r="O16" s="1134"/>
      <c r="P16" s="3435"/>
      <c r="Q16" s="1813"/>
      <c r="R16" s="774"/>
      <c r="S16" s="775"/>
      <c r="T16" s="774"/>
      <c r="U16" s="775"/>
      <c r="V16" s="774"/>
      <c r="W16" s="775"/>
      <c r="X16" s="1816"/>
      <c r="Y16" s="3416"/>
      <c r="Z16" s="1817"/>
      <c r="AA16" s="1814">
        <v>1</v>
      </c>
      <c r="AB16" s="1814">
        <v>1</v>
      </c>
      <c r="AC16" s="2674">
        <v>1</v>
      </c>
    </row>
    <row r="17" spans="1:29" ht="71.25">
      <c r="A17" s="428"/>
      <c r="B17" s="631" t="s">
        <v>2097</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435"/>
      <c r="Q17" s="1813" t="str">
        <f>B17</f>
        <v>交通便捷度</v>
      </c>
      <c r="R17" s="774" t="s">
        <v>17</v>
      </c>
      <c r="S17" s="775">
        <f>F17</f>
        <v>100</v>
      </c>
      <c r="T17" s="774" t="s">
        <v>17</v>
      </c>
      <c r="U17" s="775">
        <f>H17</f>
        <v>100</v>
      </c>
      <c r="V17" s="774" t="s">
        <v>17</v>
      </c>
      <c r="W17" s="775">
        <f>J17</f>
        <v>100</v>
      </c>
      <c r="X17" s="1816"/>
      <c r="Y17" s="3416"/>
      <c r="Z17" s="1817" t="str">
        <f>Q17</f>
        <v>交通便捷度</v>
      </c>
      <c r="AA17" s="1814">
        <f t="shared" si="3"/>
        <v>1</v>
      </c>
      <c r="AB17" s="1814">
        <f t="shared" si="4"/>
        <v>1</v>
      </c>
      <c r="AC17" s="2674">
        <f t="shared" si="5"/>
        <v>1</v>
      </c>
    </row>
    <row r="18" spans="1:29" ht="15">
      <c r="A18" s="428"/>
      <c r="B18" s="632"/>
      <c r="C18" s="2676"/>
      <c r="D18" s="450"/>
      <c r="E18" s="2611"/>
      <c r="F18" s="450"/>
      <c r="G18" s="2612"/>
      <c r="H18" s="448"/>
      <c r="I18" s="2612"/>
      <c r="J18" s="448"/>
      <c r="K18" s="615"/>
      <c r="L18" s="1143"/>
      <c r="M18" s="1134"/>
      <c r="N18" s="1134"/>
      <c r="O18" s="1134"/>
      <c r="P18" s="3435"/>
      <c r="Q18" s="1813"/>
      <c r="R18" s="774"/>
      <c r="S18" s="775"/>
      <c r="T18" s="774"/>
      <c r="U18" s="775"/>
      <c r="V18" s="774"/>
      <c r="W18" s="775"/>
      <c r="X18" s="1816"/>
      <c r="Y18" s="3416"/>
      <c r="Z18" s="1817"/>
      <c r="AA18" s="1814">
        <v>1</v>
      </c>
      <c r="AB18" s="1814">
        <v>1</v>
      </c>
      <c r="AC18" s="2674">
        <v>1</v>
      </c>
    </row>
    <row r="19" spans="1:29" ht="42.75">
      <c r="A19" s="428"/>
      <c r="B19" s="631" t="s">
        <v>2687</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435"/>
      <c r="Q19" s="1813" t="str">
        <f>B19</f>
        <v>公共配套设施</v>
      </c>
      <c r="R19" s="774" t="s">
        <v>17</v>
      </c>
      <c r="S19" s="775">
        <f>F19</f>
        <v>100</v>
      </c>
      <c r="T19" s="774" t="s">
        <v>17</v>
      </c>
      <c r="U19" s="775">
        <f>H19</f>
        <v>100</v>
      </c>
      <c r="V19" s="774" t="s">
        <v>17</v>
      </c>
      <c r="W19" s="775">
        <f>J19</f>
        <v>100</v>
      </c>
      <c r="X19" s="1816"/>
      <c r="Y19" s="3416"/>
      <c r="Z19" s="1817" t="str">
        <f>Q19</f>
        <v>公共配套设施</v>
      </c>
      <c r="AA19" s="1814">
        <f t="shared" si="3"/>
        <v>1</v>
      </c>
      <c r="AB19" s="1814">
        <f t="shared" si="4"/>
        <v>1</v>
      </c>
      <c r="AC19" s="2674">
        <f t="shared" si="5"/>
        <v>1</v>
      </c>
    </row>
    <row r="20" spans="1:29" ht="15">
      <c r="A20" s="428"/>
      <c r="B20" s="632"/>
      <c r="C20" s="2613"/>
      <c r="D20" s="448"/>
      <c r="E20" s="2606"/>
      <c r="F20" s="448"/>
      <c r="G20" s="2607"/>
      <c r="H20" s="448"/>
      <c r="I20" s="2607"/>
      <c r="J20" s="448"/>
      <c r="K20" s="615"/>
      <c r="L20" s="1143"/>
      <c r="M20" s="1134"/>
      <c r="N20" s="1134"/>
      <c r="O20" s="1134"/>
      <c r="P20" s="3435"/>
      <c r="Q20" s="1813"/>
      <c r="R20" s="774"/>
      <c r="S20" s="775"/>
      <c r="T20" s="774"/>
      <c r="U20" s="775"/>
      <c r="V20" s="774"/>
      <c r="W20" s="775"/>
      <c r="X20" s="1816"/>
      <c r="Y20" s="3416"/>
      <c r="Z20" s="1817"/>
      <c r="AA20" s="1814">
        <v>1</v>
      </c>
      <c r="AB20" s="1814">
        <v>1</v>
      </c>
      <c r="AC20" s="2674">
        <v>1</v>
      </c>
    </row>
    <row r="21" spans="1:29" ht="28.5">
      <c r="A21" s="428"/>
      <c r="B21" s="633" t="s">
        <v>2688</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435"/>
      <c r="Q21" s="1813" t="str">
        <f>B21</f>
        <v>基础设施水平</v>
      </c>
      <c r="R21" s="774" t="s">
        <v>17</v>
      </c>
      <c r="S21" s="775">
        <f>F21</f>
        <v>100</v>
      </c>
      <c r="T21" s="774" t="s">
        <v>17</v>
      </c>
      <c r="U21" s="775">
        <f>H21</f>
        <v>100</v>
      </c>
      <c r="V21" s="774" t="s">
        <v>17</v>
      </c>
      <c r="W21" s="775">
        <f>J21</f>
        <v>100</v>
      </c>
      <c r="X21" s="1816"/>
      <c r="Y21" s="3416"/>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3"/>
      <c r="H22" s="448"/>
      <c r="I22" s="2613"/>
      <c r="J22" s="448"/>
      <c r="K22" s="1386"/>
      <c r="L22" s="1143"/>
      <c r="M22" s="1134"/>
      <c r="N22" s="1134"/>
      <c r="O22" s="1134"/>
      <c r="P22" s="3435"/>
      <c r="Q22" s="1813"/>
      <c r="R22" s="774"/>
      <c r="S22" s="775"/>
      <c r="T22" s="774"/>
      <c r="U22" s="775"/>
      <c r="V22" s="774"/>
      <c r="W22" s="775"/>
      <c r="X22" s="1816"/>
      <c r="Y22" s="3416"/>
      <c r="Z22" s="1817"/>
      <c r="AA22" s="1814">
        <v>1</v>
      </c>
      <c r="AB22" s="1814">
        <v>1</v>
      </c>
      <c r="AC22" s="2674">
        <v>1</v>
      </c>
    </row>
    <row r="23" spans="1:29" ht="42.75">
      <c r="A23" s="428"/>
      <c r="B23" s="631" t="s">
        <v>2689</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435"/>
      <c r="Q23" s="1813" t="str">
        <f>B23</f>
        <v>环境质量</v>
      </c>
      <c r="R23" s="774" t="s">
        <v>17</v>
      </c>
      <c r="S23" s="775">
        <f>F23</f>
        <v>100</v>
      </c>
      <c r="T23" s="774" t="s">
        <v>17</v>
      </c>
      <c r="U23" s="775">
        <f>H23</f>
        <v>100</v>
      </c>
      <c r="V23" s="774" t="s">
        <v>17</v>
      </c>
      <c r="W23" s="775">
        <f>J23</f>
        <v>100</v>
      </c>
      <c r="X23" s="1816"/>
      <c r="Y23" s="3416"/>
      <c r="Z23" s="1817" t="str">
        <f>Q23</f>
        <v>环境质量</v>
      </c>
      <c r="AA23" s="1814">
        <f t="shared" si="3"/>
        <v>1</v>
      </c>
      <c r="AB23" s="1814">
        <f t="shared" si="4"/>
        <v>1</v>
      </c>
      <c r="AC23" s="2674">
        <f t="shared" si="5"/>
        <v>1</v>
      </c>
    </row>
    <row r="24" spans="1:29" ht="15">
      <c r="A24" s="428"/>
      <c r="B24" s="633"/>
      <c r="C24" s="2613"/>
      <c r="D24" s="448"/>
      <c r="E24" s="2606"/>
      <c r="F24" s="448"/>
      <c r="G24" s="2607"/>
      <c r="H24" s="448"/>
      <c r="I24" s="2607"/>
      <c r="J24" s="448"/>
      <c r="K24" s="615"/>
      <c r="L24" s="1143"/>
      <c r="M24" s="1134"/>
      <c r="N24" s="1134"/>
      <c r="O24" s="1134"/>
      <c r="P24" s="3435"/>
      <c r="Q24" s="1813"/>
      <c r="R24" s="774"/>
      <c r="S24" s="775"/>
      <c r="T24" s="774"/>
      <c r="U24" s="775"/>
      <c r="V24" s="774"/>
      <c r="W24" s="775"/>
      <c r="X24" s="1816"/>
      <c r="Y24" s="3416"/>
      <c r="Z24" s="1817"/>
      <c r="AA24" s="1814">
        <v>1</v>
      </c>
      <c r="AB24" s="1814">
        <v>1</v>
      </c>
      <c r="AC24" s="2674">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435"/>
      <c r="Q25" s="1813" t="str">
        <f>B25</f>
        <v>毗邻道路的类型与等级</v>
      </c>
      <c r="R25" s="774" t="s">
        <v>17</v>
      </c>
      <c r="S25" s="775">
        <f>F25</f>
        <v>100</v>
      </c>
      <c r="T25" s="774" t="s">
        <v>17</v>
      </c>
      <c r="U25" s="775">
        <f>H25</f>
        <v>100</v>
      </c>
      <c r="V25" s="774" t="s">
        <v>17</v>
      </c>
      <c r="W25" s="775">
        <f>J25</f>
        <v>100</v>
      </c>
      <c r="X25" s="1816"/>
      <c r="Y25" s="3416"/>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435"/>
      <c r="Q26" s="1813"/>
      <c r="R26" s="774"/>
      <c r="S26" s="775"/>
      <c r="T26" s="774"/>
      <c r="U26" s="775"/>
      <c r="V26" s="774"/>
      <c r="W26" s="775"/>
      <c r="X26" s="1816"/>
      <c r="Y26" s="3416"/>
      <c r="Z26" s="1817"/>
      <c r="AA26" s="1814">
        <v>1</v>
      </c>
      <c r="AB26" s="1814">
        <v>1</v>
      </c>
      <c r="AC26" s="2674">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435"/>
      <c r="Q27" s="1813" t="str">
        <f t="shared" ref="Q27:Q47" si="11">B27</f>
        <v>楼层</v>
      </c>
      <c r="R27" s="774" t="s">
        <v>17</v>
      </c>
      <c r="S27" s="775">
        <f>F27</f>
        <v>100</v>
      </c>
      <c r="T27" s="774" t="s">
        <v>17</v>
      </c>
      <c r="U27" s="775">
        <f>H27</f>
        <v>100</v>
      </c>
      <c r="V27" s="774" t="s">
        <v>17</v>
      </c>
      <c r="W27" s="775">
        <f>J27</f>
        <v>100</v>
      </c>
      <c r="X27" s="1816"/>
      <c r="Y27" s="3416"/>
      <c r="Z27" s="1817" t="str">
        <f>Q27</f>
        <v>楼层</v>
      </c>
      <c r="AA27" s="1814">
        <f t="shared" si="3"/>
        <v>1</v>
      </c>
      <c r="AB27" s="1814">
        <f t="shared" si="4"/>
        <v>1</v>
      </c>
      <c r="AC27" s="2674">
        <f t="shared" si="5"/>
        <v>1</v>
      </c>
    </row>
    <row r="28" spans="1:29" s="117" customFormat="1" ht="15">
      <c r="A28" s="431"/>
      <c r="B28" s="631" t="s">
        <v>2691</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435"/>
      <c r="Q28" s="1798" t="str">
        <f t="shared" si="11"/>
        <v>朝向</v>
      </c>
      <c r="R28" s="770" t="s">
        <v>17</v>
      </c>
      <c r="S28" s="771">
        <f>F28</f>
        <v>100</v>
      </c>
      <c r="T28" s="770" t="s">
        <v>17</v>
      </c>
      <c r="U28" s="771">
        <f>H28</f>
        <v>100</v>
      </c>
      <c r="V28" s="770" t="s">
        <v>17</v>
      </c>
      <c r="W28" s="771">
        <f>J28</f>
        <v>100</v>
      </c>
      <c r="X28" s="772"/>
      <c r="Y28" s="3416"/>
      <c r="Z28" s="55" t="str">
        <f>Q28</f>
        <v>朝向</v>
      </c>
      <c r="AA28" s="1814">
        <f>D28/F28</f>
        <v>1</v>
      </c>
      <c r="AB28" s="1814">
        <f>D28/H28</f>
        <v>1</v>
      </c>
      <c r="AC28" s="2674">
        <f>D28/J28</f>
        <v>1</v>
      </c>
    </row>
    <row r="29" spans="1:29" ht="15">
      <c r="A29" s="428"/>
      <c r="B29" s="2678">
        <v>111</v>
      </c>
      <c r="C29" s="2617"/>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435"/>
      <c r="Q29" s="1813">
        <f t="shared" si="11"/>
        <v>111</v>
      </c>
      <c r="R29" s="774" t="s">
        <v>17</v>
      </c>
      <c r="S29" s="775">
        <f t="shared" ref="S29:S47" si="12">F29</f>
        <v>100</v>
      </c>
      <c r="T29" s="774" t="s">
        <v>17</v>
      </c>
      <c r="U29" s="775">
        <f t="shared" ref="U29:U47" si="13">H29</f>
        <v>100</v>
      </c>
      <c r="V29" s="774" t="s">
        <v>17</v>
      </c>
      <c r="W29" s="775">
        <f t="shared" ref="W29:W47" si="14">J29</f>
        <v>100</v>
      </c>
      <c r="X29" s="1816"/>
      <c r="Y29" s="3416"/>
      <c r="Z29" s="1817">
        <f t="shared" ref="Z29:Z47" si="15">Q29</f>
        <v>111</v>
      </c>
      <c r="AA29" s="1814">
        <f t="shared" si="3"/>
        <v>1</v>
      </c>
      <c r="AB29" s="1814">
        <f t="shared" si="4"/>
        <v>1</v>
      </c>
      <c r="AC29" s="2674">
        <f t="shared" si="5"/>
        <v>1</v>
      </c>
    </row>
    <row r="30" spans="1:29" ht="15">
      <c r="A30" s="428"/>
      <c r="B30" s="2678">
        <v>111</v>
      </c>
      <c r="C30" s="2617"/>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435"/>
      <c r="Q30" s="1813">
        <f t="shared" si="11"/>
        <v>111</v>
      </c>
      <c r="R30" s="774" t="s">
        <v>17</v>
      </c>
      <c r="S30" s="775">
        <f t="shared" si="12"/>
        <v>100</v>
      </c>
      <c r="T30" s="774" t="s">
        <v>17</v>
      </c>
      <c r="U30" s="775">
        <f t="shared" si="13"/>
        <v>100</v>
      </c>
      <c r="V30" s="774" t="s">
        <v>17</v>
      </c>
      <c r="W30" s="775">
        <f t="shared" si="14"/>
        <v>100</v>
      </c>
      <c r="X30" s="1816"/>
      <c r="Y30" s="3416"/>
      <c r="Z30" s="1817">
        <f t="shared" si="15"/>
        <v>111</v>
      </c>
      <c r="AA30" s="1814">
        <f t="shared" si="3"/>
        <v>1</v>
      </c>
      <c r="AB30" s="1814">
        <f t="shared" si="4"/>
        <v>1</v>
      </c>
      <c r="AC30" s="2674">
        <f t="shared" si="5"/>
        <v>1</v>
      </c>
    </row>
    <row r="31" spans="1:29" ht="15">
      <c r="A31" s="428"/>
      <c r="B31" s="2678">
        <v>111</v>
      </c>
      <c r="C31" s="2617"/>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435"/>
      <c r="Q31" s="1813">
        <f t="shared" si="11"/>
        <v>111</v>
      </c>
      <c r="R31" s="774" t="s">
        <v>17</v>
      </c>
      <c r="S31" s="775">
        <f t="shared" si="12"/>
        <v>100</v>
      </c>
      <c r="T31" s="774" t="s">
        <v>17</v>
      </c>
      <c r="U31" s="775">
        <f t="shared" si="13"/>
        <v>100</v>
      </c>
      <c r="V31" s="774" t="s">
        <v>17</v>
      </c>
      <c r="W31" s="775">
        <f t="shared" si="14"/>
        <v>100</v>
      </c>
      <c r="X31" s="1816"/>
      <c r="Y31" s="3416"/>
      <c r="Z31" s="1817">
        <f t="shared" si="15"/>
        <v>111</v>
      </c>
      <c r="AA31" s="1814">
        <f t="shared" si="3"/>
        <v>1</v>
      </c>
      <c r="AB31" s="1814">
        <f t="shared" si="4"/>
        <v>1</v>
      </c>
      <c r="AC31" s="2674">
        <f t="shared" si="5"/>
        <v>1</v>
      </c>
    </row>
    <row r="32" spans="1:29" ht="15.75" thickBot="1">
      <c r="A32" s="436"/>
      <c r="B32" s="635">
        <v>111</v>
      </c>
      <c r="C32" s="2618"/>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435"/>
      <c r="Q32" s="1813">
        <f t="shared" si="11"/>
        <v>111</v>
      </c>
      <c r="R32" s="774" t="s">
        <v>17</v>
      </c>
      <c r="S32" s="775">
        <f t="shared" si="12"/>
        <v>100</v>
      </c>
      <c r="T32" s="774" t="s">
        <v>17</v>
      </c>
      <c r="U32" s="775">
        <f t="shared" si="13"/>
        <v>100</v>
      </c>
      <c r="V32" s="774" t="s">
        <v>17</v>
      </c>
      <c r="W32" s="775">
        <f t="shared" si="14"/>
        <v>100</v>
      </c>
      <c r="X32" s="1816"/>
      <c r="Y32" s="3416"/>
      <c r="Z32" s="1817">
        <f t="shared" si="15"/>
        <v>111</v>
      </c>
      <c r="AA32" s="1814">
        <f t="shared" si="3"/>
        <v>1</v>
      </c>
      <c r="AB32" s="1814">
        <f t="shared" si="4"/>
        <v>1</v>
      </c>
      <c r="AC32" s="2674">
        <f t="shared" si="5"/>
        <v>1</v>
      </c>
    </row>
    <row r="33" spans="1:29" ht="15">
      <c r="A33" s="440" t="s">
        <v>2562</v>
      </c>
      <c r="B33" s="71" t="s">
        <v>2692</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430" t="s">
        <v>2564</v>
      </c>
      <c r="Q33" s="1813" t="str">
        <f t="shared" si="11"/>
        <v>建筑类型</v>
      </c>
      <c r="R33" s="774" t="s">
        <v>17</v>
      </c>
      <c r="S33" s="775">
        <f t="shared" si="12"/>
        <v>100</v>
      </c>
      <c r="T33" s="774" t="s">
        <v>17</v>
      </c>
      <c r="U33" s="775">
        <f t="shared" si="13"/>
        <v>100</v>
      </c>
      <c r="V33" s="774" t="s">
        <v>17</v>
      </c>
      <c r="W33" s="775">
        <f t="shared" si="14"/>
        <v>100</v>
      </c>
      <c r="X33" s="1816"/>
      <c r="Y33" s="3418" t="s">
        <v>2564</v>
      </c>
      <c r="Z33" s="1817" t="str">
        <f t="shared" si="15"/>
        <v>建筑类型</v>
      </c>
      <c r="AA33" s="1814">
        <f t="shared" si="3"/>
        <v>1</v>
      </c>
      <c r="AB33" s="1814">
        <f t="shared" si="4"/>
        <v>1</v>
      </c>
      <c r="AC33" s="2674">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431"/>
      <c r="Q34" s="776" t="str">
        <f t="shared" si="11"/>
        <v>项目建筑规模</v>
      </c>
      <c r="R34" s="777" t="s">
        <v>17</v>
      </c>
      <c r="S34" s="778" t="e">
        <f t="shared" si="12"/>
        <v>#N/A</v>
      </c>
      <c r="T34" s="777" t="s">
        <v>17</v>
      </c>
      <c r="U34" s="778" t="e">
        <f t="shared" si="13"/>
        <v>#N/A</v>
      </c>
      <c r="V34" s="777" t="s">
        <v>17</v>
      </c>
      <c r="W34" s="778" t="e">
        <f t="shared" si="14"/>
        <v>#N/A</v>
      </c>
      <c r="X34" s="779"/>
      <c r="Y34" s="3418"/>
      <c r="Z34" s="780" t="str">
        <f t="shared" si="15"/>
        <v>项目建筑规模</v>
      </c>
      <c r="AA34" s="1814" t="e">
        <f t="shared" si="3"/>
        <v>#N/A</v>
      </c>
      <c r="AB34" s="1814" t="e">
        <f t="shared" si="4"/>
        <v>#N/A</v>
      </c>
      <c r="AC34" s="2674"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431"/>
      <c r="Q35" s="1813" t="str">
        <f t="shared" si="11"/>
        <v>建筑结构</v>
      </c>
      <c r="R35" s="774" t="s">
        <v>17</v>
      </c>
      <c r="S35" s="775">
        <f t="shared" si="12"/>
        <v>100</v>
      </c>
      <c r="T35" s="774" t="s">
        <v>17</v>
      </c>
      <c r="U35" s="775">
        <f t="shared" si="13"/>
        <v>100</v>
      </c>
      <c r="V35" s="774" t="s">
        <v>17</v>
      </c>
      <c r="W35" s="775">
        <f t="shared" si="14"/>
        <v>100</v>
      </c>
      <c r="X35" s="1816"/>
      <c r="Y35" s="3418"/>
      <c r="Z35" s="1817" t="str">
        <f t="shared" si="15"/>
        <v>建筑结构</v>
      </c>
      <c r="AA35" s="1814">
        <f t="shared" si="3"/>
        <v>1</v>
      </c>
      <c r="AB35" s="1814">
        <f t="shared" si="4"/>
        <v>1</v>
      </c>
      <c r="AC35" s="2674">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431"/>
      <c r="Q36" s="1813" t="str">
        <f t="shared" si="11"/>
        <v>公共部分装修</v>
      </c>
      <c r="R36" s="774" t="s">
        <v>17</v>
      </c>
      <c r="S36" s="775">
        <f t="shared" si="12"/>
        <v>100</v>
      </c>
      <c r="T36" s="774" t="s">
        <v>17</v>
      </c>
      <c r="U36" s="775">
        <f t="shared" si="13"/>
        <v>100</v>
      </c>
      <c r="V36" s="774" t="s">
        <v>17</v>
      </c>
      <c r="W36" s="775">
        <f t="shared" si="14"/>
        <v>100</v>
      </c>
      <c r="X36" s="1816"/>
      <c r="Y36" s="3418"/>
      <c r="Z36" s="1817" t="str">
        <f t="shared" si="15"/>
        <v>公共部分装修</v>
      </c>
      <c r="AA36" s="1814">
        <f t="shared" si="3"/>
        <v>1</v>
      </c>
      <c r="AB36" s="1814">
        <f t="shared" si="4"/>
        <v>1</v>
      </c>
      <c r="AC36" s="2674">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431"/>
      <c r="Q37" s="1813" t="str">
        <f t="shared" si="11"/>
        <v>成新度</v>
      </c>
      <c r="R37" s="774" t="s">
        <v>17</v>
      </c>
      <c r="S37" s="775" t="e">
        <f t="shared" si="12"/>
        <v>#N/A</v>
      </c>
      <c r="T37" s="774" t="s">
        <v>17</v>
      </c>
      <c r="U37" s="775" t="e">
        <f t="shared" si="13"/>
        <v>#N/A</v>
      </c>
      <c r="V37" s="774" t="s">
        <v>17</v>
      </c>
      <c r="W37" s="775" t="e">
        <f t="shared" si="14"/>
        <v>#N/A</v>
      </c>
      <c r="X37" s="1816"/>
      <c r="Y37" s="3418"/>
      <c r="Z37" s="1817" t="str">
        <f t="shared" si="15"/>
        <v>成新度</v>
      </c>
      <c r="AA37" s="1814" t="e">
        <f t="shared" si="3"/>
        <v>#N/A</v>
      </c>
      <c r="AB37" s="1814" t="e">
        <f t="shared" si="4"/>
        <v>#N/A</v>
      </c>
      <c r="AC37" s="2674"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431"/>
      <c r="Q38" s="1798" t="str">
        <f t="shared" si="11"/>
        <v>写字楼等级</v>
      </c>
      <c r="R38" s="770" t="s">
        <v>17</v>
      </c>
      <c r="S38" s="771">
        <f t="shared" si="12"/>
        <v>100</v>
      </c>
      <c r="T38" s="770" t="s">
        <v>17</v>
      </c>
      <c r="U38" s="771">
        <f t="shared" si="13"/>
        <v>100</v>
      </c>
      <c r="V38" s="770" t="s">
        <v>17</v>
      </c>
      <c r="W38" s="771">
        <f t="shared" si="14"/>
        <v>100</v>
      </c>
      <c r="X38" s="772"/>
      <c r="Y38" s="3418"/>
      <c r="Z38" s="55" t="str">
        <f t="shared" si="15"/>
        <v>写字楼等级</v>
      </c>
      <c r="AA38" s="773">
        <f t="shared" si="3"/>
        <v>1</v>
      </c>
      <c r="AB38" s="773">
        <f t="shared" si="4"/>
        <v>1</v>
      </c>
      <c r="AC38" s="2671">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431" t="s">
        <v>2564</v>
      </c>
      <c r="Q39" s="1813" t="str">
        <f t="shared" si="11"/>
        <v>物业管理</v>
      </c>
      <c r="R39" s="774" t="s">
        <v>17</v>
      </c>
      <c r="S39" s="775">
        <f t="shared" si="12"/>
        <v>100</v>
      </c>
      <c r="T39" s="774" t="s">
        <v>17</v>
      </c>
      <c r="U39" s="775">
        <f t="shared" si="13"/>
        <v>100</v>
      </c>
      <c r="V39" s="774" t="s">
        <v>17</v>
      </c>
      <c r="W39" s="775">
        <f t="shared" si="14"/>
        <v>100</v>
      </c>
      <c r="X39" s="1816"/>
      <c r="Y39" s="3418" t="s">
        <v>2564</v>
      </c>
      <c r="Z39" s="1817" t="str">
        <f t="shared" si="15"/>
        <v>物业管理</v>
      </c>
      <c r="AA39" s="1814">
        <f t="shared" si="3"/>
        <v>1</v>
      </c>
      <c r="AB39" s="1814">
        <f t="shared" si="4"/>
        <v>1</v>
      </c>
      <c r="AC39" s="2674">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431"/>
      <c r="Q40" s="1813" t="str">
        <f t="shared" si="11"/>
        <v>市政基础设施</v>
      </c>
      <c r="R40" s="774" t="s">
        <v>17</v>
      </c>
      <c r="S40" s="775">
        <f t="shared" si="12"/>
        <v>100</v>
      </c>
      <c r="T40" s="774" t="s">
        <v>17</v>
      </c>
      <c r="U40" s="775">
        <f t="shared" si="13"/>
        <v>100</v>
      </c>
      <c r="V40" s="774" t="s">
        <v>17</v>
      </c>
      <c r="W40" s="775">
        <f t="shared" si="14"/>
        <v>100</v>
      </c>
      <c r="X40" s="1816"/>
      <c r="Y40" s="3418"/>
      <c r="Z40" s="1817" t="str">
        <f t="shared" si="15"/>
        <v>市政基础设施</v>
      </c>
      <c r="AA40" s="1814">
        <f t="shared" si="3"/>
        <v>1</v>
      </c>
      <c r="AB40" s="1814">
        <f t="shared" si="4"/>
        <v>1</v>
      </c>
      <c r="AC40" s="2674">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431"/>
      <c r="Q41" s="1813" t="str">
        <f t="shared" si="11"/>
        <v>层高</v>
      </c>
      <c r="R41" s="774" t="s">
        <v>17</v>
      </c>
      <c r="S41" s="775">
        <f t="shared" si="12"/>
        <v>100</v>
      </c>
      <c r="T41" s="774" t="s">
        <v>17</v>
      </c>
      <c r="U41" s="775">
        <f t="shared" si="13"/>
        <v>100</v>
      </c>
      <c r="V41" s="774" t="s">
        <v>17</v>
      </c>
      <c r="W41" s="775">
        <f t="shared" si="14"/>
        <v>100</v>
      </c>
      <c r="X41" s="1816"/>
      <c r="Y41" s="3418"/>
      <c r="Z41" s="1817" t="str">
        <f t="shared" si="15"/>
        <v>层高</v>
      </c>
      <c r="AA41" s="1814">
        <f t="shared" si="3"/>
        <v>1</v>
      </c>
      <c r="AB41" s="1814">
        <f t="shared" si="4"/>
        <v>1</v>
      </c>
      <c r="AC41" s="2674">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431"/>
      <c r="Q42" s="776" t="str">
        <f t="shared" si="11"/>
        <v>单套建筑面积</v>
      </c>
      <c r="R42" s="777" t="s">
        <v>17</v>
      </c>
      <c r="S42" s="778">
        <f t="shared" si="12"/>
        <v>100</v>
      </c>
      <c r="T42" s="777" t="s">
        <v>17</v>
      </c>
      <c r="U42" s="778">
        <f t="shared" si="13"/>
        <v>100</v>
      </c>
      <c r="V42" s="777" t="s">
        <v>17</v>
      </c>
      <c r="W42" s="778">
        <f t="shared" si="14"/>
        <v>100</v>
      </c>
      <c r="X42" s="779"/>
      <c r="Y42" s="3418"/>
      <c r="Z42" s="780" t="str">
        <f t="shared" si="15"/>
        <v>单套建筑面积</v>
      </c>
      <c r="AA42" s="1814">
        <f t="shared" si="3"/>
        <v>1</v>
      </c>
      <c r="AB42" s="1814">
        <f t="shared" si="4"/>
        <v>1</v>
      </c>
      <c r="AC42" s="2674">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431"/>
      <c r="Q43" s="1813" t="str">
        <f t="shared" si="11"/>
        <v>内部装修</v>
      </c>
      <c r="R43" s="774" t="s">
        <v>17</v>
      </c>
      <c r="S43" s="775">
        <f t="shared" si="12"/>
        <v>100</v>
      </c>
      <c r="T43" s="774" t="s">
        <v>17</v>
      </c>
      <c r="U43" s="775">
        <f t="shared" si="13"/>
        <v>100</v>
      </c>
      <c r="V43" s="774" t="s">
        <v>17</v>
      </c>
      <c r="W43" s="775">
        <f t="shared" si="14"/>
        <v>100</v>
      </c>
      <c r="X43" s="1816"/>
      <c r="Y43" s="3418"/>
      <c r="Z43" s="1817" t="str">
        <f t="shared" si="15"/>
        <v>内部装修</v>
      </c>
      <c r="AA43" s="1814">
        <f t="shared" si="3"/>
        <v>1</v>
      </c>
      <c r="AB43" s="1814">
        <f t="shared" si="4"/>
        <v>1</v>
      </c>
      <c r="AC43" s="2674">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431"/>
      <c r="Q44" s="1813" t="str">
        <f t="shared" si="11"/>
        <v>内部装修维护情况</v>
      </c>
      <c r="R44" s="774" t="s">
        <v>17</v>
      </c>
      <c r="S44" s="775">
        <f t="shared" si="12"/>
        <v>100</v>
      </c>
      <c r="T44" s="774" t="s">
        <v>17</v>
      </c>
      <c r="U44" s="775">
        <f t="shared" si="13"/>
        <v>100</v>
      </c>
      <c r="V44" s="774" t="s">
        <v>17</v>
      </c>
      <c r="W44" s="775">
        <f t="shared" si="14"/>
        <v>100</v>
      </c>
      <c r="X44" s="1816"/>
      <c r="Y44" s="3418"/>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431"/>
      <c r="Q45" s="1798">
        <f t="shared" si="11"/>
        <v>111</v>
      </c>
      <c r="R45" s="770" t="s">
        <v>17</v>
      </c>
      <c r="S45" s="771">
        <f t="shared" si="12"/>
        <v>100</v>
      </c>
      <c r="T45" s="770" t="s">
        <v>17</v>
      </c>
      <c r="U45" s="771">
        <f t="shared" si="13"/>
        <v>100</v>
      </c>
      <c r="V45" s="770" t="s">
        <v>17</v>
      </c>
      <c r="W45" s="771">
        <f t="shared" si="14"/>
        <v>100</v>
      </c>
      <c r="X45" s="772"/>
      <c r="Y45" s="341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431"/>
      <c r="Q46" s="1813">
        <f t="shared" si="11"/>
        <v>111</v>
      </c>
      <c r="R46" s="774" t="s">
        <v>17</v>
      </c>
      <c r="S46" s="775">
        <f t="shared" si="12"/>
        <v>100</v>
      </c>
      <c r="T46" s="774" t="s">
        <v>17</v>
      </c>
      <c r="U46" s="775">
        <f t="shared" si="13"/>
        <v>100</v>
      </c>
      <c r="V46" s="774" t="s">
        <v>17</v>
      </c>
      <c r="W46" s="775">
        <f t="shared" si="14"/>
        <v>100</v>
      </c>
      <c r="X46" s="1816"/>
      <c r="Y46" s="3418"/>
      <c r="Z46" s="1817">
        <f t="shared" si="15"/>
        <v>111</v>
      </c>
      <c r="AA46" s="1814">
        <f t="shared" si="3"/>
        <v>1</v>
      </c>
      <c r="AB46" s="1814">
        <f t="shared" si="4"/>
        <v>1</v>
      </c>
      <c r="AC46" s="2674">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432"/>
      <c r="Q47" s="1813">
        <f t="shared" si="11"/>
        <v>111</v>
      </c>
      <c r="R47" s="774" t="s">
        <v>17</v>
      </c>
      <c r="S47" s="775">
        <f t="shared" si="12"/>
        <v>100</v>
      </c>
      <c r="T47" s="774" t="s">
        <v>17</v>
      </c>
      <c r="U47" s="775">
        <f t="shared" si="13"/>
        <v>100</v>
      </c>
      <c r="V47" s="774" t="s">
        <v>17</v>
      </c>
      <c r="W47" s="775">
        <f t="shared" si="14"/>
        <v>100</v>
      </c>
      <c r="X47" s="1816"/>
      <c r="Y47" s="3433"/>
      <c r="Z47" s="1817">
        <f t="shared" si="15"/>
        <v>111</v>
      </c>
      <c r="AA47" s="1814">
        <f t="shared" si="3"/>
        <v>1</v>
      </c>
      <c r="AB47" s="1814">
        <f t="shared" si="4"/>
        <v>1</v>
      </c>
      <c r="AC47" s="2674">
        <f t="shared" si="5"/>
        <v>1</v>
      </c>
    </row>
    <row r="48" spans="1:29" ht="15">
      <c r="A48" s="479" t="s">
        <v>2576</v>
      </c>
      <c r="B48" s="480"/>
      <c r="C48" s="1410" t="s">
        <v>1</v>
      </c>
      <c r="D48" s="1411"/>
      <c r="E48" s="1412"/>
      <c r="F48" s="1413"/>
      <c r="G48" s="1414"/>
      <c r="H48" s="1415"/>
      <c r="I48" s="1412"/>
      <c r="J48" s="485"/>
      <c r="K48" s="783"/>
      <c r="L48" s="1146"/>
      <c r="M48" s="1134"/>
      <c r="N48" s="1134"/>
      <c r="O48" s="1134"/>
      <c r="P48" s="3424" t="str">
        <f>A48</f>
        <v>成交单价（元/平方米）</v>
      </c>
      <c r="Q48" s="3400"/>
      <c r="R48" s="3429">
        <f>E48</f>
        <v>0</v>
      </c>
      <c r="S48" s="3429"/>
      <c r="T48" s="3429">
        <f>G48</f>
        <v>0</v>
      </c>
      <c r="U48" s="3429"/>
      <c r="V48" s="3429">
        <f>I48</f>
        <v>0</v>
      </c>
      <c r="W48" s="3429"/>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424" t="str">
        <f>A49</f>
        <v>比较价值（元/平方米）</v>
      </c>
      <c r="Q49" s="3400"/>
      <c r="R49" s="3429" t="e">
        <f>IF(F1="售价",ROUND(PRODUCT(R48,AA7:AA47),0),ROUND(PRODUCT(R48,AA7:AA47),1))</f>
        <v>#DIV/0!</v>
      </c>
      <c r="S49" s="3429"/>
      <c r="T49" s="3429" t="e">
        <f>IF(F1="售价",ROUND(PRODUCT(T48,AB7:AB47),0),ROUND(PRODUCT(T48,AB7:AB47),1))</f>
        <v>#DIV/0!</v>
      </c>
      <c r="U49" s="3429"/>
      <c r="V49" s="3429" t="e">
        <f>IF(F1="售价",ROUND(PRODUCT(V48,AC7:AC47),0),ROUND(PRODUCT(V48,AC7:AC47),1))</f>
        <v>#DIV/0!</v>
      </c>
      <c r="W49" s="3429"/>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475" t="str">
        <f>A50</f>
        <v>估价对象XX用房的比较价值（楼面单价，元/平方米）</v>
      </c>
      <c r="Q50" s="3476"/>
      <c r="R50" s="3477" t="e">
        <f>IF(F1="售价",ROUND(AVERAGE(R49:V49),0),ROUND(AVERAGE(R49:V49),1))</f>
        <v>#DIV/0!</v>
      </c>
      <c r="S50" s="3477"/>
      <c r="T50" s="3477"/>
      <c r="U50" s="3477"/>
      <c r="V50" s="3477"/>
      <c r="W50" s="3477"/>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1"/>
      <c r="Q58" s="504"/>
    </row>
    <row r="59" spans="1:29" s="508" customFormat="1" ht="15">
      <c r="A59" s="505" t="s">
        <v>2547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2584</v>
      </c>
      <c r="B61" s="516"/>
      <c r="C61" s="517"/>
      <c r="D61" s="518"/>
      <c r="E61" s="518"/>
      <c r="F61" s="518"/>
      <c r="G61" s="518"/>
      <c r="H61" s="518"/>
      <c r="I61" s="518"/>
      <c r="J61" s="518"/>
      <c r="K61" s="518"/>
      <c r="L61" s="518"/>
      <c r="M61" s="519"/>
      <c r="N61" s="518"/>
      <c r="O61" s="519"/>
      <c r="P61" s="2682"/>
      <c r="Q61" s="504"/>
    </row>
    <row r="62" spans="1:29" s="117" customFormat="1" ht="15">
      <c r="A62" s="521" t="s">
        <v>2549</v>
      </c>
      <c r="B62" s="510"/>
      <c r="C62" s="522" t="s">
        <v>2651</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2587</v>
      </c>
      <c r="B64" s="528" t="s">
        <v>2553</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2698</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2562</v>
      </c>
      <c r="B101" s="528" t="s">
        <v>2611</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2613</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2615</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2616</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2617</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2700</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2619</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9"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9"/>
      <c r="D2" s="1127"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333221.08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401" t="s">
        <v>2645</v>
      </c>
      <c r="D4" s="3402"/>
      <c r="E4" s="3403" t="s">
        <v>2646</v>
      </c>
      <c r="F4" s="3404"/>
      <c r="G4" s="3401" t="s">
        <v>2647</v>
      </c>
      <c r="H4" s="3402"/>
      <c r="I4" s="3401" t="s">
        <v>2648</v>
      </c>
      <c r="J4" s="3402"/>
      <c r="K4" s="610" t="s">
        <v>2649</v>
      </c>
      <c r="L4" s="1133"/>
      <c r="M4" s="1134"/>
      <c r="N4" s="1134"/>
      <c r="O4" s="1134"/>
      <c r="P4" s="3405" t="s">
        <v>2650</v>
      </c>
      <c r="Q4" s="3406"/>
      <c r="R4" s="3388" t="s">
        <v>2646</v>
      </c>
      <c r="S4" s="3389"/>
      <c r="T4" s="3388" t="s">
        <v>2647</v>
      </c>
      <c r="U4" s="3389"/>
      <c r="V4" s="3413" t="s">
        <v>2648</v>
      </c>
      <c r="W4" s="3413"/>
      <c r="X4" s="1816"/>
      <c r="Y4" s="3388" t="s">
        <v>2650</v>
      </c>
      <c r="Z4" s="3389"/>
      <c r="AA4" s="3383" t="s">
        <v>2646</v>
      </c>
      <c r="AB4" s="3384" t="s">
        <v>2647</v>
      </c>
      <c r="AC4" s="3383" t="s">
        <v>2648</v>
      </c>
    </row>
    <row r="5" spans="1:29" ht="15">
      <c r="A5" s="404"/>
      <c r="B5" s="405"/>
      <c r="C5" s="3394" t="s">
        <v>2541</v>
      </c>
      <c r="D5" s="3395"/>
      <c r="E5" s="3392" t="s">
        <v>2542</v>
      </c>
      <c r="F5" s="3393"/>
      <c r="G5" s="3394" t="s">
        <v>2543</v>
      </c>
      <c r="H5" s="3395"/>
      <c r="I5" s="3394" t="s">
        <v>2544</v>
      </c>
      <c r="J5" s="3395"/>
      <c r="K5" s="610"/>
      <c r="L5" s="1133"/>
      <c r="M5" s="1134"/>
      <c r="N5" s="1134"/>
      <c r="O5" s="1134"/>
      <c r="P5" s="3407"/>
      <c r="Q5" s="3408"/>
      <c r="R5" s="3390"/>
      <c r="S5" s="3391"/>
      <c r="T5" s="3390"/>
      <c r="U5" s="3391"/>
      <c r="V5" s="3413"/>
      <c r="W5" s="3413"/>
      <c r="X5" s="1816"/>
      <c r="Y5" s="3390"/>
      <c r="Z5" s="3391"/>
      <c r="AA5" s="3384"/>
      <c r="AB5" s="3384"/>
      <c r="AC5" s="3384"/>
    </row>
    <row r="6" spans="1:29" ht="15.75" thickBot="1">
      <c r="A6" s="406"/>
      <c r="B6" s="407"/>
      <c r="C6" s="3396" t="s">
        <v>2545</v>
      </c>
      <c r="D6" s="3397"/>
      <c r="E6" s="3398" t="s">
        <v>2545</v>
      </c>
      <c r="F6" s="3399"/>
      <c r="G6" s="3396" t="s">
        <v>2545</v>
      </c>
      <c r="H6" s="3397"/>
      <c r="I6" s="3396" t="s">
        <v>2545</v>
      </c>
      <c r="J6" s="3397"/>
      <c r="K6" s="610" t="s">
        <v>2546</v>
      </c>
      <c r="L6" s="1133"/>
      <c r="M6" s="1134"/>
      <c r="N6" s="1134"/>
      <c r="O6" s="1134"/>
      <c r="P6" s="3409"/>
      <c r="Q6" s="3410"/>
      <c r="R6" s="3390"/>
      <c r="S6" s="3391"/>
      <c r="T6" s="3411"/>
      <c r="U6" s="3412"/>
      <c r="V6" s="3413"/>
      <c r="W6" s="3413"/>
      <c r="X6" s="1816"/>
      <c r="Y6" s="3411"/>
      <c r="Z6" s="3412"/>
      <c r="AA6" s="3385"/>
      <c r="AB6" s="3385"/>
      <c r="AC6" s="3385"/>
    </row>
    <row r="7" spans="1:29" s="117" customFormat="1" ht="15.75" thickBot="1">
      <c r="A7" s="408" t="s">
        <v>2547</v>
      </c>
      <c r="B7" s="409"/>
      <c r="C7" s="410">
        <f>'数据-取费表'!B2</f>
        <v>43516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386" t="s">
        <v>2548</v>
      </c>
      <c r="Q7" s="3414"/>
      <c r="R7" s="770" t="s">
        <v>17</v>
      </c>
      <c r="S7" s="771">
        <f t="shared" ref="S7:S15" si="0">F7</f>
        <v>0</v>
      </c>
      <c r="T7" s="770" t="s">
        <v>17</v>
      </c>
      <c r="U7" s="771">
        <f t="shared" ref="U7:U15" si="1">H7</f>
        <v>0</v>
      </c>
      <c r="V7" s="770" t="s">
        <v>17</v>
      </c>
      <c r="W7" s="771">
        <f t="shared" ref="W7:W15" si="2">J7</f>
        <v>0</v>
      </c>
      <c r="X7" s="772"/>
      <c r="Y7" s="3386" t="s">
        <v>2548</v>
      </c>
      <c r="Z7" s="338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386" t="s">
        <v>2551</v>
      </c>
      <c r="Q8" s="3387"/>
      <c r="R8" s="770" t="s">
        <v>17</v>
      </c>
      <c r="S8" s="771">
        <f t="shared" si="0"/>
        <v>0</v>
      </c>
      <c r="T8" s="770" t="s">
        <v>17</v>
      </c>
      <c r="U8" s="771">
        <f t="shared" si="1"/>
        <v>0</v>
      </c>
      <c r="V8" s="770" t="s">
        <v>17</v>
      </c>
      <c r="W8" s="771">
        <f t="shared" si="2"/>
        <v>0</v>
      </c>
      <c r="X8" s="772"/>
      <c r="Y8" s="3386" t="s">
        <v>2551</v>
      </c>
      <c r="Z8" s="338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400" t="s">
        <v>2554</v>
      </c>
      <c r="Q9" s="1798" t="str">
        <f t="shared" ref="Q9:Q15" si="6">B9</f>
        <v>用途</v>
      </c>
      <c r="R9" s="770" t="s">
        <v>17</v>
      </c>
      <c r="S9" s="771">
        <f t="shared" si="0"/>
        <v>100</v>
      </c>
      <c r="T9" s="770" t="s">
        <v>17</v>
      </c>
      <c r="U9" s="771">
        <f t="shared" si="1"/>
        <v>100</v>
      </c>
      <c r="V9" s="770" t="s">
        <v>17</v>
      </c>
      <c r="W9" s="771">
        <f t="shared" si="2"/>
        <v>100</v>
      </c>
      <c r="X9" s="772"/>
      <c r="Y9" s="3199"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400"/>
      <c r="Q10" s="1798" t="str">
        <f t="shared" si="6"/>
        <v>土地使用年限（年）</v>
      </c>
      <c r="R10" s="770" t="s">
        <v>17</v>
      </c>
      <c r="S10" s="771">
        <f t="shared" si="0"/>
        <v>100</v>
      </c>
      <c r="T10" s="770" t="s">
        <v>17</v>
      </c>
      <c r="U10" s="771">
        <f t="shared" si="1"/>
        <v>100</v>
      </c>
      <c r="V10" s="770" t="s">
        <v>17</v>
      </c>
      <c r="W10" s="771">
        <f t="shared" si="2"/>
        <v>100</v>
      </c>
      <c r="X10" s="772"/>
      <c r="Y10" s="319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400"/>
      <c r="Q11" s="1798" t="str">
        <f t="shared" si="6"/>
        <v>容积率</v>
      </c>
      <c r="R11" s="770" t="s">
        <v>17</v>
      </c>
      <c r="S11" s="771" t="e">
        <f t="shared" si="0"/>
        <v>#N/A</v>
      </c>
      <c r="T11" s="770" t="s">
        <v>17</v>
      </c>
      <c r="U11" s="771" t="e">
        <f t="shared" si="1"/>
        <v>#N/A</v>
      </c>
      <c r="V11" s="770" t="s">
        <v>17</v>
      </c>
      <c r="W11" s="771" t="e">
        <f t="shared" si="2"/>
        <v>#N/A</v>
      </c>
      <c r="X11" s="772"/>
      <c r="Y11" s="3199"/>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400"/>
      <c r="Q12" s="1798">
        <f t="shared" si="6"/>
        <v>111</v>
      </c>
      <c r="R12" s="770" t="s">
        <v>17</v>
      </c>
      <c r="S12" s="771">
        <f t="shared" si="0"/>
        <v>100</v>
      </c>
      <c r="T12" s="770" t="s">
        <v>17</v>
      </c>
      <c r="U12" s="771">
        <f t="shared" si="1"/>
        <v>100</v>
      </c>
      <c r="V12" s="770" t="s">
        <v>17</v>
      </c>
      <c r="W12" s="771">
        <f t="shared" si="2"/>
        <v>100</v>
      </c>
      <c r="X12" s="772"/>
      <c r="Y12" s="3199"/>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400"/>
      <c r="Q13" s="1798">
        <f t="shared" si="6"/>
        <v>111</v>
      </c>
      <c r="R13" s="770" t="s">
        <v>17</v>
      </c>
      <c r="S13" s="771">
        <f t="shared" si="0"/>
        <v>100</v>
      </c>
      <c r="T13" s="770" t="s">
        <v>17</v>
      </c>
      <c r="U13" s="771">
        <f t="shared" si="1"/>
        <v>100</v>
      </c>
      <c r="V13" s="770" t="s">
        <v>17</v>
      </c>
      <c r="W13" s="771">
        <f t="shared" si="2"/>
        <v>100</v>
      </c>
      <c r="X13" s="772"/>
      <c r="Y13" s="3199"/>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400"/>
      <c r="Q14" s="1798">
        <f t="shared" si="6"/>
        <v>111</v>
      </c>
      <c r="R14" s="770" t="s">
        <v>17</v>
      </c>
      <c r="S14" s="771">
        <f t="shared" si="0"/>
        <v>100</v>
      </c>
      <c r="T14" s="770" t="s">
        <v>17</v>
      </c>
      <c r="U14" s="771">
        <f t="shared" si="1"/>
        <v>100</v>
      </c>
      <c r="V14" s="770" t="s">
        <v>17</v>
      </c>
      <c r="W14" s="771">
        <f t="shared" si="2"/>
        <v>100</v>
      </c>
      <c r="X14" s="772"/>
      <c r="Y14" s="3199"/>
      <c r="Z14" s="55">
        <f t="shared" si="7"/>
        <v>111</v>
      </c>
      <c r="AA14" s="773">
        <f t="shared" si="3"/>
        <v>1</v>
      </c>
      <c r="AB14" s="773">
        <f t="shared" si="4"/>
        <v>1</v>
      </c>
      <c r="AC14" s="773">
        <f t="shared" si="5"/>
        <v>1</v>
      </c>
    </row>
    <row r="15" spans="1:29" ht="57">
      <c r="A15" s="440" t="s">
        <v>2558</v>
      </c>
      <c r="B15" s="69" t="s">
        <v>2702</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415" t="s">
        <v>2559</v>
      </c>
      <c r="Q15" s="1813" t="str">
        <f t="shared" si="6"/>
        <v>产业集聚程度</v>
      </c>
      <c r="R15" s="774" t="s">
        <v>17</v>
      </c>
      <c r="S15" s="775">
        <f t="shared" si="0"/>
        <v>100</v>
      </c>
      <c r="T15" s="774" t="s">
        <v>17</v>
      </c>
      <c r="U15" s="775">
        <f t="shared" si="1"/>
        <v>100</v>
      </c>
      <c r="V15" s="774" t="s">
        <v>17</v>
      </c>
      <c r="W15" s="775">
        <f t="shared" si="2"/>
        <v>100</v>
      </c>
      <c r="X15" s="1816"/>
      <c r="Y15" s="3415"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416"/>
      <c r="Q16" s="1813"/>
      <c r="R16" s="774"/>
      <c r="S16" s="775"/>
      <c r="T16" s="774"/>
      <c r="U16" s="775"/>
      <c r="V16" s="774"/>
      <c r="W16" s="775"/>
      <c r="X16" s="1816"/>
      <c r="Y16" s="3416"/>
      <c r="Z16" s="1817"/>
      <c r="AA16" s="1814">
        <v>1</v>
      </c>
      <c r="AB16" s="1814">
        <v>1</v>
      </c>
      <c r="AC16" s="1814">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416"/>
      <c r="Q17" s="1813" t="str">
        <f>B17</f>
        <v>交通便捷度</v>
      </c>
      <c r="R17" s="774" t="s">
        <v>17</v>
      </c>
      <c r="S17" s="775">
        <f>F17</f>
        <v>100</v>
      </c>
      <c r="T17" s="774" t="s">
        <v>17</v>
      </c>
      <c r="U17" s="775">
        <f>H17</f>
        <v>100</v>
      </c>
      <c r="V17" s="774" t="s">
        <v>17</v>
      </c>
      <c r="W17" s="775">
        <f>J17</f>
        <v>100</v>
      </c>
      <c r="X17" s="1816"/>
      <c r="Y17" s="3416"/>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416"/>
      <c r="Q18" s="1813"/>
      <c r="R18" s="774"/>
      <c r="S18" s="775"/>
      <c r="T18" s="774"/>
      <c r="U18" s="775"/>
      <c r="V18" s="774"/>
      <c r="W18" s="775"/>
      <c r="X18" s="1816"/>
      <c r="Y18" s="3416"/>
      <c r="Z18" s="1817"/>
      <c r="AA18" s="1814">
        <v>1</v>
      </c>
      <c r="AB18" s="1814">
        <v>1</v>
      </c>
      <c r="AC18" s="1814">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416"/>
      <c r="Q19" s="1813" t="str">
        <f>B19</f>
        <v>公共配套设施</v>
      </c>
      <c r="R19" s="774" t="s">
        <v>17</v>
      </c>
      <c r="S19" s="775">
        <f>F19</f>
        <v>100</v>
      </c>
      <c r="T19" s="774" t="s">
        <v>17</v>
      </c>
      <c r="U19" s="775">
        <f>H19</f>
        <v>100</v>
      </c>
      <c r="V19" s="774" t="s">
        <v>17</v>
      </c>
      <c r="W19" s="775">
        <f>J19</f>
        <v>100</v>
      </c>
      <c r="X19" s="1816"/>
      <c r="Y19" s="3416"/>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416"/>
      <c r="Q20" s="1813"/>
      <c r="R20" s="774"/>
      <c r="S20" s="775"/>
      <c r="T20" s="774"/>
      <c r="U20" s="775"/>
      <c r="V20" s="774"/>
      <c r="W20" s="775"/>
      <c r="X20" s="1816"/>
      <c r="Y20" s="3416"/>
      <c r="Z20" s="1817"/>
      <c r="AA20" s="1814">
        <v>1</v>
      </c>
      <c r="AB20" s="1814">
        <v>1</v>
      </c>
      <c r="AC20" s="1814">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416"/>
      <c r="Q21" s="1813" t="str">
        <f>B21</f>
        <v>基础设施水平</v>
      </c>
      <c r="R21" s="774" t="s">
        <v>17</v>
      </c>
      <c r="S21" s="775">
        <f>F21</f>
        <v>100</v>
      </c>
      <c r="T21" s="774" t="s">
        <v>17</v>
      </c>
      <c r="U21" s="775">
        <f>H21</f>
        <v>100</v>
      </c>
      <c r="V21" s="774" t="s">
        <v>17</v>
      </c>
      <c r="W21" s="775">
        <f>J21</f>
        <v>100</v>
      </c>
      <c r="X21" s="1816"/>
      <c r="Y21" s="3416"/>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416"/>
      <c r="Q22" s="1813"/>
      <c r="R22" s="774"/>
      <c r="S22" s="775"/>
      <c r="T22" s="774"/>
      <c r="U22" s="775"/>
      <c r="V22" s="774"/>
      <c r="W22" s="775"/>
      <c r="X22" s="1816"/>
      <c r="Y22" s="3416"/>
      <c r="Z22" s="1817"/>
      <c r="AA22" s="1814">
        <v>1</v>
      </c>
      <c r="AB22" s="1814">
        <v>1</v>
      </c>
      <c r="AC22" s="1814">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416"/>
      <c r="Q23" s="1813" t="str">
        <f>B23</f>
        <v>环境质量</v>
      </c>
      <c r="R23" s="774" t="s">
        <v>17</v>
      </c>
      <c r="S23" s="775">
        <f>F23</f>
        <v>100</v>
      </c>
      <c r="T23" s="774" t="s">
        <v>17</v>
      </c>
      <c r="U23" s="775">
        <f>H23</f>
        <v>100</v>
      </c>
      <c r="V23" s="774" t="s">
        <v>17</v>
      </c>
      <c r="W23" s="775">
        <f>J23</f>
        <v>100</v>
      </c>
      <c r="X23" s="1816"/>
      <c r="Y23" s="3416"/>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416"/>
      <c r="Q24" s="1813"/>
      <c r="R24" s="774"/>
      <c r="S24" s="775"/>
      <c r="T24" s="774"/>
      <c r="U24" s="775"/>
      <c r="V24" s="774"/>
      <c r="W24" s="775"/>
      <c r="X24" s="1816"/>
      <c r="Y24" s="341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416"/>
      <c r="Q25" s="1813">
        <f>B25</f>
        <v>111</v>
      </c>
      <c r="R25" s="774" t="s">
        <v>17</v>
      </c>
      <c r="S25" s="775">
        <f>F25</f>
        <v>100</v>
      </c>
      <c r="T25" s="774" t="s">
        <v>17</v>
      </c>
      <c r="U25" s="775">
        <f>H25</f>
        <v>100</v>
      </c>
      <c r="V25" s="774" t="s">
        <v>17</v>
      </c>
      <c r="W25" s="775">
        <f>J25</f>
        <v>100</v>
      </c>
      <c r="X25" s="1816"/>
      <c r="Y25" s="341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416"/>
      <c r="Q26" s="1813">
        <f t="shared" ref="Q26:Q40" si="11">B26</f>
        <v>111</v>
      </c>
      <c r="R26" s="774" t="s">
        <v>17</v>
      </c>
      <c r="S26" s="775">
        <f>F26</f>
        <v>100</v>
      </c>
      <c r="T26" s="774" t="s">
        <v>17</v>
      </c>
      <c r="U26" s="775">
        <f>H26</f>
        <v>100</v>
      </c>
      <c r="V26" s="774" t="s">
        <v>17</v>
      </c>
      <c r="W26" s="775">
        <f>J26</f>
        <v>100</v>
      </c>
      <c r="X26" s="1816"/>
      <c r="Y26" s="341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416"/>
      <c r="Q27" s="1798">
        <f t="shared" si="11"/>
        <v>111</v>
      </c>
      <c r="R27" s="770" t="s">
        <v>17</v>
      </c>
      <c r="S27" s="771">
        <f>F27</f>
        <v>100</v>
      </c>
      <c r="T27" s="770" t="s">
        <v>17</v>
      </c>
      <c r="U27" s="771">
        <f>H27</f>
        <v>100</v>
      </c>
      <c r="V27" s="770" t="s">
        <v>17</v>
      </c>
      <c r="W27" s="771">
        <f>J27</f>
        <v>100</v>
      </c>
      <c r="X27" s="772"/>
      <c r="Y27" s="341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416"/>
      <c r="Q28" s="1813">
        <f t="shared" si="11"/>
        <v>111</v>
      </c>
      <c r="R28" s="774" t="s">
        <v>17</v>
      </c>
      <c r="S28" s="775">
        <f t="shared" ref="S28:S40" si="12">F28</f>
        <v>100</v>
      </c>
      <c r="T28" s="774" t="s">
        <v>17</v>
      </c>
      <c r="U28" s="775">
        <f t="shared" ref="U28:U40" si="13">H28</f>
        <v>100</v>
      </c>
      <c r="V28" s="774" t="s">
        <v>17</v>
      </c>
      <c r="W28" s="775">
        <f t="shared" ref="W28:W40" si="14">J28</f>
        <v>100</v>
      </c>
      <c r="X28" s="1816"/>
      <c r="Y28" s="3416"/>
      <c r="Z28" s="1817">
        <f t="shared" ref="Z28:Z40" si="15">Q28</f>
        <v>111</v>
      </c>
      <c r="AA28" s="1814">
        <f t="shared" si="3"/>
        <v>1</v>
      </c>
      <c r="AB28" s="1814">
        <f t="shared" si="4"/>
        <v>1</v>
      </c>
      <c r="AC28" s="1814">
        <f t="shared" si="5"/>
        <v>1</v>
      </c>
    </row>
    <row r="29" spans="1:29" ht="28.5">
      <c r="A29" s="466" t="s">
        <v>2562</v>
      </c>
      <c r="B29" s="71" t="s">
        <v>2692</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417" t="s">
        <v>2564</v>
      </c>
      <c r="Q29" s="1813" t="str">
        <f t="shared" si="11"/>
        <v>建筑类型</v>
      </c>
      <c r="R29" s="774" t="s">
        <v>17</v>
      </c>
      <c r="S29" s="775">
        <f t="shared" si="12"/>
        <v>100</v>
      </c>
      <c r="T29" s="774" t="s">
        <v>17</v>
      </c>
      <c r="U29" s="775">
        <f t="shared" si="13"/>
        <v>100</v>
      </c>
      <c r="V29" s="774" t="s">
        <v>17</v>
      </c>
      <c r="W29" s="775">
        <f t="shared" si="14"/>
        <v>100</v>
      </c>
      <c r="X29" s="1816"/>
      <c r="Y29" s="3418"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418"/>
      <c r="Q30" s="776" t="str">
        <f t="shared" si="11"/>
        <v>项目建筑规模</v>
      </c>
      <c r="R30" s="777" t="s">
        <v>17</v>
      </c>
      <c r="S30" s="778" t="e">
        <f t="shared" si="12"/>
        <v>#N/A</v>
      </c>
      <c r="T30" s="777" t="s">
        <v>17</v>
      </c>
      <c r="U30" s="778" t="e">
        <f t="shared" si="13"/>
        <v>#N/A</v>
      </c>
      <c r="V30" s="777" t="s">
        <v>17</v>
      </c>
      <c r="W30" s="778" t="e">
        <f t="shared" si="14"/>
        <v>#N/A</v>
      </c>
      <c r="X30" s="779"/>
      <c r="Y30" s="3418"/>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418"/>
      <c r="Q31" s="1813" t="str">
        <f t="shared" si="11"/>
        <v>建筑结构</v>
      </c>
      <c r="R31" s="774" t="s">
        <v>17</v>
      </c>
      <c r="S31" s="775">
        <f t="shared" si="12"/>
        <v>100</v>
      </c>
      <c r="T31" s="774" t="s">
        <v>17</v>
      </c>
      <c r="U31" s="775">
        <f t="shared" si="13"/>
        <v>100</v>
      </c>
      <c r="V31" s="774" t="s">
        <v>17</v>
      </c>
      <c r="W31" s="775">
        <f t="shared" si="14"/>
        <v>100</v>
      </c>
      <c r="X31" s="1816"/>
      <c r="Y31" s="3418"/>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418"/>
      <c r="Q32" s="1813" t="str">
        <f t="shared" si="11"/>
        <v>公共部分装修</v>
      </c>
      <c r="R32" s="774" t="s">
        <v>17</v>
      </c>
      <c r="S32" s="775">
        <f t="shared" si="12"/>
        <v>100</v>
      </c>
      <c r="T32" s="774" t="s">
        <v>17</v>
      </c>
      <c r="U32" s="775">
        <f t="shared" si="13"/>
        <v>100</v>
      </c>
      <c r="V32" s="774" t="s">
        <v>17</v>
      </c>
      <c r="W32" s="775">
        <f t="shared" si="14"/>
        <v>100</v>
      </c>
      <c r="X32" s="1816"/>
      <c r="Y32" s="3418"/>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418"/>
      <c r="Q33" s="1813" t="str">
        <f t="shared" si="11"/>
        <v>成新度</v>
      </c>
      <c r="R33" s="774" t="s">
        <v>17</v>
      </c>
      <c r="S33" s="775" t="e">
        <f t="shared" si="12"/>
        <v>#N/A</v>
      </c>
      <c r="T33" s="774" t="s">
        <v>17</v>
      </c>
      <c r="U33" s="775" t="e">
        <f t="shared" si="13"/>
        <v>#N/A</v>
      </c>
      <c r="V33" s="774" t="s">
        <v>17</v>
      </c>
      <c r="W33" s="775" t="e">
        <f t="shared" si="14"/>
        <v>#N/A</v>
      </c>
      <c r="X33" s="1816"/>
      <c r="Y33" s="3418"/>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418"/>
      <c r="Q34" s="1798" t="str">
        <f t="shared" si="11"/>
        <v>物业管理</v>
      </c>
      <c r="R34" s="770" t="s">
        <v>17</v>
      </c>
      <c r="S34" s="771">
        <f t="shared" si="12"/>
        <v>100</v>
      </c>
      <c r="T34" s="770" t="s">
        <v>17</v>
      </c>
      <c r="U34" s="771">
        <f t="shared" si="13"/>
        <v>100</v>
      </c>
      <c r="V34" s="770" t="s">
        <v>17</v>
      </c>
      <c r="W34" s="771">
        <f t="shared" si="14"/>
        <v>100</v>
      </c>
      <c r="X34" s="772"/>
      <c r="Y34" s="3418"/>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418" t="s">
        <v>2564</v>
      </c>
      <c r="Q35" s="1813" t="str">
        <f t="shared" si="11"/>
        <v>市政基础设施</v>
      </c>
      <c r="R35" s="774" t="s">
        <v>17</v>
      </c>
      <c r="S35" s="775">
        <f t="shared" si="12"/>
        <v>100</v>
      </c>
      <c r="T35" s="774" t="s">
        <v>17</v>
      </c>
      <c r="U35" s="775">
        <f t="shared" si="13"/>
        <v>100</v>
      </c>
      <c r="V35" s="774" t="s">
        <v>17</v>
      </c>
      <c r="W35" s="775">
        <f t="shared" si="14"/>
        <v>100</v>
      </c>
      <c r="X35" s="1816"/>
      <c r="Y35" s="3418"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418"/>
      <c r="Q36" s="1813" t="str">
        <f t="shared" si="11"/>
        <v>内部装修</v>
      </c>
      <c r="R36" s="774" t="s">
        <v>17</v>
      </c>
      <c r="S36" s="775">
        <f t="shared" si="12"/>
        <v>100</v>
      </c>
      <c r="T36" s="774" t="s">
        <v>17</v>
      </c>
      <c r="U36" s="775">
        <f t="shared" si="13"/>
        <v>100</v>
      </c>
      <c r="V36" s="774" t="s">
        <v>17</v>
      </c>
      <c r="W36" s="775">
        <f t="shared" si="14"/>
        <v>100</v>
      </c>
      <c r="X36" s="1816"/>
      <c r="Y36" s="3418"/>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418"/>
      <c r="Q37" s="1813" t="str">
        <f t="shared" si="11"/>
        <v>内部装修状况</v>
      </c>
      <c r="R37" s="774" t="s">
        <v>17</v>
      </c>
      <c r="S37" s="775">
        <f t="shared" si="12"/>
        <v>100</v>
      </c>
      <c r="T37" s="774" t="s">
        <v>17</v>
      </c>
      <c r="U37" s="775">
        <f t="shared" si="13"/>
        <v>100</v>
      </c>
      <c r="V37" s="774" t="s">
        <v>17</v>
      </c>
      <c r="W37" s="775">
        <f t="shared" si="14"/>
        <v>100</v>
      </c>
      <c r="X37" s="1816"/>
      <c r="Y37" s="341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418"/>
      <c r="Q38" s="776">
        <f t="shared" si="11"/>
        <v>111</v>
      </c>
      <c r="R38" s="777" t="s">
        <v>17</v>
      </c>
      <c r="S38" s="778">
        <f t="shared" si="12"/>
        <v>100</v>
      </c>
      <c r="T38" s="777" t="s">
        <v>17</v>
      </c>
      <c r="U38" s="778">
        <f t="shared" si="13"/>
        <v>100</v>
      </c>
      <c r="V38" s="777" t="s">
        <v>17</v>
      </c>
      <c r="W38" s="778">
        <f t="shared" si="14"/>
        <v>100</v>
      </c>
      <c r="X38" s="779"/>
      <c r="Y38" s="341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418"/>
      <c r="Q39" s="1813">
        <f t="shared" si="11"/>
        <v>111</v>
      </c>
      <c r="R39" s="774" t="s">
        <v>17</v>
      </c>
      <c r="S39" s="775">
        <f t="shared" si="12"/>
        <v>100</v>
      </c>
      <c r="T39" s="774" t="s">
        <v>17</v>
      </c>
      <c r="U39" s="775">
        <f t="shared" si="13"/>
        <v>100</v>
      </c>
      <c r="V39" s="774" t="s">
        <v>17</v>
      </c>
      <c r="W39" s="775">
        <f t="shared" si="14"/>
        <v>100</v>
      </c>
      <c r="X39" s="1816"/>
      <c r="Y39" s="3418"/>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433"/>
      <c r="Q40" s="1813">
        <f t="shared" si="11"/>
        <v>111</v>
      </c>
      <c r="R40" s="774" t="s">
        <v>17</v>
      </c>
      <c r="S40" s="775">
        <f t="shared" si="12"/>
        <v>100</v>
      </c>
      <c r="T40" s="774" t="s">
        <v>17</v>
      </c>
      <c r="U40" s="775">
        <f t="shared" si="13"/>
        <v>100</v>
      </c>
      <c r="V40" s="774" t="s">
        <v>17</v>
      </c>
      <c r="W40" s="775">
        <f t="shared" si="14"/>
        <v>100</v>
      </c>
      <c r="X40" s="1816"/>
      <c r="Y40" s="3433"/>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400" t="str">
        <f>A41</f>
        <v>成交单价（元/平方米）</v>
      </c>
      <c r="Q41" s="3400"/>
      <c r="R41" s="3429">
        <f>E41</f>
        <v>0</v>
      </c>
      <c r="S41" s="3429"/>
      <c r="T41" s="3429">
        <f>G41</f>
        <v>0</v>
      </c>
      <c r="U41" s="3429"/>
      <c r="V41" s="3429">
        <f>I41</f>
        <v>0</v>
      </c>
      <c r="W41" s="3429"/>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400" t="str">
        <f>A42</f>
        <v>比较价值（元/平方米）</v>
      </c>
      <c r="Q42" s="3400"/>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420" t="str">
        <f>A43</f>
        <v>估价对象XX用房的比较价值（楼面单价，元/平方米）</v>
      </c>
      <c r="Q43" s="3421"/>
      <c r="R43" s="3428" t="e">
        <f>IF(F1="售价",ROUND(AVERAGE(R42:V42),0),ROUND(AVERAGE(R42:V42),1))</f>
        <v>#DIV/0!</v>
      </c>
      <c r="S43" s="3428"/>
      <c r="T43" s="3428"/>
      <c r="U43" s="3428"/>
      <c r="V43" s="3428"/>
      <c r="W43" s="342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401" t="s">
        <v>2645</v>
      </c>
      <c r="D4" s="3402"/>
      <c r="E4" s="3403" t="s">
        <v>2646</v>
      </c>
      <c r="F4" s="3404"/>
      <c r="G4" s="3401" t="s">
        <v>2647</v>
      </c>
      <c r="H4" s="3402"/>
      <c r="I4" s="3401" t="s">
        <v>2648</v>
      </c>
      <c r="J4" s="3402"/>
      <c r="K4" s="610" t="s">
        <v>2649</v>
      </c>
      <c r="L4" s="1133"/>
      <c r="M4" s="1134"/>
      <c r="N4" s="1134"/>
      <c r="O4" s="1134"/>
      <c r="P4" s="3405" t="s">
        <v>2650</v>
      </c>
      <c r="Q4" s="3406"/>
      <c r="R4" s="3388" t="s">
        <v>2646</v>
      </c>
      <c r="S4" s="3389"/>
      <c r="T4" s="3388" t="s">
        <v>2647</v>
      </c>
      <c r="U4" s="3389"/>
      <c r="V4" s="3413" t="s">
        <v>2648</v>
      </c>
      <c r="W4" s="3413"/>
      <c r="X4" s="1816"/>
      <c r="Y4" s="3388" t="s">
        <v>2650</v>
      </c>
      <c r="Z4" s="3389"/>
      <c r="AA4" s="3383" t="s">
        <v>2646</v>
      </c>
      <c r="AB4" s="3384" t="s">
        <v>2647</v>
      </c>
      <c r="AC4" s="3383" t="s">
        <v>2648</v>
      </c>
    </row>
    <row r="5" spans="1:29" ht="15">
      <c r="A5" s="404"/>
      <c r="B5" s="405"/>
      <c r="C5" s="3394" t="s">
        <v>2541</v>
      </c>
      <c r="D5" s="3395"/>
      <c r="E5" s="3392" t="s">
        <v>2542</v>
      </c>
      <c r="F5" s="3393"/>
      <c r="G5" s="3394" t="s">
        <v>2543</v>
      </c>
      <c r="H5" s="3395"/>
      <c r="I5" s="3394" t="s">
        <v>2544</v>
      </c>
      <c r="J5" s="3395"/>
      <c r="K5" s="610"/>
      <c r="L5" s="1133"/>
      <c r="M5" s="1134"/>
      <c r="N5" s="1134"/>
      <c r="O5" s="1134"/>
      <c r="P5" s="3407"/>
      <c r="Q5" s="3408"/>
      <c r="R5" s="3390"/>
      <c r="S5" s="3391"/>
      <c r="T5" s="3390"/>
      <c r="U5" s="3391"/>
      <c r="V5" s="3413"/>
      <c r="W5" s="3413"/>
      <c r="X5" s="1816"/>
      <c r="Y5" s="3390"/>
      <c r="Z5" s="3391"/>
      <c r="AA5" s="3384"/>
      <c r="AB5" s="3384"/>
      <c r="AC5" s="3384"/>
    </row>
    <row r="6" spans="1:29" ht="15.75" thickBot="1">
      <c r="A6" s="406"/>
      <c r="B6" s="407"/>
      <c r="C6" s="3396" t="s">
        <v>2545</v>
      </c>
      <c r="D6" s="3397"/>
      <c r="E6" s="3398" t="s">
        <v>2545</v>
      </c>
      <c r="F6" s="3399"/>
      <c r="G6" s="3396" t="s">
        <v>2545</v>
      </c>
      <c r="H6" s="3397"/>
      <c r="I6" s="3396" t="s">
        <v>2545</v>
      </c>
      <c r="J6" s="3397"/>
      <c r="K6" s="610" t="s">
        <v>2546</v>
      </c>
      <c r="L6" s="1133"/>
      <c r="M6" s="1134"/>
      <c r="N6" s="1134"/>
      <c r="O6" s="1134"/>
      <c r="P6" s="3409"/>
      <c r="Q6" s="3410"/>
      <c r="R6" s="3390"/>
      <c r="S6" s="3391"/>
      <c r="T6" s="3411"/>
      <c r="U6" s="3412"/>
      <c r="V6" s="3413"/>
      <c r="W6" s="3413"/>
      <c r="X6" s="1816"/>
      <c r="Y6" s="3411"/>
      <c r="Z6" s="3412"/>
      <c r="AA6" s="3385"/>
      <c r="AB6" s="3385"/>
      <c r="AC6" s="3385"/>
    </row>
    <row r="7" spans="1:29" s="117" customFormat="1" ht="15.75" thickBot="1">
      <c r="A7" s="408" t="s">
        <v>2547</v>
      </c>
      <c r="B7" s="409"/>
      <c r="C7" s="410">
        <f>'数据-取费表'!B2</f>
        <v>43516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386" t="s">
        <v>2548</v>
      </c>
      <c r="Q7" s="3414"/>
      <c r="R7" s="770" t="s">
        <v>17</v>
      </c>
      <c r="S7" s="771">
        <f t="shared" ref="S7:S14" si="0">F7</f>
        <v>0</v>
      </c>
      <c r="T7" s="770" t="s">
        <v>17</v>
      </c>
      <c r="U7" s="771">
        <f t="shared" ref="U7:U14" si="1">H7</f>
        <v>0</v>
      </c>
      <c r="V7" s="770" t="s">
        <v>17</v>
      </c>
      <c r="W7" s="771">
        <f t="shared" ref="W7:W14" si="2">J7</f>
        <v>0</v>
      </c>
      <c r="X7" s="772"/>
      <c r="Y7" s="3386" t="s">
        <v>2548</v>
      </c>
      <c r="Z7" s="3387"/>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386" t="s">
        <v>2551</v>
      </c>
      <c r="Q8" s="3387"/>
      <c r="R8" s="770" t="s">
        <v>17</v>
      </c>
      <c r="S8" s="771">
        <f t="shared" si="0"/>
        <v>0</v>
      </c>
      <c r="T8" s="770" t="s">
        <v>17</v>
      </c>
      <c r="U8" s="771">
        <f t="shared" si="1"/>
        <v>0</v>
      </c>
      <c r="V8" s="770" t="s">
        <v>17</v>
      </c>
      <c r="W8" s="771">
        <f t="shared" si="2"/>
        <v>0</v>
      </c>
      <c r="X8" s="772"/>
      <c r="Y8" s="3386" t="s">
        <v>2551</v>
      </c>
      <c r="Z8" s="338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400" t="s">
        <v>2554</v>
      </c>
      <c r="Q9" s="1798" t="str">
        <f t="shared" ref="Q9:Q14" si="6">B9</f>
        <v>用途</v>
      </c>
      <c r="R9" s="770" t="s">
        <v>17</v>
      </c>
      <c r="S9" s="771">
        <f t="shared" si="0"/>
        <v>100</v>
      </c>
      <c r="T9" s="770" t="s">
        <v>17</v>
      </c>
      <c r="U9" s="771">
        <f t="shared" si="1"/>
        <v>100</v>
      </c>
      <c r="V9" s="770" t="s">
        <v>17</v>
      </c>
      <c r="W9" s="771">
        <f t="shared" si="2"/>
        <v>100</v>
      </c>
      <c r="X9" s="772"/>
      <c r="Y9" s="3199"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400"/>
      <c r="Q10" s="1798" t="str">
        <f t="shared" si="6"/>
        <v>土地使用年限（年）</v>
      </c>
      <c r="R10" s="770" t="s">
        <v>17</v>
      </c>
      <c r="S10" s="771">
        <f t="shared" si="0"/>
        <v>100</v>
      </c>
      <c r="T10" s="770" t="s">
        <v>17</v>
      </c>
      <c r="U10" s="771">
        <f t="shared" si="1"/>
        <v>100</v>
      </c>
      <c r="V10" s="770" t="s">
        <v>17</v>
      </c>
      <c r="W10" s="771">
        <f t="shared" si="2"/>
        <v>100</v>
      </c>
      <c r="X10" s="772"/>
      <c r="Y10" s="31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400"/>
      <c r="Q11" s="1798">
        <f t="shared" si="6"/>
        <v>111</v>
      </c>
      <c r="R11" s="770" t="s">
        <v>17</v>
      </c>
      <c r="S11" s="771">
        <f t="shared" si="0"/>
        <v>100</v>
      </c>
      <c r="T11" s="770" t="s">
        <v>17</v>
      </c>
      <c r="U11" s="771">
        <f t="shared" si="1"/>
        <v>100</v>
      </c>
      <c r="V11" s="770" t="s">
        <v>17</v>
      </c>
      <c r="W11" s="771">
        <f t="shared" si="2"/>
        <v>100</v>
      </c>
      <c r="X11" s="772"/>
      <c r="Y11" s="31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400"/>
      <c r="Q12" s="1798">
        <f t="shared" si="6"/>
        <v>111</v>
      </c>
      <c r="R12" s="770" t="s">
        <v>17</v>
      </c>
      <c r="S12" s="771">
        <f t="shared" si="0"/>
        <v>100</v>
      </c>
      <c r="T12" s="770" t="s">
        <v>17</v>
      </c>
      <c r="U12" s="771">
        <f t="shared" si="1"/>
        <v>100</v>
      </c>
      <c r="V12" s="770" t="s">
        <v>17</v>
      </c>
      <c r="W12" s="771">
        <f t="shared" si="2"/>
        <v>100</v>
      </c>
      <c r="X12" s="772"/>
      <c r="Y12" s="31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400"/>
      <c r="Q13" s="1798">
        <f t="shared" si="6"/>
        <v>111</v>
      </c>
      <c r="R13" s="770" t="s">
        <v>17</v>
      </c>
      <c r="S13" s="771">
        <f t="shared" si="0"/>
        <v>100</v>
      </c>
      <c r="T13" s="770" t="s">
        <v>17</v>
      </c>
      <c r="U13" s="771">
        <f t="shared" si="1"/>
        <v>100</v>
      </c>
      <c r="V13" s="770" t="s">
        <v>17</v>
      </c>
      <c r="W13" s="771">
        <f t="shared" si="2"/>
        <v>100</v>
      </c>
      <c r="X13" s="772"/>
      <c r="Y13" s="3199"/>
      <c r="Z13" s="55">
        <f t="shared" si="7"/>
        <v>111</v>
      </c>
      <c r="AA13" s="773">
        <f t="shared" si="3"/>
        <v>1</v>
      </c>
      <c r="AB13" s="773">
        <f t="shared" si="4"/>
        <v>1</v>
      </c>
      <c r="AC13" s="773">
        <f t="shared" si="5"/>
        <v>1</v>
      </c>
    </row>
    <row r="14" spans="1:29" ht="85.5">
      <c r="A14" s="401" t="s">
        <v>2558</v>
      </c>
      <c r="B14" s="629" t="s">
        <v>2708</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415" t="s">
        <v>2559</v>
      </c>
      <c r="Q14" s="1813" t="str">
        <f t="shared" si="6"/>
        <v>交通便捷度</v>
      </c>
      <c r="R14" s="774" t="s">
        <v>17</v>
      </c>
      <c r="S14" s="775">
        <f t="shared" si="0"/>
        <v>100</v>
      </c>
      <c r="T14" s="774" t="s">
        <v>17</v>
      </c>
      <c r="U14" s="775">
        <f t="shared" si="1"/>
        <v>100</v>
      </c>
      <c r="V14" s="774" t="s">
        <v>17</v>
      </c>
      <c r="W14" s="775">
        <f t="shared" si="2"/>
        <v>100</v>
      </c>
      <c r="X14" s="1816"/>
      <c r="Y14" s="3415"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416"/>
      <c r="Q15" s="1813"/>
      <c r="R15" s="774"/>
      <c r="S15" s="775"/>
      <c r="T15" s="774"/>
      <c r="U15" s="775"/>
      <c r="V15" s="774"/>
      <c r="W15" s="775"/>
      <c r="X15" s="1816"/>
      <c r="Y15" s="3416"/>
      <c r="Z15" s="1817"/>
      <c r="AA15" s="1814">
        <v>1</v>
      </c>
      <c r="AB15" s="1814">
        <v>1</v>
      </c>
      <c r="AC15" s="1814">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416"/>
      <c r="Q16" s="1813" t="str">
        <f>B16</f>
        <v>公共配套设施</v>
      </c>
      <c r="R16" s="774" t="s">
        <v>17</v>
      </c>
      <c r="S16" s="775">
        <f>F16</f>
        <v>100</v>
      </c>
      <c r="T16" s="774" t="s">
        <v>17</v>
      </c>
      <c r="U16" s="775">
        <f>H16</f>
        <v>100</v>
      </c>
      <c r="V16" s="774" t="s">
        <v>17</v>
      </c>
      <c r="W16" s="775">
        <f>J16</f>
        <v>100</v>
      </c>
      <c r="X16" s="1816"/>
      <c r="Y16" s="3416"/>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416"/>
      <c r="Q17" s="1813"/>
      <c r="R17" s="774"/>
      <c r="S17" s="775"/>
      <c r="T17" s="774"/>
      <c r="U17" s="775"/>
      <c r="V17" s="774"/>
      <c r="W17" s="775"/>
      <c r="X17" s="1816"/>
      <c r="Y17" s="3416"/>
      <c r="Z17" s="1817"/>
      <c r="AA17" s="1814">
        <v>1</v>
      </c>
      <c r="AB17" s="1814">
        <v>1</v>
      </c>
      <c r="AC17" s="1814">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416"/>
      <c r="Q18" s="1813" t="str">
        <f>B18</f>
        <v>基础设施水平</v>
      </c>
      <c r="R18" s="774" t="s">
        <v>17</v>
      </c>
      <c r="S18" s="775">
        <f>F18</f>
        <v>100</v>
      </c>
      <c r="T18" s="774" t="s">
        <v>17</v>
      </c>
      <c r="U18" s="775">
        <f>H18</f>
        <v>100</v>
      </c>
      <c r="V18" s="774" t="s">
        <v>17</v>
      </c>
      <c r="W18" s="775">
        <f>J18</f>
        <v>100</v>
      </c>
      <c r="X18" s="1816"/>
      <c r="Y18" s="3416"/>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416"/>
      <c r="Q19" s="1813"/>
      <c r="R19" s="774"/>
      <c r="S19" s="775"/>
      <c r="T19" s="774"/>
      <c r="U19" s="775"/>
      <c r="V19" s="774"/>
      <c r="W19" s="775"/>
      <c r="X19" s="1816"/>
      <c r="Y19" s="3416"/>
      <c r="Z19" s="1817"/>
      <c r="AA19" s="1814">
        <v>1</v>
      </c>
      <c r="AB19" s="1814">
        <v>1</v>
      </c>
      <c r="AC19" s="1814">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416"/>
      <c r="Q20" s="1813" t="str">
        <f>B20</f>
        <v>自然及人文环境</v>
      </c>
      <c r="R20" s="774" t="s">
        <v>17</v>
      </c>
      <c r="S20" s="775">
        <f>F20</f>
        <v>100</v>
      </c>
      <c r="T20" s="774" t="s">
        <v>17</v>
      </c>
      <c r="U20" s="775">
        <f>H20</f>
        <v>100</v>
      </c>
      <c r="V20" s="774" t="s">
        <v>17</v>
      </c>
      <c r="W20" s="775">
        <f>J20</f>
        <v>100</v>
      </c>
      <c r="X20" s="1816"/>
      <c r="Y20" s="341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416"/>
      <c r="Q21" s="1813"/>
      <c r="R21" s="774"/>
      <c r="S21" s="775"/>
      <c r="T21" s="774"/>
      <c r="U21" s="775"/>
      <c r="V21" s="774"/>
      <c r="W21" s="775"/>
      <c r="X21" s="1816"/>
      <c r="Y21" s="3416"/>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416"/>
      <c r="Q22" s="1813" t="str">
        <f>B22</f>
        <v>楼层</v>
      </c>
      <c r="R22" s="774" t="s">
        <v>17</v>
      </c>
      <c r="S22" s="775">
        <f>F22</f>
        <v>100</v>
      </c>
      <c r="T22" s="774" t="s">
        <v>17</v>
      </c>
      <c r="U22" s="775">
        <f>H22</f>
        <v>100</v>
      </c>
      <c r="V22" s="774" t="s">
        <v>17</v>
      </c>
      <c r="W22" s="775">
        <f>J22</f>
        <v>100</v>
      </c>
      <c r="X22" s="1816"/>
      <c r="Y22" s="341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416"/>
      <c r="Q23" s="1813">
        <f>B23</f>
        <v>111</v>
      </c>
      <c r="R23" s="774" t="s">
        <v>17</v>
      </c>
      <c r="S23" s="775">
        <f>F23</f>
        <v>100</v>
      </c>
      <c r="T23" s="774" t="s">
        <v>17</v>
      </c>
      <c r="U23" s="775">
        <f>H23</f>
        <v>100</v>
      </c>
      <c r="V23" s="774" t="s">
        <v>17</v>
      </c>
      <c r="W23" s="775">
        <f>J23</f>
        <v>100</v>
      </c>
      <c r="X23" s="1816"/>
      <c r="Y23" s="341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416"/>
      <c r="Q24" s="1813">
        <f t="shared" ref="Q24:Q36" si="11">B24</f>
        <v>111</v>
      </c>
      <c r="R24" s="774" t="s">
        <v>17</v>
      </c>
      <c r="S24" s="775">
        <f>F24</f>
        <v>100</v>
      </c>
      <c r="T24" s="774" t="s">
        <v>17</v>
      </c>
      <c r="U24" s="775">
        <f>H24</f>
        <v>100</v>
      </c>
      <c r="V24" s="774" t="s">
        <v>17</v>
      </c>
      <c r="W24" s="775">
        <f>J24</f>
        <v>100</v>
      </c>
      <c r="X24" s="1816"/>
      <c r="Y24" s="341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416"/>
      <c r="Q25" s="1798">
        <f t="shared" si="11"/>
        <v>111</v>
      </c>
      <c r="R25" s="770" t="s">
        <v>17</v>
      </c>
      <c r="S25" s="771">
        <f>F25</f>
        <v>100</v>
      </c>
      <c r="T25" s="770" t="s">
        <v>17</v>
      </c>
      <c r="U25" s="771">
        <f>H25</f>
        <v>100</v>
      </c>
      <c r="V25" s="770" t="s">
        <v>17</v>
      </c>
      <c r="W25" s="771">
        <f>J25</f>
        <v>100</v>
      </c>
      <c r="X25" s="772"/>
      <c r="Y25" s="3416"/>
      <c r="Z25" s="55">
        <f>Q25</f>
        <v>111</v>
      </c>
      <c r="AA25" s="1814">
        <f>D25/F25</f>
        <v>1</v>
      </c>
      <c r="AB25" s="1814">
        <f>D25/H25</f>
        <v>1</v>
      </c>
      <c r="AC25" s="1814">
        <f>D25/J25</f>
        <v>1</v>
      </c>
    </row>
    <row r="26" spans="1:29" ht="28.5">
      <c r="A26" s="652" t="s">
        <v>2562</v>
      </c>
      <c r="B26" s="70" t="s">
        <v>2711</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417"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418"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418"/>
      <c r="Q27" s="776" t="str">
        <f t="shared" si="11"/>
        <v>项目停车位配比</v>
      </c>
      <c r="R27" s="777" t="s">
        <v>17</v>
      </c>
      <c r="S27" s="778">
        <f t="shared" si="12"/>
        <v>100</v>
      </c>
      <c r="T27" s="777" t="s">
        <v>17</v>
      </c>
      <c r="U27" s="778">
        <f t="shared" si="13"/>
        <v>100</v>
      </c>
      <c r="V27" s="777" t="s">
        <v>17</v>
      </c>
      <c r="W27" s="778">
        <f t="shared" si="14"/>
        <v>100</v>
      </c>
      <c r="X27" s="779"/>
      <c r="Y27" s="3418"/>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418"/>
      <c r="Q28" s="1813" t="str">
        <f t="shared" si="11"/>
        <v>公共部分装修</v>
      </c>
      <c r="R28" s="774" t="s">
        <v>17</v>
      </c>
      <c r="S28" s="775">
        <f t="shared" si="12"/>
        <v>100</v>
      </c>
      <c r="T28" s="774" t="s">
        <v>17</v>
      </c>
      <c r="U28" s="775">
        <f t="shared" si="13"/>
        <v>100</v>
      </c>
      <c r="V28" s="774" t="s">
        <v>17</v>
      </c>
      <c r="W28" s="775">
        <f t="shared" si="14"/>
        <v>100</v>
      </c>
      <c r="X28" s="1816"/>
      <c r="Y28" s="3418"/>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418"/>
      <c r="Q29" s="1813" t="str">
        <f t="shared" si="11"/>
        <v>成新率</v>
      </c>
      <c r="R29" s="774" t="s">
        <v>17</v>
      </c>
      <c r="S29" s="775" t="e">
        <f t="shared" si="12"/>
        <v>#N/A</v>
      </c>
      <c r="T29" s="774" t="s">
        <v>17</v>
      </c>
      <c r="U29" s="775" t="e">
        <f t="shared" si="13"/>
        <v>#N/A</v>
      </c>
      <c r="V29" s="774" t="s">
        <v>17</v>
      </c>
      <c r="W29" s="775" t="e">
        <f t="shared" si="14"/>
        <v>#N/A</v>
      </c>
      <c r="X29" s="1816"/>
      <c r="Y29" s="3418"/>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418"/>
      <c r="Q30" s="1813" t="str">
        <f t="shared" si="11"/>
        <v>物业等级</v>
      </c>
      <c r="R30" s="774" t="s">
        <v>17</v>
      </c>
      <c r="S30" s="775">
        <f t="shared" si="12"/>
        <v>100</v>
      </c>
      <c r="T30" s="774" t="s">
        <v>17</v>
      </c>
      <c r="U30" s="775">
        <f t="shared" si="13"/>
        <v>100</v>
      </c>
      <c r="V30" s="774" t="s">
        <v>17</v>
      </c>
      <c r="W30" s="775">
        <f t="shared" si="14"/>
        <v>100</v>
      </c>
      <c r="X30" s="1816"/>
      <c r="Y30" s="3418"/>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418"/>
      <c r="Q31" s="1798" t="str">
        <f t="shared" si="11"/>
        <v>停车位面积</v>
      </c>
      <c r="R31" s="770" t="s">
        <v>17</v>
      </c>
      <c r="S31" s="771" t="e">
        <f t="shared" si="12"/>
        <v>#N/A</v>
      </c>
      <c r="T31" s="770" t="s">
        <v>17</v>
      </c>
      <c r="U31" s="771" t="e">
        <f t="shared" si="13"/>
        <v>#N/A</v>
      </c>
      <c r="V31" s="770" t="s">
        <v>17</v>
      </c>
      <c r="W31" s="771" t="e">
        <f t="shared" si="14"/>
        <v>#N/A</v>
      </c>
      <c r="X31" s="772"/>
      <c r="Y31" s="3418"/>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418" t="s">
        <v>2564</v>
      </c>
      <c r="Q32" s="1813" t="str">
        <f t="shared" si="11"/>
        <v>车位类型</v>
      </c>
      <c r="R32" s="774" t="s">
        <v>17</v>
      </c>
      <c r="S32" s="775">
        <f t="shared" si="12"/>
        <v>100</v>
      </c>
      <c r="T32" s="774" t="s">
        <v>17</v>
      </c>
      <c r="U32" s="775">
        <f t="shared" si="13"/>
        <v>100</v>
      </c>
      <c r="V32" s="774" t="s">
        <v>17</v>
      </c>
      <c r="W32" s="775">
        <f t="shared" si="14"/>
        <v>100</v>
      </c>
      <c r="X32" s="1816"/>
      <c r="Y32" s="3418"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418"/>
      <c r="Q33" s="1813" t="str">
        <f t="shared" si="11"/>
        <v>是否直接入户</v>
      </c>
      <c r="R33" s="774" t="s">
        <v>17</v>
      </c>
      <c r="S33" s="775">
        <f t="shared" si="12"/>
        <v>100</v>
      </c>
      <c r="T33" s="774" t="s">
        <v>17</v>
      </c>
      <c r="U33" s="775">
        <f t="shared" si="13"/>
        <v>100</v>
      </c>
      <c r="V33" s="774" t="s">
        <v>17</v>
      </c>
      <c r="W33" s="775">
        <f t="shared" si="14"/>
        <v>100</v>
      </c>
      <c r="X33" s="1816"/>
      <c r="Y33" s="341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418"/>
      <c r="Q34" s="1813">
        <f t="shared" si="11"/>
        <v>111</v>
      </c>
      <c r="R34" s="774" t="s">
        <v>17</v>
      </c>
      <c r="S34" s="775">
        <f t="shared" si="12"/>
        <v>100</v>
      </c>
      <c r="T34" s="774" t="s">
        <v>17</v>
      </c>
      <c r="U34" s="775">
        <f t="shared" si="13"/>
        <v>100</v>
      </c>
      <c r="V34" s="774" t="s">
        <v>17</v>
      </c>
      <c r="W34" s="775">
        <f t="shared" si="14"/>
        <v>100</v>
      </c>
      <c r="X34" s="1816"/>
      <c r="Y34" s="341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418"/>
      <c r="Q35" s="776">
        <f t="shared" si="11"/>
        <v>111</v>
      </c>
      <c r="R35" s="777" t="s">
        <v>17</v>
      </c>
      <c r="S35" s="778">
        <f t="shared" si="12"/>
        <v>100</v>
      </c>
      <c r="T35" s="777" t="s">
        <v>17</v>
      </c>
      <c r="U35" s="778">
        <f t="shared" si="13"/>
        <v>100</v>
      </c>
      <c r="V35" s="777" t="s">
        <v>17</v>
      </c>
      <c r="W35" s="778">
        <f t="shared" si="14"/>
        <v>100</v>
      </c>
      <c r="X35" s="779"/>
      <c r="Y35" s="341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418"/>
      <c r="Q36" s="1813">
        <f t="shared" si="11"/>
        <v>111</v>
      </c>
      <c r="R36" s="774" t="s">
        <v>17</v>
      </c>
      <c r="S36" s="775">
        <f t="shared" si="12"/>
        <v>100</v>
      </c>
      <c r="T36" s="774" t="s">
        <v>17</v>
      </c>
      <c r="U36" s="775">
        <f t="shared" si="13"/>
        <v>100</v>
      </c>
      <c r="V36" s="774" t="s">
        <v>17</v>
      </c>
      <c r="W36" s="775">
        <f t="shared" si="14"/>
        <v>100</v>
      </c>
      <c r="X36" s="1816"/>
      <c r="Y36" s="3418"/>
      <c r="Z36" s="1817">
        <f t="shared" si="15"/>
        <v>111</v>
      </c>
      <c r="AA36" s="1814">
        <f t="shared" si="3"/>
        <v>1</v>
      </c>
      <c r="AB36" s="1814">
        <f t="shared" si="4"/>
        <v>1</v>
      </c>
      <c r="AC36" s="1814">
        <f t="shared" si="5"/>
        <v>1</v>
      </c>
    </row>
    <row r="37" spans="1:29" ht="15">
      <c r="A37" s="479" t="s">
        <v>2719</v>
      </c>
      <c r="B37" s="2695" t="s">
        <v>2720</v>
      </c>
      <c r="C37" s="1410" t="s">
        <v>1</v>
      </c>
      <c r="D37" s="1411"/>
      <c r="E37" s="1412"/>
      <c r="F37" s="1413"/>
      <c r="G37" s="1414"/>
      <c r="H37" s="1415"/>
      <c r="I37" s="1412"/>
      <c r="J37" s="1415"/>
      <c r="K37" s="619"/>
      <c r="L37" s="1146"/>
      <c r="M37" s="1147"/>
      <c r="N37" s="1134"/>
      <c r="O37" s="1147"/>
      <c r="P37" s="3400" t="str">
        <f>A37</f>
        <v>成交单价</v>
      </c>
      <c r="Q37" s="3400"/>
      <c r="R37" s="3429">
        <f>E37</f>
        <v>0</v>
      </c>
      <c r="S37" s="3429"/>
      <c r="T37" s="3429">
        <f>G37</f>
        <v>0</v>
      </c>
      <c r="U37" s="3429"/>
      <c r="V37" s="3429">
        <f>I37</f>
        <v>0</v>
      </c>
      <c r="W37" s="3429"/>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400" t="str">
        <f>A38</f>
        <v>比较价值（元/平方米）</v>
      </c>
      <c r="Q38" s="3400"/>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420" t="str">
        <f>A39</f>
        <v>估价对象XX用房的比较价值（楼面单价，元/平方米）</v>
      </c>
      <c r="Q39" s="3421"/>
      <c r="R39" s="3428" t="e">
        <f>IF(F1="售价",ROUND(AVERAGE(R38:V38),0),ROUND(AVERAGE(R38:V38),1))</f>
        <v>#DIV/0!</v>
      </c>
      <c r="S39" s="3428"/>
      <c r="T39" s="3428"/>
      <c r="U39" s="3428"/>
      <c r="V39" s="3428"/>
      <c r="W39" s="342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401" t="s">
        <v>2645</v>
      </c>
      <c r="D4" s="3402"/>
      <c r="E4" s="3403" t="s">
        <v>2646</v>
      </c>
      <c r="F4" s="3404"/>
      <c r="G4" s="3401" t="s">
        <v>2647</v>
      </c>
      <c r="H4" s="3402"/>
      <c r="I4" s="3401" t="s">
        <v>2648</v>
      </c>
      <c r="J4" s="3402"/>
      <c r="K4" s="610" t="s">
        <v>2649</v>
      </c>
      <c r="L4" s="1133"/>
      <c r="M4" s="1134"/>
      <c r="N4" s="1134"/>
      <c r="O4" s="1134"/>
      <c r="P4" s="3405" t="s">
        <v>2650</v>
      </c>
      <c r="Q4" s="3406"/>
      <c r="R4" s="3388" t="s">
        <v>2646</v>
      </c>
      <c r="S4" s="3389"/>
      <c r="T4" s="3388" t="s">
        <v>2647</v>
      </c>
      <c r="U4" s="3389"/>
      <c r="V4" s="3413" t="s">
        <v>2648</v>
      </c>
      <c r="W4" s="3413"/>
      <c r="X4" s="1816"/>
      <c r="Y4" s="3388" t="s">
        <v>2650</v>
      </c>
      <c r="Z4" s="3389"/>
      <c r="AA4" s="3383" t="s">
        <v>2646</v>
      </c>
      <c r="AB4" s="3384" t="s">
        <v>2647</v>
      </c>
      <c r="AC4" s="3383" t="s">
        <v>2648</v>
      </c>
    </row>
    <row r="5" spans="1:29" ht="15">
      <c r="A5" s="404"/>
      <c r="B5" s="405"/>
      <c r="C5" s="3394" t="s">
        <v>2541</v>
      </c>
      <c r="D5" s="3395"/>
      <c r="E5" s="3392" t="s">
        <v>2542</v>
      </c>
      <c r="F5" s="3393"/>
      <c r="G5" s="3394" t="s">
        <v>2543</v>
      </c>
      <c r="H5" s="3395"/>
      <c r="I5" s="3394" t="s">
        <v>2544</v>
      </c>
      <c r="J5" s="3395"/>
      <c r="K5" s="610"/>
      <c r="L5" s="1133"/>
      <c r="M5" s="1134"/>
      <c r="N5" s="1134"/>
      <c r="O5" s="1134"/>
      <c r="P5" s="3407"/>
      <c r="Q5" s="3408"/>
      <c r="R5" s="3390"/>
      <c r="S5" s="3391"/>
      <c r="T5" s="3390"/>
      <c r="U5" s="3391"/>
      <c r="V5" s="3413"/>
      <c r="W5" s="3413"/>
      <c r="X5" s="1816"/>
      <c r="Y5" s="3390"/>
      <c r="Z5" s="3391"/>
      <c r="AA5" s="3384"/>
      <c r="AB5" s="3384"/>
      <c r="AC5" s="3384"/>
    </row>
    <row r="6" spans="1:29" ht="15.75" thickBot="1">
      <c r="A6" s="406"/>
      <c r="B6" s="407"/>
      <c r="C6" s="3396" t="s">
        <v>2545</v>
      </c>
      <c r="D6" s="3397"/>
      <c r="E6" s="3398" t="s">
        <v>2545</v>
      </c>
      <c r="F6" s="3399"/>
      <c r="G6" s="3396" t="s">
        <v>2545</v>
      </c>
      <c r="H6" s="3397"/>
      <c r="I6" s="3396" t="s">
        <v>2545</v>
      </c>
      <c r="J6" s="3397"/>
      <c r="K6" s="610" t="s">
        <v>2546</v>
      </c>
      <c r="L6" s="1133"/>
      <c r="M6" s="1134"/>
      <c r="N6" s="1134"/>
      <c r="O6" s="1134"/>
      <c r="P6" s="3409"/>
      <c r="Q6" s="3410"/>
      <c r="R6" s="3390"/>
      <c r="S6" s="3391"/>
      <c r="T6" s="3411"/>
      <c r="U6" s="3412"/>
      <c r="V6" s="3413"/>
      <c r="W6" s="3413"/>
      <c r="X6" s="1816"/>
      <c r="Y6" s="3411"/>
      <c r="Z6" s="3412"/>
      <c r="AA6" s="3385"/>
      <c r="AB6" s="3385"/>
      <c r="AC6" s="3385"/>
    </row>
    <row r="7" spans="1:29" s="117" customFormat="1" ht="15.75" thickBot="1">
      <c r="A7" s="408" t="s">
        <v>2547</v>
      </c>
      <c r="B7" s="409"/>
      <c r="C7" s="410">
        <f>'数据-取费表'!B2</f>
        <v>43516</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386" t="s">
        <v>2548</v>
      </c>
      <c r="Q7" s="3414"/>
      <c r="R7" s="770" t="s">
        <v>17</v>
      </c>
      <c r="S7" s="771">
        <f t="shared" ref="S7:S14" si="0">F7</f>
        <v>0</v>
      </c>
      <c r="T7" s="770" t="s">
        <v>17</v>
      </c>
      <c r="U7" s="771">
        <f t="shared" ref="U7:U14" si="1">H7</f>
        <v>0</v>
      </c>
      <c r="V7" s="770" t="s">
        <v>17</v>
      </c>
      <c r="W7" s="771">
        <f t="shared" ref="W7:W14" si="2">J7</f>
        <v>0</v>
      </c>
      <c r="X7" s="772"/>
      <c r="Y7" s="3386" t="s">
        <v>2548</v>
      </c>
      <c r="Z7" s="3387"/>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386" t="s">
        <v>2551</v>
      </c>
      <c r="Q8" s="3387"/>
      <c r="R8" s="770" t="s">
        <v>17</v>
      </c>
      <c r="S8" s="771">
        <f t="shared" si="0"/>
        <v>0</v>
      </c>
      <c r="T8" s="770" t="s">
        <v>17</v>
      </c>
      <c r="U8" s="771">
        <f t="shared" si="1"/>
        <v>0</v>
      </c>
      <c r="V8" s="770" t="s">
        <v>17</v>
      </c>
      <c r="W8" s="771">
        <f t="shared" si="2"/>
        <v>0</v>
      </c>
      <c r="X8" s="772"/>
      <c r="Y8" s="3386" t="s">
        <v>2551</v>
      </c>
      <c r="Z8" s="338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400" t="s">
        <v>2554</v>
      </c>
      <c r="Q9" s="1798" t="str">
        <f t="shared" ref="Q9:Q14" si="6">B9</f>
        <v>用途</v>
      </c>
      <c r="R9" s="770" t="s">
        <v>17</v>
      </c>
      <c r="S9" s="771">
        <f t="shared" si="0"/>
        <v>100</v>
      </c>
      <c r="T9" s="770" t="s">
        <v>17</v>
      </c>
      <c r="U9" s="771">
        <f t="shared" si="1"/>
        <v>100</v>
      </c>
      <c r="V9" s="770" t="s">
        <v>17</v>
      </c>
      <c r="W9" s="771">
        <f t="shared" si="2"/>
        <v>100</v>
      </c>
      <c r="X9" s="772"/>
      <c r="Y9" s="3199"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400"/>
      <c r="Q10" s="1798" t="str">
        <f t="shared" si="6"/>
        <v>土地使用年限（年）</v>
      </c>
      <c r="R10" s="770" t="s">
        <v>17</v>
      </c>
      <c r="S10" s="771">
        <f t="shared" si="0"/>
        <v>100</v>
      </c>
      <c r="T10" s="770" t="s">
        <v>17</v>
      </c>
      <c r="U10" s="771">
        <f t="shared" si="1"/>
        <v>100</v>
      </c>
      <c r="V10" s="770" t="s">
        <v>17</v>
      </c>
      <c r="W10" s="771">
        <f t="shared" si="2"/>
        <v>100</v>
      </c>
      <c r="X10" s="772"/>
      <c r="Y10" s="3199"/>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400"/>
      <c r="Q11" s="1798">
        <f t="shared" si="6"/>
        <v>111</v>
      </c>
      <c r="R11" s="770" t="s">
        <v>17</v>
      </c>
      <c r="S11" s="771">
        <f t="shared" si="0"/>
        <v>100</v>
      </c>
      <c r="T11" s="770" t="s">
        <v>17</v>
      </c>
      <c r="U11" s="771">
        <f t="shared" si="1"/>
        <v>100</v>
      </c>
      <c r="V11" s="770" t="s">
        <v>17</v>
      </c>
      <c r="W11" s="771">
        <f t="shared" si="2"/>
        <v>100</v>
      </c>
      <c r="X11" s="772"/>
      <c r="Y11" s="3199"/>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400"/>
      <c r="Q12" s="1798">
        <f t="shared" si="6"/>
        <v>111</v>
      </c>
      <c r="R12" s="770" t="s">
        <v>17</v>
      </c>
      <c r="S12" s="771">
        <f t="shared" si="0"/>
        <v>100</v>
      </c>
      <c r="T12" s="770" t="s">
        <v>17</v>
      </c>
      <c r="U12" s="771">
        <f t="shared" si="1"/>
        <v>100</v>
      </c>
      <c r="V12" s="770" t="s">
        <v>17</v>
      </c>
      <c r="W12" s="771">
        <f t="shared" si="2"/>
        <v>100</v>
      </c>
      <c r="X12" s="772"/>
      <c r="Y12" s="3199"/>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400"/>
      <c r="Q13" s="1798">
        <f t="shared" si="6"/>
        <v>111</v>
      </c>
      <c r="R13" s="770" t="s">
        <v>17</v>
      </c>
      <c r="S13" s="771">
        <f t="shared" si="0"/>
        <v>100</v>
      </c>
      <c r="T13" s="770" t="s">
        <v>17</v>
      </c>
      <c r="U13" s="771">
        <f t="shared" si="1"/>
        <v>100</v>
      </c>
      <c r="V13" s="770" t="s">
        <v>17</v>
      </c>
      <c r="W13" s="771">
        <f t="shared" si="2"/>
        <v>100</v>
      </c>
      <c r="X13" s="772"/>
      <c r="Y13" s="3199"/>
      <c r="Z13" s="55">
        <f t="shared" si="7"/>
        <v>111</v>
      </c>
      <c r="AA13" s="773">
        <f t="shared" si="3"/>
        <v>1</v>
      </c>
      <c r="AB13" s="773">
        <f t="shared" si="4"/>
        <v>1</v>
      </c>
      <c r="AC13" s="773">
        <f t="shared" si="5"/>
        <v>1</v>
      </c>
    </row>
    <row r="14" spans="1:29" ht="85.5">
      <c r="A14" s="440" t="s">
        <v>2558</v>
      </c>
      <c r="B14" s="69" t="s">
        <v>2708</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415" t="s">
        <v>2559</v>
      </c>
      <c r="Q14" s="1813" t="str">
        <f t="shared" si="6"/>
        <v>交通便捷度</v>
      </c>
      <c r="R14" s="774" t="s">
        <v>17</v>
      </c>
      <c r="S14" s="775">
        <f t="shared" si="0"/>
        <v>100</v>
      </c>
      <c r="T14" s="774" t="s">
        <v>17</v>
      </c>
      <c r="U14" s="775">
        <f t="shared" si="1"/>
        <v>100</v>
      </c>
      <c r="V14" s="774" t="s">
        <v>17</v>
      </c>
      <c r="W14" s="775">
        <f t="shared" si="2"/>
        <v>100</v>
      </c>
      <c r="X14" s="1816"/>
      <c r="Y14" s="3415"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416"/>
      <c r="Q15" s="1813"/>
      <c r="R15" s="774"/>
      <c r="S15" s="775"/>
      <c r="T15" s="774"/>
      <c r="U15" s="775"/>
      <c r="V15" s="774"/>
      <c r="W15" s="775"/>
      <c r="X15" s="1816"/>
      <c r="Y15" s="3416"/>
      <c r="Z15" s="1817"/>
      <c r="AA15" s="1814">
        <v>1</v>
      </c>
      <c r="AB15" s="1814">
        <v>1</v>
      </c>
      <c r="AC15" s="1814">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416"/>
      <c r="Q16" s="1813" t="str">
        <f>B16</f>
        <v>公共配套设施</v>
      </c>
      <c r="R16" s="774" t="s">
        <v>17</v>
      </c>
      <c r="S16" s="775">
        <f>F16</f>
        <v>100</v>
      </c>
      <c r="T16" s="774" t="s">
        <v>17</v>
      </c>
      <c r="U16" s="775">
        <f>H16</f>
        <v>100</v>
      </c>
      <c r="V16" s="774" t="s">
        <v>17</v>
      </c>
      <c r="W16" s="775">
        <f>J16</f>
        <v>100</v>
      </c>
      <c r="X16" s="1816"/>
      <c r="Y16" s="3416"/>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416"/>
      <c r="Q17" s="1813"/>
      <c r="R17" s="774"/>
      <c r="S17" s="775"/>
      <c r="T17" s="774"/>
      <c r="U17" s="775"/>
      <c r="V17" s="774"/>
      <c r="W17" s="775"/>
      <c r="X17" s="1816"/>
      <c r="Y17" s="3416"/>
      <c r="Z17" s="1817"/>
      <c r="AA17" s="1814">
        <v>1</v>
      </c>
      <c r="AB17" s="1814">
        <v>1</v>
      </c>
      <c r="AC17" s="1814">
        <v>1</v>
      </c>
    </row>
    <row r="18" spans="1:29" ht="28.5">
      <c r="A18" s="428"/>
      <c r="B18" s="1387"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416"/>
      <c r="Q18" s="1813" t="str">
        <f>B18</f>
        <v>基础设施水平</v>
      </c>
      <c r="R18" s="774" t="s">
        <v>17</v>
      </c>
      <c r="S18" s="775">
        <f>F18</f>
        <v>100</v>
      </c>
      <c r="T18" s="774" t="s">
        <v>17</v>
      </c>
      <c r="U18" s="775">
        <f>H18</f>
        <v>100</v>
      </c>
      <c r="V18" s="774" t="s">
        <v>17</v>
      </c>
      <c r="W18" s="775">
        <f>J18</f>
        <v>100</v>
      </c>
      <c r="X18" s="1816"/>
      <c r="Y18" s="3416"/>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416"/>
      <c r="Q19" s="1813"/>
      <c r="R19" s="774"/>
      <c r="S19" s="775"/>
      <c r="T19" s="774"/>
      <c r="U19" s="775"/>
      <c r="V19" s="774"/>
      <c r="W19" s="775"/>
      <c r="X19" s="1816"/>
      <c r="Y19" s="3416"/>
      <c r="Z19" s="1817"/>
      <c r="AA19" s="1814">
        <v>1</v>
      </c>
      <c r="AB19" s="1814">
        <v>1</v>
      </c>
      <c r="AC19" s="1814">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416"/>
      <c r="Q20" s="1813" t="str">
        <f>B20</f>
        <v>自然及人文环境</v>
      </c>
      <c r="R20" s="774" t="s">
        <v>17</v>
      </c>
      <c r="S20" s="775">
        <f>F20</f>
        <v>100</v>
      </c>
      <c r="T20" s="774" t="s">
        <v>17</v>
      </c>
      <c r="U20" s="775">
        <f>H20</f>
        <v>100</v>
      </c>
      <c r="V20" s="774" t="s">
        <v>17</v>
      </c>
      <c r="W20" s="775">
        <f>J20</f>
        <v>100</v>
      </c>
      <c r="X20" s="1816"/>
      <c r="Y20" s="341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416"/>
      <c r="Q21" s="1813"/>
      <c r="R21" s="774"/>
      <c r="S21" s="775"/>
      <c r="T21" s="774"/>
      <c r="U21" s="775"/>
      <c r="V21" s="774"/>
      <c r="W21" s="775"/>
      <c r="X21" s="1816"/>
      <c r="Y21" s="3416"/>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416"/>
      <c r="Q22" s="1813" t="str">
        <f>B22</f>
        <v>楼层</v>
      </c>
      <c r="R22" s="774" t="s">
        <v>17</v>
      </c>
      <c r="S22" s="775">
        <f>F22</f>
        <v>100</v>
      </c>
      <c r="T22" s="774" t="s">
        <v>17</v>
      </c>
      <c r="U22" s="775">
        <f>H22</f>
        <v>100</v>
      </c>
      <c r="V22" s="774" t="s">
        <v>17</v>
      </c>
      <c r="W22" s="775">
        <f>J22</f>
        <v>100</v>
      </c>
      <c r="X22" s="1816"/>
      <c r="Y22" s="3416"/>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416"/>
      <c r="Q23" s="1813">
        <f>B23</f>
        <v>111</v>
      </c>
      <c r="R23" s="774" t="s">
        <v>17</v>
      </c>
      <c r="S23" s="775">
        <f>F23</f>
        <v>100</v>
      </c>
      <c r="T23" s="774" t="s">
        <v>17</v>
      </c>
      <c r="U23" s="775">
        <f>H23</f>
        <v>100</v>
      </c>
      <c r="V23" s="774" t="s">
        <v>17</v>
      </c>
      <c r="W23" s="775">
        <f>J23</f>
        <v>100</v>
      </c>
      <c r="X23" s="1816"/>
      <c r="Y23" s="3416"/>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416"/>
      <c r="Q24" s="1813">
        <f t="shared" ref="Q24:Q34" si="11">B24</f>
        <v>111</v>
      </c>
      <c r="R24" s="774" t="s">
        <v>17</v>
      </c>
      <c r="S24" s="775">
        <f>F24</f>
        <v>100</v>
      </c>
      <c r="T24" s="774" t="s">
        <v>17</v>
      </c>
      <c r="U24" s="775">
        <f>H24</f>
        <v>100</v>
      </c>
      <c r="V24" s="774" t="s">
        <v>17</v>
      </c>
      <c r="W24" s="775">
        <f>J24</f>
        <v>100</v>
      </c>
      <c r="X24" s="1816"/>
      <c r="Y24" s="3416"/>
      <c r="Z24" s="1817">
        <f>Q24</f>
        <v>111</v>
      </c>
      <c r="AA24" s="1814">
        <f t="shared" si="3"/>
        <v>1</v>
      </c>
      <c r="AB24" s="1814">
        <f t="shared" si="4"/>
        <v>1</v>
      </c>
      <c r="AC24" s="1814">
        <f t="shared" si="5"/>
        <v>1</v>
      </c>
    </row>
    <row r="25" spans="1:29" s="117" customFormat="1" ht="15.75" thickBot="1">
      <c r="A25" s="431"/>
      <c r="B25" s="2602">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416"/>
      <c r="Q25" s="1798">
        <f t="shared" si="11"/>
        <v>111</v>
      </c>
      <c r="R25" s="770" t="s">
        <v>17</v>
      </c>
      <c r="S25" s="771">
        <f>F25</f>
        <v>100</v>
      </c>
      <c r="T25" s="770" t="s">
        <v>17</v>
      </c>
      <c r="U25" s="771">
        <f>H25</f>
        <v>100</v>
      </c>
      <c r="V25" s="770" t="s">
        <v>17</v>
      </c>
      <c r="W25" s="771">
        <f>J25</f>
        <v>100</v>
      </c>
      <c r="X25" s="772"/>
      <c r="Y25" s="3416"/>
      <c r="Z25" s="55">
        <f>Q25</f>
        <v>111</v>
      </c>
      <c r="AA25" s="1814">
        <f>D25/F25</f>
        <v>1</v>
      </c>
      <c r="AB25" s="1814">
        <f>D25/H25</f>
        <v>1</v>
      </c>
      <c r="AC25" s="1814">
        <f>D25/J25</f>
        <v>1</v>
      </c>
    </row>
    <row r="26" spans="1:29" ht="28.5">
      <c r="A26" s="466" t="s">
        <v>2562</v>
      </c>
      <c r="B26" s="71" t="s">
        <v>2713</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417"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418"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418"/>
      <c r="Q27" s="776" t="str">
        <f t="shared" si="11"/>
        <v>成新率</v>
      </c>
      <c r="R27" s="777" t="s">
        <v>17</v>
      </c>
      <c r="S27" s="778" t="e">
        <f t="shared" si="12"/>
        <v>#N/A</v>
      </c>
      <c r="T27" s="777" t="s">
        <v>17</v>
      </c>
      <c r="U27" s="778" t="e">
        <f t="shared" si="13"/>
        <v>#N/A</v>
      </c>
      <c r="V27" s="777" t="s">
        <v>17</v>
      </c>
      <c r="W27" s="778" t="e">
        <f t="shared" si="14"/>
        <v>#N/A</v>
      </c>
      <c r="X27" s="779"/>
      <c r="Y27" s="3418"/>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418"/>
      <c r="Q28" s="1813" t="str">
        <f t="shared" si="11"/>
        <v>物业等级</v>
      </c>
      <c r="R28" s="774" t="s">
        <v>17</v>
      </c>
      <c r="S28" s="775">
        <f t="shared" si="12"/>
        <v>100</v>
      </c>
      <c r="T28" s="774" t="s">
        <v>17</v>
      </c>
      <c r="U28" s="775">
        <f t="shared" si="13"/>
        <v>100</v>
      </c>
      <c r="V28" s="774" t="s">
        <v>17</v>
      </c>
      <c r="W28" s="775">
        <f t="shared" si="14"/>
        <v>100</v>
      </c>
      <c r="X28" s="1816"/>
      <c r="Y28" s="3418"/>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418"/>
      <c r="Q29" s="1813" t="str">
        <f t="shared" si="11"/>
        <v>有无电梯</v>
      </c>
      <c r="R29" s="774" t="s">
        <v>17</v>
      </c>
      <c r="S29" s="775">
        <f t="shared" si="12"/>
        <v>100</v>
      </c>
      <c r="T29" s="774" t="s">
        <v>17</v>
      </c>
      <c r="U29" s="775">
        <f t="shared" si="13"/>
        <v>100</v>
      </c>
      <c r="V29" s="774" t="s">
        <v>17</v>
      </c>
      <c r="W29" s="775">
        <f t="shared" si="14"/>
        <v>100</v>
      </c>
      <c r="X29" s="1816"/>
      <c r="Y29" s="3418"/>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418"/>
      <c r="Q30" s="1813" t="str">
        <f t="shared" si="11"/>
        <v>建筑面积</v>
      </c>
      <c r="R30" s="774" t="s">
        <v>17</v>
      </c>
      <c r="S30" s="775" t="e">
        <f t="shared" si="12"/>
        <v>#N/A</v>
      </c>
      <c r="T30" s="774" t="s">
        <v>17</v>
      </c>
      <c r="U30" s="775" t="e">
        <f t="shared" si="13"/>
        <v>#N/A</v>
      </c>
      <c r="V30" s="774" t="s">
        <v>17</v>
      </c>
      <c r="W30" s="775" t="e">
        <f t="shared" si="14"/>
        <v>#N/A</v>
      </c>
      <c r="X30" s="1816"/>
      <c r="Y30" s="3418"/>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418"/>
      <c r="Q31" s="1798" t="str">
        <f t="shared" si="11"/>
        <v>是否封闭</v>
      </c>
      <c r="R31" s="770" t="s">
        <v>17</v>
      </c>
      <c r="S31" s="771">
        <f t="shared" si="12"/>
        <v>100</v>
      </c>
      <c r="T31" s="770" t="s">
        <v>17</v>
      </c>
      <c r="U31" s="771">
        <f t="shared" si="13"/>
        <v>100</v>
      </c>
      <c r="V31" s="770" t="s">
        <v>17</v>
      </c>
      <c r="W31" s="771">
        <f t="shared" si="14"/>
        <v>100</v>
      </c>
      <c r="X31" s="772"/>
      <c r="Y31" s="341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418" t="s">
        <v>2564</v>
      </c>
      <c r="Q32" s="1813">
        <f t="shared" si="11"/>
        <v>111</v>
      </c>
      <c r="R32" s="774" t="s">
        <v>17</v>
      </c>
      <c r="S32" s="775">
        <f t="shared" si="12"/>
        <v>100</v>
      </c>
      <c r="T32" s="774" t="s">
        <v>17</v>
      </c>
      <c r="U32" s="775">
        <f t="shared" si="13"/>
        <v>100</v>
      </c>
      <c r="V32" s="774" t="s">
        <v>17</v>
      </c>
      <c r="W32" s="775">
        <f t="shared" si="14"/>
        <v>100</v>
      </c>
      <c r="X32" s="1816"/>
      <c r="Y32" s="3418" t="s">
        <v>2564</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418"/>
      <c r="Q33" s="1813">
        <f t="shared" si="11"/>
        <v>111</v>
      </c>
      <c r="R33" s="774" t="s">
        <v>17</v>
      </c>
      <c r="S33" s="775">
        <f t="shared" si="12"/>
        <v>100</v>
      </c>
      <c r="T33" s="774" t="s">
        <v>17</v>
      </c>
      <c r="U33" s="775">
        <f t="shared" si="13"/>
        <v>100</v>
      </c>
      <c r="V33" s="774" t="s">
        <v>17</v>
      </c>
      <c r="W33" s="775">
        <f t="shared" si="14"/>
        <v>100</v>
      </c>
      <c r="X33" s="1816"/>
      <c r="Y33" s="3418"/>
      <c r="Z33" s="1817">
        <f t="shared" si="15"/>
        <v>111</v>
      </c>
      <c r="AA33" s="1814">
        <f t="shared" si="3"/>
        <v>1</v>
      </c>
      <c r="AB33" s="1814">
        <f t="shared" si="4"/>
        <v>1</v>
      </c>
      <c r="AC33" s="1814">
        <f t="shared" si="5"/>
        <v>1</v>
      </c>
    </row>
    <row r="34" spans="1:29" ht="15.75" thickBot="1">
      <c r="A34" s="478"/>
      <c r="B34" s="2604">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418"/>
      <c r="Q34" s="1813">
        <f t="shared" si="11"/>
        <v>111</v>
      </c>
      <c r="R34" s="774" t="s">
        <v>17</v>
      </c>
      <c r="S34" s="775">
        <f t="shared" si="12"/>
        <v>100</v>
      </c>
      <c r="T34" s="774" t="s">
        <v>17</v>
      </c>
      <c r="U34" s="775">
        <f t="shared" si="13"/>
        <v>100</v>
      </c>
      <c r="V34" s="774" t="s">
        <v>17</v>
      </c>
      <c r="W34" s="775">
        <f t="shared" si="14"/>
        <v>100</v>
      </c>
      <c r="X34" s="1816"/>
      <c r="Y34" s="3418"/>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400" t="str">
        <f>A35</f>
        <v>成交单价（元/平方米）</v>
      </c>
      <c r="Q35" s="3400"/>
      <c r="R35" s="3429">
        <f>E35</f>
        <v>0</v>
      </c>
      <c r="S35" s="3429"/>
      <c r="T35" s="3429">
        <f>G35</f>
        <v>0</v>
      </c>
      <c r="U35" s="3429"/>
      <c r="V35" s="3429">
        <f>I35</f>
        <v>0</v>
      </c>
      <c r="W35" s="3429"/>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400" t="str">
        <f>A36</f>
        <v>比较价值（元/平方米）</v>
      </c>
      <c r="Q36" s="3400"/>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420" t="str">
        <f>A37</f>
        <v>估价对象XX用房的比较价值（楼面单价，元/平方米）</v>
      </c>
      <c r="Q37" s="3421"/>
      <c r="R37" s="3428" t="e">
        <f>IF(F1="售价",ROUND(AVERAGE(R36:V36),0),ROUND(AVERAGE(R36:V36),1))</f>
        <v>#DIV/0!</v>
      </c>
      <c r="S37" s="3428"/>
      <c r="T37" s="3428"/>
      <c r="U37" s="3428"/>
      <c r="V37" s="3428"/>
      <c r="W37" s="342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401" t="s">
        <v>2645</v>
      </c>
      <c r="D4" s="3402"/>
      <c r="E4" s="3403" t="s">
        <v>2646</v>
      </c>
      <c r="F4" s="3404"/>
      <c r="G4" s="3401" t="s">
        <v>2647</v>
      </c>
      <c r="H4" s="3402"/>
      <c r="I4" s="3401" t="s">
        <v>2648</v>
      </c>
      <c r="J4" s="3402"/>
      <c r="K4" s="610" t="s">
        <v>2649</v>
      </c>
      <c r="L4" s="1133"/>
      <c r="M4" s="1134"/>
      <c r="N4" s="1134"/>
      <c r="O4" s="1134"/>
      <c r="P4" s="3405" t="s">
        <v>2650</v>
      </c>
      <c r="Q4" s="3406"/>
      <c r="R4" s="3388" t="s">
        <v>2646</v>
      </c>
      <c r="S4" s="3389"/>
      <c r="T4" s="3388" t="s">
        <v>2647</v>
      </c>
      <c r="U4" s="3389"/>
      <c r="V4" s="3413" t="s">
        <v>2648</v>
      </c>
      <c r="W4" s="3413"/>
      <c r="X4" s="1816"/>
      <c r="Y4" s="3388" t="s">
        <v>2650</v>
      </c>
      <c r="Z4" s="3389"/>
      <c r="AA4" s="3383" t="s">
        <v>2646</v>
      </c>
      <c r="AB4" s="3384" t="s">
        <v>2647</v>
      </c>
      <c r="AC4" s="3383" t="s">
        <v>2648</v>
      </c>
    </row>
    <row r="5" spans="1:29" ht="15">
      <c r="A5" s="404"/>
      <c r="B5" s="405"/>
      <c r="C5" s="3394" t="s">
        <v>2541</v>
      </c>
      <c r="D5" s="3395"/>
      <c r="E5" s="3392" t="s">
        <v>2542</v>
      </c>
      <c r="F5" s="3393"/>
      <c r="G5" s="3394" t="s">
        <v>2543</v>
      </c>
      <c r="H5" s="3395"/>
      <c r="I5" s="3394" t="s">
        <v>2544</v>
      </c>
      <c r="J5" s="3395"/>
      <c r="K5" s="610"/>
      <c r="L5" s="1133"/>
      <c r="M5" s="1134"/>
      <c r="N5" s="1134"/>
      <c r="O5" s="1134"/>
      <c r="P5" s="3407"/>
      <c r="Q5" s="3408"/>
      <c r="R5" s="3390"/>
      <c r="S5" s="3391"/>
      <c r="T5" s="3390"/>
      <c r="U5" s="3391"/>
      <c r="V5" s="3413"/>
      <c r="W5" s="3413"/>
      <c r="X5" s="1816"/>
      <c r="Y5" s="3390"/>
      <c r="Z5" s="3391"/>
      <c r="AA5" s="3384"/>
      <c r="AB5" s="3384"/>
      <c r="AC5" s="3384"/>
    </row>
    <row r="6" spans="1:29" ht="15.75" thickBot="1">
      <c r="A6" s="406"/>
      <c r="B6" s="407"/>
      <c r="C6" s="3478" t="s">
        <v>2795</v>
      </c>
      <c r="D6" s="3479"/>
      <c r="E6" s="3480" t="s">
        <v>2795</v>
      </c>
      <c r="F6" s="3481"/>
      <c r="G6" s="3478" t="s">
        <v>2795</v>
      </c>
      <c r="H6" s="3479"/>
      <c r="I6" s="3478" t="s">
        <v>2795</v>
      </c>
      <c r="J6" s="3479"/>
      <c r="K6" s="610" t="s">
        <v>2546</v>
      </c>
      <c r="L6" s="1133"/>
      <c r="M6" s="1134"/>
      <c r="N6" s="1134"/>
      <c r="O6" s="1134"/>
      <c r="P6" s="3409"/>
      <c r="Q6" s="3410"/>
      <c r="R6" s="3390"/>
      <c r="S6" s="3391"/>
      <c r="T6" s="3411"/>
      <c r="U6" s="3412"/>
      <c r="V6" s="3413"/>
      <c r="W6" s="3413"/>
      <c r="X6" s="1816"/>
      <c r="Y6" s="3411"/>
      <c r="Z6" s="3412"/>
      <c r="AA6" s="3385"/>
      <c r="AB6" s="3385"/>
      <c r="AC6" s="3385"/>
    </row>
    <row r="7" spans="1:29" s="117" customFormat="1" ht="15.75" thickBot="1">
      <c r="A7" s="408" t="s">
        <v>2547</v>
      </c>
      <c r="B7" s="409"/>
      <c r="C7" s="410">
        <f>'数据-取费表'!B2</f>
        <v>43516</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386" t="s">
        <v>2548</v>
      </c>
      <c r="Q7" s="3414"/>
      <c r="R7" s="770" t="s">
        <v>17</v>
      </c>
      <c r="S7" s="771">
        <f t="shared" ref="S7:S15" si="0">F7</f>
        <v>0</v>
      </c>
      <c r="T7" s="770" t="s">
        <v>17</v>
      </c>
      <c r="U7" s="771">
        <f t="shared" ref="U7:U15" si="1">H7</f>
        <v>0</v>
      </c>
      <c r="V7" s="770" t="s">
        <v>17</v>
      </c>
      <c r="W7" s="771">
        <f t="shared" ref="W7:W15" si="2">J7</f>
        <v>0</v>
      </c>
      <c r="X7" s="772"/>
      <c r="Y7" s="3386" t="s">
        <v>2548</v>
      </c>
      <c r="Z7" s="338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386" t="s">
        <v>2551</v>
      </c>
      <c r="Q8" s="3387"/>
      <c r="R8" s="770" t="s">
        <v>17</v>
      </c>
      <c r="S8" s="771">
        <f t="shared" si="0"/>
        <v>0</v>
      </c>
      <c r="T8" s="770" t="s">
        <v>17</v>
      </c>
      <c r="U8" s="771">
        <f t="shared" si="1"/>
        <v>0</v>
      </c>
      <c r="V8" s="770" t="s">
        <v>17</v>
      </c>
      <c r="W8" s="771">
        <f t="shared" si="2"/>
        <v>0</v>
      </c>
      <c r="X8" s="772"/>
      <c r="Y8" s="3386" t="s">
        <v>2551</v>
      </c>
      <c r="Z8" s="3387"/>
      <c r="AA8" s="773" t="e">
        <f t="shared" ref="AA8:AA40" si="3">D8/F8</f>
        <v>#DIV/0!</v>
      </c>
      <c r="AB8" s="773" t="e">
        <f t="shared" ref="AB8:AB40" si="4">D8/H8</f>
        <v>#DIV/0!</v>
      </c>
      <c r="AC8" s="773" t="e">
        <f t="shared" ref="AC8:AC40" si="5">D8/J8</f>
        <v>#DIV/0!</v>
      </c>
    </row>
    <row r="9" spans="1:29" s="117" customFormat="1">
      <c r="A9" s="415" t="s">
        <v>2552</v>
      </c>
      <c r="B9" s="71" t="s">
        <v>2553</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400" t="s">
        <v>2554</v>
      </c>
      <c r="Q9" s="1798" t="str">
        <f t="shared" ref="Q9:Q15" si="6">B9</f>
        <v>用途</v>
      </c>
      <c r="R9" s="770" t="s">
        <v>17</v>
      </c>
      <c r="S9" s="771">
        <f t="shared" si="0"/>
        <v>100</v>
      </c>
      <c r="T9" s="770" t="s">
        <v>17</v>
      </c>
      <c r="U9" s="771">
        <f t="shared" si="1"/>
        <v>100</v>
      </c>
      <c r="V9" s="770" t="s">
        <v>17</v>
      </c>
      <c r="W9" s="771">
        <f t="shared" si="2"/>
        <v>100</v>
      </c>
      <c r="X9" s="772"/>
      <c r="Y9" s="3199"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400"/>
      <c r="Q10" s="1798" t="str">
        <f t="shared" si="6"/>
        <v>土地使用年限（年）</v>
      </c>
      <c r="R10" s="770" t="s">
        <v>17</v>
      </c>
      <c r="S10" s="771">
        <f t="shared" si="0"/>
        <v>100</v>
      </c>
      <c r="T10" s="770" t="s">
        <v>17</v>
      </c>
      <c r="U10" s="771">
        <f t="shared" si="1"/>
        <v>100</v>
      </c>
      <c r="V10" s="770" t="s">
        <v>17</v>
      </c>
      <c r="W10" s="771">
        <f t="shared" si="2"/>
        <v>100</v>
      </c>
      <c r="X10" s="772"/>
      <c r="Y10" s="3199"/>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400"/>
      <c r="Q11" s="1798" t="str">
        <f t="shared" si="6"/>
        <v>容积率</v>
      </c>
      <c r="R11" s="770" t="s">
        <v>17</v>
      </c>
      <c r="S11" s="771" t="e">
        <f t="shared" si="0"/>
        <v>#N/A</v>
      </c>
      <c r="T11" s="770" t="s">
        <v>17</v>
      </c>
      <c r="U11" s="771" t="e">
        <f t="shared" si="1"/>
        <v>#N/A</v>
      </c>
      <c r="V11" s="770" t="s">
        <v>17</v>
      </c>
      <c r="W11" s="771" t="e">
        <f t="shared" si="2"/>
        <v>#N/A</v>
      </c>
      <c r="X11" s="772"/>
      <c r="Y11" s="3199"/>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400"/>
      <c r="Q12" s="1798">
        <f t="shared" si="6"/>
        <v>111</v>
      </c>
      <c r="R12" s="770" t="s">
        <v>17</v>
      </c>
      <c r="S12" s="771">
        <f t="shared" si="0"/>
        <v>100</v>
      </c>
      <c r="T12" s="770" t="s">
        <v>17</v>
      </c>
      <c r="U12" s="771">
        <f t="shared" si="1"/>
        <v>100</v>
      </c>
      <c r="V12" s="770" t="s">
        <v>17</v>
      </c>
      <c r="W12" s="771">
        <f t="shared" si="2"/>
        <v>100</v>
      </c>
      <c r="X12" s="772"/>
      <c r="Y12" s="3199"/>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400"/>
      <c r="Q13" s="1798">
        <f t="shared" si="6"/>
        <v>111</v>
      </c>
      <c r="R13" s="770" t="s">
        <v>17</v>
      </c>
      <c r="S13" s="771">
        <f t="shared" si="0"/>
        <v>100</v>
      </c>
      <c r="T13" s="770" t="s">
        <v>17</v>
      </c>
      <c r="U13" s="771">
        <f t="shared" si="1"/>
        <v>100</v>
      </c>
      <c r="V13" s="770" t="s">
        <v>17</v>
      </c>
      <c r="W13" s="771">
        <f t="shared" si="2"/>
        <v>100</v>
      </c>
      <c r="X13" s="772"/>
      <c r="Y13" s="3199"/>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400"/>
      <c r="Q14" s="1798">
        <f t="shared" si="6"/>
        <v>111</v>
      </c>
      <c r="R14" s="770" t="s">
        <v>17</v>
      </c>
      <c r="S14" s="771">
        <f t="shared" si="0"/>
        <v>100</v>
      </c>
      <c r="T14" s="770" t="s">
        <v>17</v>
      </c>
      <c r="U14" s="771">
        <f t="shared" si="1"/>
        <v>100</v>
      </c>
      <c r="V14" s="770" t="s">
        <v>17</v>
      </c>
      <c r="W14" s="771">
        <f t="shared" si="2"/>
        <v>100</v>
      </c>
      <c r="X14" s="772"/>
      <c r="Y14" s="3199"/>
      <c r="Z14" s="55">
        <f t="shared" si="7"/>
        <v>111</v>
      </c>
      <c r="AA14" s="773">
        <f t="shared" si="3"/>
        <v>1</v>
      </c>
      <c r="AB14" s="773">
        <f t="shared" si="4"/>
        <v>1</v>
      </c>
      <c r="AC14" s="773">
        <f t="shared" si="5"/>
        <v>1</v>
      </c>
    </row>
    <row r="15" spans="1:29" ht="57">
      <c r="A15" s="440" t="s">
        <v>2558</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415" t="s">
        <v>2559</v>
      </c>
      <c r="Q15" s="1813" t="str">
        <f t="shared" si="6"/>
        <v>产业集聚程度</v>
      </c>
      <c r="R15" s="774" t="s">
        <v>17</v>
      </c>
      <c r="S15" s="775">
        <f t="shared" si="0"/>
        <v>100</v>
      </c>
      <c r="T15" s="774" t="s">
        <v>17</v>
      </c>
      <c r="U15" s="775">
        <f t="shared" si="1"/>
        <v>100</v>
      </c>
      <c r="V15" s="774" t="s">
        <v>17</v>
      </c>
      <c r="W15" s="775">
        <f t="shared" si="2"/>
        <v>100</v>
      </c>
      <c r="X15" s="1816"/>
      <c r="Y15" s="3415" t="s">
        <v>2559</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416"/>
      <c r="Q16" s="1813"/>
      <c r="R16" s="774"/>
      <c r="S16" s="775"/>
      <c r="T16" s="774"/>
      <c r="U16" s="775"/>
      <c r="V16" s="774"/>
      <c r="W16" s="775"/>
      <c r="X16" s="1816"/>
      <c r="Y16" s="3416"/>
      <c r="Z16" s="1817"/>
      <c r="AA16" s="1814">
        <v>1</v>
      </c>
      <c r="AB16" s="1814">
        <v>1</v>
      </c>
      <c r="AC16" s="1814">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416"/>
      <c r="Q17" s="1813" t="str">
        <f>B17</f>
        <v>交通便捷度</v>
      </c>
      <c r="R17" s="774" t="s">
        <v>17</v>
      </c>
      <c r="S17" s="775">
        <f>F17</f>
        <v>100</v>
      </c>
      <c r="T17" s="774" t="s">
        <v>17</v>
      </c>
      <c r="U17" s="775">
        <f>H17</f>
        <v>100</v>
      </c>
      <c r="V17" s="774" t="s">
        <v>17</v>
      </c>
      <c r="W17" s="775">
        <f>J17</f>
        <v>100</v>
      </c>
      <c r="X17" s="1816"/>
      <c r="Y17" s="3416"/>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416"/>
      <c r="Q18" s="1813"/>
      <c r="R18" s="774"/>
      <c r="S18" s="775"/>
      <c r="T18" s="774"/>
      <c r="U18" s="775"/>
      <c r="V18" s="774"/>
      <c r="W18" s="775"/>
      <c r="X18" s="1816"/>
      <c r="Y18" s="3416"/>
      <c r="Z18" s="1817"/>
      <c r="AA18" s="1814">
        <v>1</v>
      </c>
      <c r="AB18" s="1814">
        <v>1</v>
      </c>
      <c r="AC18" s="1814">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416"/>
      <c r="Q19" s="1813" t="str">
        <f t="shared" ref="Q19:Q33" si="8">B19</f>
        <v>区域土地利用方向</v>
      </c>
      <c r="R19" s="774" t="s">
        <v>17</v>
      </c>
      <c r="S19" s="775">
        <f>F19</f>
        <v>100</v>
      </c>
      <c r="T19" s="774" t="s">
        <v>17</v>
      </c>
      <c r="U19" s="775">
        <f>H19</f>
        <v>100</v>
      </c>
      <c r="V19" s="774" t="s">
        <v>17</v>
      </c>
      <c r="W19" s="775">
        <f>J19</f>
        <v>100</v>
      </c>
      <c r="X19" s="1816"/>
      <c r="Y19" s="3416"/>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416"/>
      <c r="Q20" s="1813"/>
      <c r="R20" s="774"/>
      <c r="S20" s="775"/>
      <c r="T20" s="774"/>
      <c r="U20" s="775"/>
      <c r="V20" s="774"/>
      <c r="W20" s="775"/>
      <c r="X20" s="1816"/>
      <c r="Y20" s="3416"/>
      <c r="Z20" s="1817"/>
      <c r="AA20" s="1814"/>
      <c r="AB20" s="1814"/>
      <c r="AC20" s="1814"/>
    </row>
    <row r="21" spans="1:29" ht="71.25">
      <c r="A21" s="404"/>
      <c r="B21" s="631"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416"/>
      <c r="Q21" s="1813" t="str">
        <f t="shared" si="8"/>
        <v>环境状况</v>
      </c>
      <c r="R21" s="774" t="s">
        <v>17</v>
      </c>
      <c r="S21" s="775">
        <f>F21</f>
        <v>100</v>
      </c>
      <c r="T21" s="774" t="s">
        <v>17</v>
      </c>
      <c r="U21" s="775">
        <f>H21</f>
        <v>100</v>
      </c>
      <c r="V21" s="774" t="s">
        <v>17</v>
      </c>
      <c r="W21" s="775">
        <f>J21</f>
        <v>100</v>
      </c>
      <c r="X21" s="1816"/>
      <c r="Y21" s="3416"/>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416"/>
      <c r="Q22" s="1813"/>
      <c r="R22" s="774"/>
      <c r="S22" s="775"/>
      <c r="T22" s="774"/>
      <c r="U22" s="775"/>
      <c r="V22" s="774"/>
      <c r="W22" s="775"/>
      <c r="X22" s="1816"/>
      <c r="Y22" s="3416"/>
      <c r="Z22" s="1817"/>
      <c r="AA22" s="1814">
        <v>1</v>
      </c>
      <c r="AB22" s="1814">
        <v>1</v>
      </c>
      <c r="AC22" s="1814">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416"/>
      <c r="Q23" s="1798" t="str">
        <f t="shared" si="8"/>
        <v>公共配套设施</v>
      </c>
      <c r="R23" s="770" t="s">
        <v>17</v>
      </c>
      <c r="S23" s="771">
        <f>F23</f>
        <v>100</v>
      </c>
      <c r="T23" s="770" t="s">
        <v>17</v>
      </c>
      <c r="U23" s="771">
        <f>H23</f>
        <v>100</v>
      </c>
      <c r="V23" s="770" t="s">
        <v>17</v>
      </c>
      <c r="W23" s="771">
        <f>J23</f>
        <v>100</v>
      </c>
      <c r="X23" s="772"/>
      <c r="Y23" s="3416"/>
      <c r="Z23" s="55" t="str">
        <f>Q23</f>
        <v>公共配套设施</v>
      </c>
      <c r="AA23" s="1814">
        <f>D23/F23</f>
        <v>1</v>
      </c>
      <c r="AB23" s="1814">
        <f>D23/H23</f>
        <v>1</v>
      </c>
      <c r="AC23" s="1814">
        <f>D23/J23</f>
        <v>1</v>
      </c>
    </row>
    <row r="24" spans="1:29" s="117" customFormat="1" ht="15">
      <c r="A24" s="649"/>
      <c r="B24" s="632"/>
      <c r="C24" s="2700"/>
      <c r="D24" s="448"/>
      <c r="E24" s="2613"/>
      <c r="F24" s="448"/>
      <c r="G24" s="2613"/>
      <c r="H24" s="448"/>
      <c r="I24" s="447"/>
      <c r="J24" s="448"/>
      <c r="K24" s="672"/>
      <c r="L24" s="1135"/>
      <c r="M24" s="1136"/>
      <c r="N24" s="1136"/>
      <c r="O24" s="1137"/>
      <c r="P24" s="3416"/>
      <c r="Q24" s="1798"/>
      <c r="R24" s="770"/>
      <c r="S24" s="771"/>
      <c r="T24" s="770"/>
      <c r="U24" s="771"/>
      <c r="V24" s="770"/>
      <c r="W24" s="771"/>
      <c r="X24" s="772"/>
      <c r="Y24" s="3416"/>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416"/>
      <c r="Q25" s="1798" t="str">
        <f t="shared" ref="Q25" si="9">B25</f>
        <v>基础设施水平</v>
      </c>
      <c r="R25" s="770" t="s">
        <v>17</v>
      </c>
      <c r="S25" s="771">
        <f>F25</f>
        <v>100</v>
      </c>
      <c r="T25" s="770" t="s">
        <v>17</v>
      </c>
      <c r="U25" s="771">
        <f>H25</f>
        <v>100</v>
      </c>
      <c r="V25" s="770" t="s">
        <v>17</v>
      </c>
      <c r="W25" s="771">
        <f>J25</f>
        <v>100</v>
      </c>
      <c r="X25" s="772"/>
      <c r="Y25" s="3416"/>
      <c r="Z25" s="55" t="str">
        <f>Q25</f>
        <v>基础设施水平</v>
      </c>
      <c r="AA25" s="1814">
        <f>D25/F25</f>
        <v>1</v>
      </c>
      <c r="AB25" s="1814">
        <f>D25/H25</f>
        <v>1</v>
      </c>
      <c r="AC25" s="1814">
        <f>D25/J25</f>
        <v>1</v>
      </c>
    </row>
    <row r="26" spans="1:29" s="117" customFormat="1" ht="15">
      <c r="A26" s="649"/>
      <c r="B26" s="632"/>
      <c r="C26" s="2700"/>
      <c r="D26" s="448"/>
      <c r="E26" s="2701"/>
      <c r="F26" s="448"/>
      <c r="G26" s="2701"/>
      <c r="H26" s="448"/>
      <c r="I26" s="2701"/>
      <c r="J26" s="448"/>
      <c r="K26" s="672"/>
      <c r="L26" s="1135"/>
      <c r="M26" s="1136"/>
      <c r="N26" s="1136"/>
      <c r="O26" s="1137"/>
      <c r="P26" s="3416"/>
      <c r="Q26" s="1798"/>
      <c r="R26" s="770"/>
      <c r="S26" s="771"/>
      <c r="T26" s="770"/>
      <c r="U26" s="771"/>
      <c r="V26" s="770"/>
      <c r="W26" s="771"/>
      <c r="X26" s="772"/>
      <c r="Y26" s="341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41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416"/>
      <c r="Z27" s="1817" t="str">
        <f t="shared" ref="Z27:Z40" si="13">Q27</f>
        <v>临街状况</v>
      </c>
      <c r="AA27" s="1814">
        <f t="shared" si="3"/>
        <v>1</v>
      </c>
      <c r="AB27" s="1814">
        <f t="shared" si="4"/>
        <v>1</v>
      </c>
      <c r="AC27" s="1814">
        <f t="shared" si="5"/>
        <v>1</v>
      </c>
    </row>
    <row r="28" spans="1:29" ht="27">
      <c r="A28" s="428"/>
      <c r="B28" s="633" t="s">
        <v>2690</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416"/>
      <c r="Q28" s="1813" t="str">
        <f t="shared" si="8"/>
        <v>毗邻道路的类型与等级</v>
      </c>
      <c r="R28" s="774" t="s">
        <v>17</v>
      </c>
      <c r="S28" s="775">
        <f t="shared" si="10"/>
        <v>100</v>
      </c>
      <c r="T28" s="774" t="s">
        <v>17</v>
      </c>
      <c r="U28" s="775">
        <f t="shared" si="11"/>
        <v>100</v>
      </c>
      <c r="V28" s="774" t="s">
        <v>17</v>
      </c>
      <c r="W28" s="775">
        <f t="shared" si="12"/>
        <v>100</v>
      </c>
      <c r="X28" s="1816"/>
      <c r="Y28" s="3416"/>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416"/>
      <c r="Q29" s="1813"/>
      <c r="R29" s="774"/>
      <c r="S29" s="775"/>
      <c r="T29" s="774"/>
      <c r="U29" s="775"/>
      <c r="V29" s="774"/>
      <c r="W29" s="775"/>
      <c r="X29" s="1816"/>
      <c r="Y29" s="3416"/>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416"/>
      <c r="Q30" s="1813" t="str">
        <f t="shared" si="8"/>
        <v>土地级别</v>
      </c>
      <c r="R30" s="774" t="s">
        <v>17</v>
      </c>
      <c r="S30" s="775">
        <f t="shared" si="10"/>
        <v>100</v>
      </c>
      <c r="T30" s="774" t="s">
        <v>17</v>
      </c>
      <c r="U30" s="775">
        <f t="shared" si="11"/>
        <v>100</v>
      </c>
      <c r="V30" s="774" t="s">
        <v>17</v>
      </c>
      <c r="W30" s="775">
        <f t="shared" si="12"/>
        <v>100</v>
      </c>
      <c r="X30" s="1816"/>
      <c r="Y30" s="3416"/>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416"/>
      <c r="Q31" s="1813">
        <f t="shared" si="8"/>
        <v>111</v>
      </c>
      <c r="R31" s="774" t="s">
        <v>17</v>
      </c>
      <c r="S31" s="775">
        <f t="shared" si="10"/>
        <v>100</v>
      </c>
      <c r="T31" s="774" t="s">
        <v>17</v>
      </c>
      <c r="U31" s="775">
        <f t="shared" si="11"/>
        <v>100</v>
      </c>
      <c r="V31" s="774" t="s">
        <v>17</v>
      </c>
      <c r="W31" s="775">
        <f t="shared" si="12"/>
        <v>100</v>
      </c>
      <c r="X31" s="1816"/>
      <c r="Y31" s="3416"/>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417" t="s">
        <v>2564</v>
      </c>
      <c r="Q32" s="1813">
        <f t="shared" si="8"/>
        <v>111</v>
      </c>
      <c r="R32" s="774" t="s">
        <v>17</v>
      </c>
      <c r="S32" s="775">
        <f t="shared" si="10"/>
        <v>100</v>
      </c>
      <c r="T32" s="774" t="s">
        <v>17</v>
      </c>
      <c r="U32" s="775">
        <f t="shared" si="11"/>
        <v>100</v>
      </c>
      <c r="V32" s="774" t="s">
        <v>17</v>
      </c>
      <c r="W32" s="775">
        <f t="shared" si="12"/>
        <v>100</v>
      </c>
      <c r="X32" s="1816"/>
      <c r="Y32" s="3418" t="s">
        <v>2564</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418"/>
      <c r="Q33" s="1813">
        <f t="shared" si="8"/>
        <v>111</v>
      </c>
      <c r="R33" s="777" t="s">
        <v>17</v>
      </c>
      <c r="S33" s="778">
        <f t="shared" si="10"/>
        <v>100</v>
      </c>
      <c r="T33" s="777" t="s">
        <v>17</v>
      </c>
      <c r="U33" s="778">
        <f t="shared" si="11"/>
        <v>100</v>
      </c>
      <c r="V33" s="777" t="s">
        <v>17</v>
      </c>
      <c r="W33" s="778">
        <f t="shared" si="12"/>
        <v>100</v>
      </c>
      <c r="X33" s="779"/>
      <c r="Y33" s="3418"/>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418"/>
      <c r="Q34" s="1813" t="str">
        <f>B34</f>
        <v>宗地面积</v>
      </c>
      <c r="R34" s="774" t="s">
        <v>17</v>
      </c>
      <c r="S34" s="775" t="e">
        <f t="shared" si="10"/>
        <v>#N/A</v>
      </c>
      <c r="T34" s="774" t="s">
        <v>17</v>
      </c>
      <c r="U34" s="775" t="e">
        <f t="shared" si="11"/>
        <v>#N/A</v>
      </c>
      <c r="V34" s="774" t="s">
        <v>17</v>
      </c>
      <c r="W34" s="775" t="e">
        <f t="shared" si="12"/>
        <v>#N/A</v>
      </c>
      <c r="X34" s="1816"/>
      <c r="Y34" s="3418"/>
      <c r="Z34" s="1817" t="str">
        <f t="shared" si="13"/>
        <v>宗地面积</v>
      </c>
      <c r="AA34" s="1814" t="e">
        <f t="shared" si="3"/>
        <v>#N/A</v>
      </c>
      <c r="AB34" s="1814" t="e">
        <f t="shared" si="4"/>
        <v>#N/A</v>
      </c>
      <c r="AC34" s="1814"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418"/>
      <c r="Q35" s="1813" t="str">
        <f t="shared" ref="Q35:Q40" si="14">B35</f>
        <v>宗地形状</v>
      </c>
      <c r="R35" s="774" t="s">
        <v>17</v>
      </c>
      <c r="S35" s="775">
        <f t="shared" si="10"/>
        <v>100</v>
      </c>
      <c r="T35" s="774" t="s">
        <v>17</v>
      </c>
      <c r="U35" s="775">
        <f t="shared" si="11"/>
        <v>100</v>
      </c>
      <c r="V35" s="774" t="s">
        <v>17</v>
      </c>
      <c r="W35" s="775">
        <f t="shared" si="12"/>
        <v>100</v>
      </c>
      <c r="X35" s="1816"/>
      <c r="Y35" s="3418"/>
      <c r="Z35" s="1817" t="str">
        <f t="shared" si="13"/>
        <v>宗地形状</v>
      </c>
      <c r="AA35" s="1814">
        <f t="shared" si="3"/>
        <v>1</v>
      </c>
      <c r="AB35" s="1814">
        <f t="shared" si="4"/>
        <v>1</v>
      </c>
      <c r="AC35" s="1814">
        <f t="shared" si="5"/>
        <v>1</v>
      </c>
    </row>
    <row r="36" spans="1:29" s="117" customFormat="1" ht="15">
      <c r="A36" s="473"/>
      <c r="B36" s="422" t="s">
        <v>2753</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418"/>
      <c r="Q36" s="1813" t="str">
        <f t="shared" si="14"/>
        <v>宗地开发程度</v>
      </c>
      <c r="R36" s="770" t="s">
        <v>17</v>
      </c>
      <c r="S36" s="771">
        <f t="shared" si="10"/>
        <v>100</v>
      </c>
      <c r="T36" s="770" t="s">
        <v>17</v>
      </c>
      <c r="U36" s="771">
        <f t="shared" si="11"/>
        <v>100</v>
      </c>
      <c r="V36" s="770" t="s">
        <v>17</v>
      </c>
      <c r="W36" s="771">
        <f t="shared" si="12"/>
        <v>100</v>
      </c>
      <c r="X36" s="772"/>
      <c r="Y36" s="3418"/>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418" t="s">
        <v>2564</v>
      </c>
      <c r="Q37" s="1813" t="str">
        <f t="shared" si="14"/>
        <v>工程地质条件</v>
      </c>
      <c r="R37" s="774" t="s">
        <v>17</v>
      </c>
      <c r="S37" s="775">
        <f t="shared" si="10"/>
        <v>100</v>
      </c>
      <c r="T37" s="774" t="s">
        <v>17</v>
      </c>
      <c r="U37" s="775">
        <f t="shared" si="11"/>
        <v>100</v>
      </c>
      <c r="V37" s="774" t="s">
        <v>17</v>
      </c>
      <c r="W37" s="775">
        <f t="shared" si="12"/>
        <v>100</v>
      </c>
      <c r="X37" s="1816"/>
      <c r="Y37" s="3418"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418"/>
      <c r="Q38" s="1813">
        <f t="shared" si="14"/>
        <v>111</v>
      </c>
      <c r="R38" s="774" t="s">
        <v>17</v>
      </c>
      <c r="S38" s="775">
        <f t="shared" si="10"/>
        <v>100</v>
      </c>
      <c r="T38" s="774" t="s">
        <v>17</v>
      </c>
      <c r="U38" s="775">
        <f t="shared" si="11"/>
        <v>100</v>
      </c>
      <c r="V38" s="774" t="s">
        <v>17</v>
      </c>
      <c r="W38" s="775">
        <f t="shared" si="12"/>
        <v>100</v>
      </c>
      <c r="X38" s="1816"/>
      <c r="Y38" s="341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418"/>
      <c r="Q39" s="1813">
        <f t="shared" si="14"/>
        <v>111</v>
      </c>
      <c r="R39" s="774" t="s">
        <v>17</v>
      </c>
      <c r="S39" s="775">
        <f t="shared" si="10"/>
        <v>100</v>
      </c>
      <c r="T39" s="774" t="s">
        <v>17</v>
      </c>
      <c r="U39" s="775">
        <f t="shared" si="11"/>
        <v>100</v>
      </c>
      <c r="V39" s="774" t="s">
        <v>17</v>
      </c>
      <c r="W39" s="775">
        <f t="shared" si="12"/>
        <v>100</v>
      </c>
      <c r="X39" s="1816"/>
      <c r="Y39" s="3418"/>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418"/>
      <c r="Q40" s="1813">
        <f t="shared" si="14"/>
        <v>111</v>
      </c>
      <c r="R40" s="777" t="s">
        <v>17</v>
      </c>
      <c r="S40" s="778">
        <f t="shared" si="10"/>
        <v>100</v>
      </c>
      <c r="T40" s="777" t="s">
        <v>17</v>
      </c>
      <c r="U40" s="778">
        <f t="shared" si="11"/>
        <v>100</v>
      </c>
      <c r="V40" s="777" t="s">
        <v>17</v>
      </c>
      <c r="W40" s="778">
        <f t="shared" si="12"/>
        <v>100</v>
      </c>
      <c r="X40" s="779"/>
      <c r="Y40" s="3418"/>
      <c r="Z40" s="780">
        <f t="shared" si="13"/>
        <v>111</v>
      </c>
      <c r="AA40" s="1814">
        <f t="shared" si="3"/>
        <v>1</v>
      </c>
      <c r="AB40" s="1814">
        <f t="shared" si="4"/>
        <v>1</v>
      </c>
      <c r="AC40" s="1814">
        <f t="shared" si="5"/>
        <v>1</v>
      </c>
    </row>
    <row r="41" spans="1:29" ht="15">
      <c r="A41" s="479" t="s">
        <v>2719</v>
      </c>
      <c r="B41" s="2704" t="s">
        <v>2798</v>
      </c>
      <c r="C41" s="682" t="s">
        <v>1</v>
      </c>
      <c r="D41" s="481"/>
      <c r="E41" s="482"/>
      <c r="F41" s="483"/>
      <c r="G41" s="484"/>
      <c r="H41" s="485"/>
      <c r="I41" s="482"/>
      <c r="J41" s="485"/>
      <c r="K41" s="783"/>
      <c r="L41" s="1146"/>
      <c r="M41" s="1134"/>
      <c r="N41" s="1134"/>
      <c r="O41" s="1147"/>
      <c r="P41" s="3400" t="str">
        <f>A41</f>
        <v>成交单价</v>
      </c>
      <c r="Q41" s="3400"/>
      <c r="R41" s="3413">
        <f>E41</f>
        <v>0</v>
      </c>
      <c r="S41" s="3413"/>
      <c r="T41" s="3413">
        <f>G41</f>
        <v>0</v>
      </c>
      <c r="U41" s="3413"/>
      <c r="V41" s="3413">
        <f>I41</f>
        <v>0</v>
      </c>
      <c r="W41" s="341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400" t="str">
        <f>A42</f>
        <v>比较价值（元/平方米）</v>
      </c>
      <c r="Q42" s="3400"/>
      <c r="R42" s="3419" t="e">
        <f>ROUND(PRODUCT(R41,AA7:AA40),0)</f>
        <v>#DIV/0!</v>
      </c>
      <c r="S42" s="3419"/>
      <c r="T42" s="3419" t="e">
        <f>ROUND(PRODUCT(T41,AB7:AB40),0)</f>
        <v>#DIV/0!</v>
      </c>
      <c r="U42" s="3419"/>
      <c r="V42" s="3419" t="e">
        <f>ROUND(PRODUCT(V41,AC7:AC40),0)</f>
        <v>#DIV/0!</v>
      </c>
      <c r="W42" s="3419"/>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420" t="str">
        <f>A43</f>
        <v>估价对象XX用房的比较价值（楼面单价，元/平方米）</v>
      </c>
      <c r="Q43" s="3421"/>
      <c r="R43" s="3422" t="e">
        <f>ROUND(AVERAGE(R42:V42),0)</f>
        <v>#DIV/0!</v>
      </c>
      <c r="S43" s="3422"/>
      <c r="T43" s="3422"/>
      <c r="U43" s="3422"/>
      <c r="V43" s="3422"/>
      <c r="W43" s="342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5" t="s">
        <v>2758</v>
      </c>
      <c r="D50" s="2706" t="s">
        <v>2759</v>
      </c>
      <c r="E50" s="686" t="s">
        <v>2760</v>
      </c>
      <c r="F50" s="687" t="s">
        <v>2761</v>
      </c>
      <c r="G50" s="3401" t="s">
        <v>2762</v>
      </c>
      <c r="H50" s="3423"/>
      <c r="I50" s="1817" t="s">
        <v>2799</v>
      </c>
      <c r="J50" s="1817" t="str">
        <f>项目基本情况!F35</f>
        <v>河北省</v>
      </c>
      <c r="K50" s="2708" t="s">
        <v>2764</v>
      </c>
      <c r="L50" s="1109"/>
      <c r="M50" s="1147"/>
      <c r="N50" s="1147"/>
      <c r="O50" s="1147"/>
    </row>
    <row r="51" spans="1:17" s="692" customFormat="1">
      <c r="A51" s="688" t="s">
        <v>2765</v>
      </c>
      <c r="B51" s="689" t="e">
        <f>C43</f>
        <v>#DIV/0!</v>
      </c>
      <c r="C51" s="690">
        <v>1</v>
      </c>
      <c r="D51" s="1166">
        <v>1</v>
      </c>
      <c r="E51" s="690">
        <f>'数据-汇总表'!E8+'数据-汇总表'!E9</f>
        <v>190764.08000000002</v>
      </c>
      <c r="F51" s="691" t="e">
        <f t="shared" ref="F51:F60" si="15">ROUND(B51*E51/10000,0)</f>
        <v>#DIV/0!</v>
      </c>
      <c r="G51" s="3424"/>
      <c r="H51" s="3400"/>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425"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425"/>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425"/>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425"/>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09"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09"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0"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165503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1" t="s">
        <v>2780</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6" t="s">
        <v>2800</v>
      </c>
      <c r="B66" s="332" t="str">
        <f>"北京市平均增长率"&amp;TEXT(基准地价修正!P24,"0.00%")</f>
        <v>北京市平均增长率1.36%</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B6" sqref="B6:C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3"/>
      <c r="L1" s="2718" t="s">
        <v>2804</v>
      </c>
      <c r="M1" s="1083">
        <f>SUMPRODUCT((区片价!B5:B9=I2)*(区片价!C3:F3=E2)*(区片价!C5:F9))</f>
        <v>0</v>
      </c>
      <c r="N1" s="1086">
        <f>SUMPRODUCT((因素修正幅度!B5:B9=I2)*(因素修正幅度!C3:F3=E2)*(因素修正幅度!C5:F9))</f>
        <v>0</v>
      </c>
      <c r="O1" s="2719"/>
      <c r="P1" s="2719"/>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3"/>
      <c r="L2" s="2726"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1.17</v>
      </c>
      <c r="H3" s="198" t="s">
        <v>2820</v>
      </c>
      <c r="I3" s="947"/>
      <c r="J3" s="2725" t="s">
        <v>2821</v>
      </c>
      <c r="K3" s="1373"/>
      <c r="L3" s="2726"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496"/>
      <c r="B4" s="3497"/>
      <c r="C4" s="3497"/>
      <c r="D4" s="3498"/>
      <c r="E4" s="3498"/>
      <c r="F4" s="3498"/>
      <c r="G4" s="3498"/>
      <c r="H4" s="3498"/>
      <c r="I4" s="3498"/>
      <c r="J4" s="3499"/>
      <c r="K4" s="1373"/>
      <c r="L4" s="2726"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2824</v>
      </c>
      <c r="C5" s="917" t="e">
        <f>ROUND(IF(E2="商业",IF(F16="增加",C6*C7+C16,C6*C7-C16),IF(E2="住宅",IF(F16="增加",C6*C12+C16,C6*C12-C16),IF(F16="增加",C6+C16,C6-C16))),0)</f>
        <v>#DIV/0!</v>
      </c>
      <c r="D5" s="1790" t="e">
        <f>ROUND(IF(F16="增加",C6+C16,C6-C16),0)</f>
        <v>#DIV/0!</v>
      </c>
      <c r="E5" s="1790"/>
      <c r="F5" s="2731"/>
      <c r="G5" s="2732"/>
      <c r="H5" s="2732"/>
      <c r="I5" s="2732"/>
      <c r="J5" s="2733"/>
      <c r="K5" s="2734"/>
      <c r="L5" s="2726"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5"/>
      <c r="L6" s="2726"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482" t="str">
        <f>IF(E2="商业",IF(C8="不临58条商业街","",2),"")</f>
        <v/>
      </c>
      <c r="B7" s="2745" t="s">
        <v>2830</v>
      </c>
      <c r="C7" s="919" t="e">
        <f>IF(C8="不临58条商业街",1,ROUND(1+(1.6*E8+1.2*E9+0.8*E10+0.4*E11)*C9,4))</f>
        <v>#DIV/0!</v>
      </c>
      <c r="D7" s="2746" t="s">
        <v>2831</v>
      </c>
      <c r="E7" s="948"/>
      <c r="F7" s="2747"/>
      <c r="G7" s="2748"/>
      <c r="H7" s="2748"/>
      <c r="I7" s="2748"/>
      <c r="J7" s="2749"/>
      <c r="K7" s="1845"/>
      <c r="L7" s="2726"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1.17</v>
      </c>
      <c r="AA7" s="1609"/>
      <c r="AB7" s="1609"/>
      <c r="AC7" s="1610"/>
      <c r="AD7" s="1611"/>
      <c r="AE7" s="1611"/>
      <c r="AF7" s="1611"/>
      <c r="AG7" s="1611"/>
      <c r="AH7" s="1611"/>
      <c r="AI7" s="1611"/>
      <c r="AJ7" s="1612"/>
    </row>
    <row r="8" spans="1:36" ht="15">
      <c r="A8" s="3483"/>
      <c r="B8" s="198" t="s">
        <v>2835</v>
      </c>
      <c r="C8" s="2750"/>
      <c r="D8" s="920" t="s">
        <v>139</v>
      </c>
      <c r="E8" s="921" t="e">
        <f>ROUND(C11/E7,4)</f>
        <v>#DIV/0!</v>
      </c>
      <c r="F8" s="2751" t="s">
        <v>2836</v>
      </c>
      <c r="G8" s="2752"/>
      <c r="H8" s="2752"/>
      <c r="I8" s="2752"/>
      <c r="J8" s="2753"/>
      <c r="K8" s="1373"/>
      <c r="L8" s="2726"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493" t="s">
        <v>2838</v>
      </c>
      <c r="X8" s="3494"/>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483"/>
      <c r="B9" s="198" t="s">
        <v>2851</v>
      </c>
      <c r="C9" s="922">
        <f>SUMIF(修正!C59:C119,C8,修正!E59:E119)</f>
        <v>0</v>
      </c>
      <c r="D9" s="200" t="s">
        <v>140</v>
      </c>
      <c r="E9" s="200" t="e">
        <f>ROUND(C11/E7,4)</f>
        <v>#DIV/0!</v>
      </c>
      <c r="F9" s="2751" t="s">
        <v>2852</v>
      </c>
      <c r="G9" s="2752"/>
      <c r="H9" s="2752"/>
      <c r="I9" s="2752"/>
      <c r="J9" s="2753"/>
      <c r="K9" s="1373"/>
      <c r="L9" s="2726"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495"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483"/>
      <c r="B10" s="198" t="s">
        <v>2856</v>
      </c>
      <c r="C10" s="200">
        <f>SUMIF(修正!C59:C119,C8,修正!F59:F119)</f>
        <v>0</v>
      </c>
      <c r="D10" s="200" t="s">
        <v>141</v>
      </c>
      <c r="E10" s="200" t="e">
        <f>ROUND(C11/E7,4)</f>
        <v>#DIV/0!</v>
      </c>
      <c r="F10" s="2751" t="s">
        <v>2857</v>
      </c>
      <c r="G10" s="2752"/>
      <c r="H10" s="2752"/>
      <c r="I10" s="2752"/>
      <c r="J10" s="2753"/>
      <c r="K10" s="1373"/>
      <c r="L10" s="2726"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49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483"/>
      <c r="B11" s="2754" t="s">
        <v>2859</v>
      </c>
      <c r="C11" s="923">
        <f>C10/4</f>
        <v>0</v>
      </c>
      <c r="D11" s="923" t="s">
        <v>142</v>
      </c>
      <c r="E11" s="923" t="e">
        <f>ROUND(C11/E7,4)</f>
        <v>#DIV/0!</v>
      </c>
      <c r="F11" s="2755" t="s">
        <v>2860</v>
      </c>
      <c r="G11" s="2756"/>
      <c r="H11" s="2756"/>
      <c r="I11" s="2756"/>
      <c r="J11" s="2757"/>
      <c r="K11" s="1373"/>
      <c r="L11" s="2726"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495" t="s">
        <v>2862</v>
      </c>
      <c r="X11" s="1617" t="s">
        <v>2863</v>
      </c>
      <c r="Y11" s="1618">
        <f>$G$3</f>
        <v>1.17</v>
      </c>
      <c r="Z11" s="1618">
        <f t="shared" ref="Z11:AJ11" si="3">$G$3</f>
        <v>1.17</v>
      </c>
      <c r="AA11" s="1618">
        <f t="shared" si="3"/>
        <v>1.17</v>
      </c>
      <c r="AB11" s="1618">
        <f t="shared" si="3"/>
        <v>1.17</v>
      </c>
      <c r="AC11" s="1618">
        <f t="shared" si="3"/>
        <v>1.17</v>
      </c>
      <c r="AD11" s="1618">
        <f t="shared" si="3"/>
        <v>1.17</v>
      </c>
      <c r="AE11" s="1618">
        <f t="shared" si="3"/>
        <v>1.17</v>
      </c>
      <c r="AF11" s="1618">
        <f t="shared" si="3"/>
        <v>1.17</v>
      </c>
      <c r="AG11" s="1618">
        <f t="shared" si="3"/>
        <v>1.17</v>
      </c>
      <c r="AH11" s="1618">
        <f t="shared" si="3"/>
        <v>1.17</v>
      </c>
      <c r="AI11" s="1618">
        <f t="shared" si="3"/>
        <v>1.17</v>
      </c>
      <c r="AJ11" s="1618">
        <f t="shared" si="3"/>
        <v>1.17</v>
      </c>
    </row>
    <row r="12" spans="1:36" ht="25.5" thickBot="1">
      <c r="A12" s="3482" t="s">
        <v>2864</v>
      </c>
      <c r="B12" s="2758" t="s">
        <v>2865</v>
      </c>
      <c r="C12" s="919">
        <f>ROUND(C15*D15*E15*F15*G15*H15*I15*J15,4)</f>
        <v>1</v>
      </c>
      <c r="D12" s="2759" t="s">
        <v>2866</v>
      </c>
      <c r="E12" s="2760"/>
      <c r="F12" s="2760"/>
      <c r="G12" s="2761"/>
      <c r="H12" s="2761"/>
      <c r="I12" s="2761"/>
      <c r="J12" s="2762"/>
      <c r="K12" s="1373"/>
      <c r="L12" s="2763"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495"/>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500"/>
      <c r="B13" s="2764" t="s">
        <v>2869</v>
      </c>
      <c r="C13" s="2765" t="s">
        <v>2870</v>
      </c>
      <c r="D13" s="1811" t="s">
        <v>2871</v>
      </c>
      <c r="E13" s="1811" t="s">
        <v>2872</v>
      </c>
      <c r="F13" s="30" t="s">
        <v>2873</v>
      </c>
      <c r="G13" s="2766" t="s">
        <v>2874</v>
      </c>
      <c r="H13" s="2766" t="s">
        <v>2874</v>
      </c>
      <c r="I13" s="2766" t="s">
        <v>2874</v>
      </c>
      <c r="J13" s="2767" t="s">
        <v>2874</v>
      </c>
      <c r="K13" s="1373"/>
      <c r="L13" s="1373"/>
      <c r="M13" s="1373"/>
      <c r="N13" s="1373"/>
      <c r="O13" s="1373"/>
      <c r="P13" s="1373"/>
      <c r="Q13" s="1373"/>
      <c r="R13" s="1605">
        <v>12</v>
      </c>
      <c r="S13" s="1606"/>
      <c r="T13" s="1605" t="e">
        <f t="shared" si="0"/>
        <v>#DIV/0!</v>
      </c>
      <c r="U13" s="1606"/>
      <c r="V13" s="1605" t="e">
        <f t="shared" si="1"/>
        <v>#DIV/0!</v>
      </c>
      <c r="W13" s="3495"/>
      <c r="X13" s="1619"/>
      <c r="Y13" s="1616">
        <f>(-0.163*(Y12^2)-0.59*Y12+7617)*(10^(-4))/Y11</f>
        <v>0.65102564102564109</v>
      </c>
      <c r="Z13" s="1616">
        <f t="shared" ref="Z13:AJ13" si="5">(-0.163*(Z12^2)-0.59*Z12+7617)*(10^(-4))/Z11</f>
        <v>0.65102564102564109</v>
      </c>
      <c r="AA13" s="1616">
        <f t="shared" si="5"/>
        <v>0.65102564102564109</v>
      </c>
      <c r="AB13" s="1616">
        <f t="shared" si="5"/>
        <v>0.65102564102564109</v>
      </c>
      <c r="AC13" s="1616">
        <f t="shared" si="5"/>
        <v>0.65102564102564109</v>
      </c>
      <c r="AD13" s="1616">
        <f t="shared" si="5"/>
        <v>0.65102564102564109</v>
      </c>
      <c r="AE13" s="1616">
        <f t="shared" si="5"/>
        <v>0.65102564102564109</v>
      </c>
      <c r="AF13" s="1616">
        <f t="shared" si="5"/>
        <v>0.65102564102564109</v>
      </c>
      <c r="AG13" s="1616">
        <f t="shared" si="5"/>
        <v>0.65102564102564109</v>
      </c>
      <c r="AH13" s="1616">
        <f t="shared" si="5"/>
        <v>0.65102564102564109</v>
      </c>
      <c r="AI13" s="1616">
        <f t="shared" si="5"/>
        <v>0.65102564102564109</v>
      </c>
      <c r="AJ13" s="1616">
        <f t="shared" si="5"/>
        <v>0.65102564102564109</v>
      </c>
    </row>
    <row r="14" spans="1:36" ht="15">
      <c r="A14" s="3500"/>
      <c r="B14" s="2768"/>
      <c r="C14" s="2769"/>
      <c r="D14" s="2770"/>
      <c r="E14" s="2770"/>
      <c r="F14" s="2771"/>
      <c r="G14" s="2772" t="s">
        <v>2875</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501"/>
      <c r="B15" s="2776" t="s">
        <v>2876</v>
      </c>
      <c r="C15" s="229">
        <f>IF(C14="有",1.1,1)</f>
        <v>1</v>
      </c>
      <c r="D15" s="229">
        <f>IF(D14="有",1.1,1)</f>
        <v>1</v>
      </c>
      <c r="E15" s="229">
        <f>IF(E14="有",1.1,1)</f>
        <v>1</v>
      </c>
      <c r="F15" s="229">
        <f>IF(F14="500米范围内",1.2,IF(F14="500-1000米",1.1,1))</f>
        <v>1</v>
      </c>
      <c r="G15" s="949">
        <v>1</v>
      </c>
      <c r="H15" s="949">
        <v>1</v>
      </c>
      <c r="I15" s="949">
        <v>1</v>
      </c>
      <c r="J15" s="950">
        <v>1</v>
      </c>
      <c r="K15" s="1373"/>
      <c r="L15" s="2777" t="s">
        <v>2812</v>
      </c>
      <c r="M15" s="920" t="s">
        <v>2877</v>
      </c>
      <c r="N15" s="920" t="s">
        <v>2878</v>
      </c>
      <c r="O15" s="920" t="s">
        <v>2879</v>
      </c>
      <c r="P15" s="2778"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482" t="s">
        <v>2881</v>
      </c>
      <c r="B16" s="2745" t="s">
        <v>2882</v>
      </c>
      <c r="C16" s="1804" t="e">
        <f>ROUND(SUM(G17:J17)/C17,0)</f>
        <v>#DIV/0!</v>
      </c>
      <c r="D16" s="2779" t="s">
        <v>2883</v>
      </c>
      <c r="E16" s="2780"/>
      <c r="F16" s="2781"/>
      <c r="G16" s="2782"/>
      <c r="H16" s="2782"/>
      <c r="I16" s="2782"/>
      <c r="J16" s="2783"/>
      <c r="K16" s="1373"/>
      <c r="L16" s="2784"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483"/>
      <c r="B17" s="2785" t="s">
        <v>2885</v>
      </c>
      <c r="C17" s="924">
        <f>SUMPRODUCT((修正!A2:A5=E2)*(修正!B1:M1=G2)*(修正!B2:M5))</f>
        <v>0</v>
      </c>
      <c r="D17" s="2786"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2889</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2890</v>
      </c>
      <c r="C19" s="927" t="e">
        <f>ROUND(IF(H19="按公示增长率计算",SUMPRODUCT((地价!A3:A25=YEAR(G19)&amp;"-"&amp;ROUNDUP(MONTH(G19)/3,0))*(地价!X2:AB2=E2)*(地价!X3:AB25)),IF(H19="地价指数",M20/M19,(1+I19)^O19)),4)</f>
        <v>#DIV/0!</v>
      </c>
      <c r="D19" s="2797" t="s">
        <v>2891</v>
      </c>
      <c r="E19" s="928">
        <v>41640</v>
      </c>
      <c r="F19" s="2797" t="s">
        <v>2892</v>
      </c>
      <c r="G19" s="929">
        <f>'数据-取费表'!B2</f>
        <v>43516</v>
      </c>
      <c r="H19" s="2798" t="s">
        <v>2893</v>
      </c>
      <c r="I19" s="930" t="str">
        <f>IF(H19="季度增幅（自定义）",SUMIF(N21:N24,E2,O21:O24),"")</f>
        <v/>
      </c>
      <c r="J19" s="2795"/>
      <c r="K19" s="1380"/>
      <c r="L19" s="2799" t="s">
        <v>2894</v>
      </c>
      <c r="M19" s="1737">
        <f>ROUND(SUMIF(地价!B2:F2,E2,地价!B25:F25),0)</f>
        <v>0</v>
      </c>
      <c r="N19" s="2800" t="s">
        <v>2895</v>
      </c>
      <c r="O19" s="931">
        <f>ROUNDDOWN(DATEDIF(E19,G19,"M")/3,0)</f>
        <v>20</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2896</v>
      </c>
      <c r="C20" s="932" t="e">
        <f>ROUND(POWER(1+G20,J20-I20)*(POWER(1+G20,I20)-1)/(POWER(1+G20,J20)-1),4)</f>
        <v>#DIV/0!</v>
      </c>
      <c r="D20" s="2806" t="s">
        <v>2897</v>
      </c>
      <c r="E20" s="1771">
        <f ca="1">存贷款利率!D4/100</f>
        <v>4.3499999999999997E-2</v>
      </c>
      <c r="F20" s="2806" t="s">
        <v>2888</v>
      </c>
      <c r="G20" s="937">
        <f>SUMIF(M15:P15,E2,M17:P17)</f>
        <v>0</v>
      </c>
      <c r="H20" s="2806" t="s">
        <v>2898</v>
      </c>
      <c r="I20" s="938" t="e">
        <f>SUMIF('数据-取费表'!C6:C15,E2,'数据-取费表'!F6:F15)/COUNTIF('数据-取费表'!C6:C15,E2)</f>
        <v>#DIV/0!</v>
      </c>
      <c r="J20" s="939">
        <f>IF(E2="住宅",70,IF(E2="商业",40,50))</f>
        <v>50</v>
      </c>
      <c r="K20" s="1380"/>
      <c r="L20" s="2807" t="s">
        <v>2899</v>
      </c>
      <c r="M20" s="1738">
        <f>ROUND(SUMPRODUCT((地价!A4:A25=YEAR(G19)&amp;"-"&amp;ROUNDUP(MONTH(G19)/3,0))*(地价!B2:F2=E2)*(地价!B4:F25)),0)</f>
        <v>0</v>
      </c>
      <c r="N20" s="2808" t="s">
        <v>2900</v>
      </c>
      <c r="O20" s="2809" t="s">
        <v>2901</v>
      </c>
      <c r="P20" s="2810" t="s">
        <v>2902</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2903</v>
      </c>
      <c r="C21" s="940">
        <f>IF(B21="容积率修正",IF(G3&lt;=10,D22,J22),C23)</f>
        <v>0</v>
      </c>
      <c r="D21" s="2813"/>
      <c r="E21" s="2813"/>
      <c r="F21" s="2813"/>
      <c r="G21" s="2813"/>
      <c r="H21" s="2813"/>
      <c r="I21" s="2813"/>
      <c r="J21" s="2814"/>
      <c r="K21" s="1380"/>
      <c r="N21" s="2815" t="s">
        <v>2904</v>
      </c>
      <c r="O21" s="1564"/>
      <c r="P21" s="1565">
        <f>SUMPRODUCT((地价!A3:A25=YEAR(G19)&amp;"-"&amp;ROUNDUP(MONTH(G19)/3,0))*(地价!AD2:AH2=N21)*(地价!AD3:AH25))</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2905</v>
      </c>
      <c r="B22" s="2816" t="s">
        <v>2906</v>
      </c>
      <c r="C22" s="1813" t="s">
        <v>2907</v>
      </c>
      <c r="D22" s="1813">
        <f>IF(E22=G22,F22,IF(G3&lt;=10,ROUND(F22+(H22-F22)*(G3-E22)/(G22-E22),4),"——"))</f>
        <v>0</v>
      </c>
      <c r="E22" s="916">
        <f>ROUNDDOWN(G3,1)</f>
        <v>1.1000000000000001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5" t="s">
        <v>2908</v>
      </c>
      <c r="O22" s="1564"/>
      <c r="P22" s="1565">
        <f>SUMPRODUCT((地价!A3:A25=YEAR(G19)&amp;"-"&amp;ROUNDUP(MONTH(G19)/3,0))*(地价!AD2:AH2=N22)*(地价!AD3:AH25))</f>
        <v>1.46E-2</v>
      </c>
      <c r="R22" s="1379"/>
      <c r="S22" s="1379"/>
      <c r="T22" s="1374"/>
      <c r="U22" s="1374"/>
      <c r="V22" s="1374"/>
      <c r="W22" s="1373"/>
      <c r="X22" s="1373"/>
      <c r="Y22" s="1373"/>
      <c r="Z22" s="1380"/>
      <c r="AA22" s="1381"/>
      <c r="AB22" s="1381"/>
      <c r="AC22" s="1381"/>
      <c r="AD22" s="1381"/>
      <c r="AE22" s="1381"/>
      <c r="AF22" s="1381"/>
    </row>
    <row r="23" spans="1:37" ht="27.75" thickBot="1">
      <c r="A23" s="2664" t="s">
        <v>2909</v>
      </c>
      <c r="B23" s="2817" t="s">
        <v>2910</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2911</v>
      </c>
      <c r="O23" s="1564"/>
      <c r="P23" s="1565">
        <f>SUMPRODUCT((地价!A3:A25=YEAR(G19)&amp;"-"&amp;ROUNDUP(MONTH(G19)/3,0))*(地价!AD2:AH2=N23)*(地价!AD3:AH25))</f>
        <v>2.29E-2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2912</v>
      </c>
      <c r="C24" s="927">
        <f>SUMIF(A45:A88,E2,B45:B88)</f>
        <v>0</v>
      </c>
      <c r="D24" s="2793"/>
      <c r="E24" s="2823"/>
      <c r="F24" s="2823"/>
      <c r="G24" s="2823"/>
      <c r="H24" s="2823"/>
      <c r="I24" s="2823"/>
      <c r="J24" s="2824"/>
      <c r="K24" s="1380"/>
      <c r="N24" s="2825" t="s">
        <v>2913</v>
      </c>
      <c r="O24" s="1566"/>
      <c r="P24" s="1567">
        <f>SUMPRODUCT((地价!A3:A25=YEAR(G19)&amp;"-"&amp;ROUNDUP(MONTH(G19)/3,0))*(地价!AD2:AH2=N24)*(地价!AD3:AH25))</f>
        <v>1.3599999999999999E-2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2914</v>
      </c>
      <c r="C25" s="933"/>
      <c r="D25" s="2748"/>
      <c r="E25" s="2748"/>
      <c r="F25" s="2827"/>
      <c r="G25" s="2748"/>
      <c r="H25" s="2748"/>
      <c r="I25" s="2748"/>
      <c r="J25" s="2749"/>
      <c r="K25" s="1373"/>
      <c r="N25" s="2828" t="s">
        <v>2915</v>
      </c>
      <c r="O25" s="1568"/>
      <c r="P25" s="1567">
        <f>SUMPRODUCT((地价!A3:A25=YEAR(G19)&amp;"-"&amp;ROUNDUP(MONTH(G19)/3,0))*(地价!AD2:AH2=N25)*(地价!AD3:AH25))</f>
        <v>2.0899999999999998E-2</v>
      </c>
      <c r="R25" s="1379"/>
      <c r="S25" s="1379"/>
      <c r="T25" s="1374"/>
      <c r="U25" s="1374"/>
      <c r="V25" s="1374"/>
      <c r="W25" s="1373"/>
      <c r="X25" s="1373"/>
      <c r="Y25" s="1373"/>
      <c r="Z25" s="1380"/>
      <c r="AA25" s="1381"/>
      <c r="AB25" s="1381"/>
      <c r="AC25" s="1381"/>
      <c r="AD25" s="1381"/>
    </row>
    <row r="26" spans="1:37" ht="15">
      <c r="A26" s="2829"/>
      <c r="B26" s="2816" t="s">
        <v>2916</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2917</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2918</v>
      </c>
      <c r="C28" s="2840" t="s">
        <v>2919</v>
      </c>
      <c r="D28" s="2840" t="s">
        <v>2920</v>
      </c>
      <c r="E28" s="2841" t="s">
        <v>2921</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2922</v>
      </c>
      <c r="C29" s="206" t="e">
        <f>ROUND(C5*C18*C19*C20*C21*C24,0)</f>
        <v>#DIV/0!</v>
      </c>
      <c r="D29" s="2845"/>
      <c r="E29" s="945" t="e">
        <f>ROUND(C29*D29/10000,0)</f>
        <v>#DIV/0!</v>
      </c>
      <c r="F29" s="2846" t="s">
        <v>2923</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2924</v>
      </c>
      <c r="C30" s="229" t="e">
        <f>ROUND(IF(E2="工业",C29*M39,C29*M38),0)</f>
        <v>#DIV/0!</v>
      </c>
      <c r="D30" s="2851"/>
      <c r="E30" s="945" t="e">
        <f>ROUND(C30*D30/10000,0)</f>
        <v>#DIV/0!</v>
      </c>
      <c r="F30" s="2852" t="s">
        <v>2925</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490" t="s">
        <v>2930</v>
      </c>
      <c r="B33" s="2861" t="s">
        <v>2931</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491"/>
      <c r="B34" s="2765" t="s">
        <v>2932</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491"/>
      <c r="B35" s="2765" t="s">
        <v>2933</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492"/>
      <c r="B36" s="2765" t="s">
        <v>2934</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2935</v>
      </c>
      <c r="C37" s="200" t="e">
        <f>ROUND(D5*C19*C20*C24*F37,0)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2936</v>
      </c>
      <c r="M37" s="2865"/>
      <c r="N37" s="1373"/>
      <c r="O37" s="1373"/>
      <c r="P37" s="1373"/>
      <c r="Q37" s="1373"/>
      <c r="R37" s="1373"/>
      <c r="S37" s="1373"/>
      <c r="T37" s="1373"/>
      <c r="U37" s="1373"/>
      <c r="V37" s="1373"/>
      <c r="W37" s="1373"/>
      <c r="X37" s="1373"/>
      <c r="Y37" s="1373"/>
      <c r="Z37" s="1374"/>
    </row>
    <row r="38" spans="1:37">
      <c r="A38" s="2863"/>
      <c r="B38" s="2765" t="s">
        <v>2937</v>
      </c>
      <c r="C38" s="200" t="e">
        <f>ROUND(D5*C19*C41*C24*F38,0)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90" t="s">
        <v>2938</v>
      </c>
      <c r="M38" s="2866">
        <v>0.25</v>
      </c>
      <c r="N38" s="1373"/>
      <c r="O38" s="1373"/>
      <c r="P38" s="1373"/>
      <c r="Q38" s="1373"/>
      <c r="R38" s="1373"/>
      <c r="S38" s="1373"/>
      <c r="T38" s="1373"/>
      <c r="U38" s="1373"/>
      <c r="V38" s="1373"/>
      <c r="W38" s="1373"/>
      <c r="X38" s="1373"/>
      <c r="Y38" s="1373"/>
      <c r="Z38" s="1374"/>
    </row>
    <row r="39" spans="1:37" ht="13.5" thickBot="1">
      <c r="A39" s="2849"/>
      <c r="B39" s="2867" t="s">
        <v>2939</v>
      </c>
      <c r="C39" s="229" t="e">
        <f>ROUND(D5*C19*C41*C24*F39,0)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2880</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8" t="s">
        <v>3050</v>
      </c>
      <c r="C41" s="388" t="e">
        <f>ROUND(POWER(1+E41,H41-G41)*(POWER(1+E41,G41)-1)/(POWER(1+E41,H41)-1),4)</f>
        <v>#DIV/0!</v>
      </c>
      <c r="D41" s="200" t="s">
        <v>2888</v>
      </c>
      <c r="E41" s="2937">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2940</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2941</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2942</v>
      </c>
      <c r="B47" s="1812" t="s">
        <v>2943</v>
      </c>
      <c r="C47" s="1812" t="s">
        <v>2944</v>
      </c>
      <c r="D47" s="1812" t="s">
        <v>2945</v>
      </c>
      <c r="E47" s="819" t="s">
        <v>2946</v>
      </c>
      <c r="F47" s="2879" t="s">
        <v>2947</v>
      </c>
      <c r="G47" s="1812" t="s">
        <v>754</v>
      </c>
      <c r="H47" s="2880"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78" t="s">
        <v>2950</v>
      </c>
      <c r="B48" s="2881" t="str">
        <f>估价对象房地状况!C4</f>
        <v>估价对象位于XX商圈，周边商业氛围成熟，人流量大，商业繁华度好</v>
      </c>
      <c r="C48" s="2770"/>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2951</v>
      </c>
      <c r="B49" s="2882" t="str">
        <f>估价对象房地状况!C18</f>
        <v>估价对象周边道路状况、公共交通通达情况、停车便捷程度，综合评价交通便捷度较好</v>
      </c>
      <c r="C49" s="2770"/>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2952</v>
      </c>
      <c r="B50" s="2882">
        <f>估价对象房地状况!C19</f>
        <v>0</v>
      </c>
      <c r="C50" s="2770"/>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2953</v>
      </c>
      <c r="B51" s="2883" t="s">
        <v>2954</v>
      </c>
      <c r="C51" s="2770"/>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2955</v>
      </c>
      <c r="B52" s="2882">
        <f>估价对象房地状况!C24</f>
        <v>0</v>
      </c>
      <c r="C52" s="2770"/>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2956</v>
      </c>
      <c r="B53" s="2884" t="s">
        <v>2957</v>
      </c>
      <c r="C53" s="2770"/>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2958</v>
      </c>
      <c r="B54" s="1728" t="str">
        <f>估价对象房地状况!C21</f>
        <v>估价对象所在区域公共配套设施齐备情况</v>
      </c>
      <c r="C54" s="2770"/>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2959</v>
      </c>
      <c r="B55" s="2882" t="str">
        <f>估价对象房地状况!C22</f>
        <v>估价对象所在区域基础设施水平</v>
      </c>
      <c r="C55" s="2770"/>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2960</v>
      </c>
      <c r="B56" s="2887" t="str">
        <f>估价对象房地状况!C20</f>
        <v>区域自然环境：；人文环境；综合评价环境状况一般</v>
      </c>
      <c r="C56" s="2770"/>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2961</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2942</v>
      </c>
      <c r="B58" s="1812"/>
      <c r="C58" s="1812" t="s">
        <v>2944</v>
      </c>
      <c r="D58" s="1812" t="s">
        <v>2945</v>
      </c>
      <c r="E58" s="819" t="s">
        <v>2946</v>
      </c>
      <c r="F58" s="2879" t="s">
        <v>2962</v>
      </c>
      <c r="G58" s="1812" t="s">
        <v>754</v>
      </c>
      <c r="H58" s="2880"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78" t="s">
        <v>2963</v>
      </c>
      <c r="B59" s="2881" t="str">
        <f>估价对象房地状况!C17</f>
        <v>估价对象位于XX商圈，周边办公楼项目较多，入驻率高，办公集聚程度较好</v>
      </c>
      <c r="C59" s="2770"/>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2951</v>
      </c>
      <c r="B60" s="2882" t="str">
        <f>估价对象房地状况!C18</f>
        <v>估价对象周边道路状况、公共交通通达情况、停车便捷程度，综合评价交通便捷度较好</v>
      </c>
      <c r="C60" s="2770"/>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2952</v>
      </c>
      <c r="B61" s="2882">
        <f>估价对象房地状况!C19</f>
        <v>0</v>
      </c>
      <c r="C61" s="2770"/>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2953</v>
      </c>
      <c r="B62" s="2883" t="s">
        <v>2954</v>
      </c>
      <c r="C62" s="2770"/>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2955</v>
      </c>
      <c r="B63" s="2882">
        <f>估价对象房地状况!C24</f>
        <v>0</v>
      </c>
      <c r="C63" s="2770"/>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2956</v>
      </c>
      <c r="B64" s="2884" t="s">
        <v>2957</v>
      </c>
      <c r="C64" s="2770"/>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2958</v>
      </c>
      <c r="B65" s="1728" t="str">
        <f>估价对象房地状况!C21</f>
        <v>估价对象所在区域公共配套设施齐备情况</v>
      </c>
      <c r="C65" s="2770"/>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2959</v>
      </c>
      <c r="B66" s="1728" t="str">
        <f>估价对象房地状况!C22</f>
        <v>估价对象所在区域基础设施水平</v>
      </c>
      <c r="C66" s="2770"/>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2960</v>
      </c>
      <c r="B67" s="2888" t="str">
        <f>估价对象房地状况!C20</f>
        <v>区域自然环境：；人文环境；综合评价环境状况一般</v>
      </c>
      <c r="C67" s="2770"/>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2964</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2942</v>
      </c>
      <c r="B69" s="1812"/>
      <c r="C69" s="1812" t="s">
        <v>2944</v>
      </c>
      <c r="D69" s="1812" t="s">
        <v>2945</v>
      </c>
      <c r="E69" s="819" t="s">
        <v>2946</v>
      </c>
      <c r="F69" s="2879" t="s">
        <v>2962</v>
      </c>
      <c r="G69" s="1812" t="s">
        <v>754</v>
      </c>
      <c r="H69" s="2880"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78" t="s">
        <v>2965</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2951</v>
      </c>
      <c r="B71" s="2882" t="str">
        <f>估价对象房地状况!C18</f>
        <v>估价对象周边道路状况、公共交通通达情况、停车便捷程度，综合评价交通便捷度较好</v>
      </c>
      <c r="C71" s="2770"/>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2952</v>
      </c>
      <c r="B72" s="2882">
        <f>估价对象房地状况!C19</f>
        <v>0</v>
      </c>
      <c r="C72" s="2770"/>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2966</v>
      </c>
      <c r="B73" s="2882">
        <f>估价对象房地状况!C24</f>
        <v>0</v>
      </c>
      <c r="C73" s="2770"/>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2958</v>
      </c>
      <c r="B74" s="1728" t="str">
        <f>估价对象房地状况!C21</f>
        <v>估价对象所在区域公共配套设施齐备情况</v>
      </c>
      <c r="C74" s="2770"/>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2959</v>
      </c>
      <c r="B75" s="1728" t="str">
        <f>估价对象房地状况!C22</f>
        <v>估价对象所在区域基础设施水平</v>
      </c>
      <c r="C75" s="2770"/>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2956</v>
      </c>
      <c r="B76" s="2884" t="s">
        <v>2957</v>
      </c>
      <c r="C76" s="2770"/>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2960</v>
      </c>
      <c r="B77" s="2881" t="str">
        <f>估价对象房地状况!C20</f>
        <v>区域自然环境：；人文环境；综合评价环境状况一般</v>
      </c>
      <c r="C77" s="2770"/>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2967</v>
      </c>
      <c r="B78" s="2890"/>
      <c r="C78" s="2770"/>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2968</v>
      </c>
      <c r="B79" s="2875">
        <f>1+E81</f>
        <v>1</v>
      </c>
      <c r="C79" s="814"/>
      <c r="D79" s="814"/>
      <c r="E79" s="815"/>
      <c r="F79" s="2877"/>
      <c r="G79" s="6"/>
      <c r="H79" s="6"/>
      <c r="I79" s="6"/>
      <c r="J79" s="7"/>
      <c r="K79" s="7"/>
      <c r="L79" s="7"/>
      <c r="M79" s="7"/>
      <c r="N79" s="7"/>
      <c r="Z79" s="2720"/>
      <c r="AA79" s="2796"/>
      <c r="AG79" s="1375"/>
      <c r="AK79" s="2796"/>
    </row>
    <row r="80" spans="1:37" ht="24.75">
      <c r="A80" s="2878" t="s">
        <v>2942</v>
      </c>
      <c r="B80" s="1812"/>
      <c r="C80" s="1812" t="s">
        <v>2944</v>
      </c>
      <c r="D80" s="1812" t="s">
        <v>2945</v>
      </c>
      <c r="E80" s="819" t="s">
        <v>2946</v>
      </c>
      <c r="F80" s="2879" t="s">
        <v>2962</v>
      </c>
      <c r="G80" s="1812" t="s">
        <v>754</v>
      </c>
      <c r="H80" s="2880" t="s">
        <v>2948</v>
      </c>
      <c r="I80" s="1812" t="s">
        <v>2949</v>
      </c>
      <c r="J80" s="603" t="s">
        <v>2596</v>
      </c>
      <c r="K80" s="603" t="s">
        <v>2597</v>
      </c>
      <c r="L80" s="603" t="s">
        <v>2598</v>
      </c>
      <c r="M80" s="603" t="s">
        <v>2599</v>
      </c>
      <c r="N80" s="603" t="s">
        <v>2600</v>
      </c>
      <c r="Z80" s="2720"/>
      <c r="AA80" s="2796"/>
      <c r="AG80" s="1375"/>
      <c r="AK80" s="2796"/>
    </row>
    <row r="81" spans="1:37" ht="38.25">
      <c r="A81" s="2878" t="s">
        <v>2969</v>
      </c>
      <c r="B81" s="2882" t="str">
        <f>估价对象房地状况!G15</f>
        <v>估价对象位于XX开发区，园区建设成熟度XX，产业集聚程度XX</v>
      </c>
      <c r="C81" s="2770"/>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51">
      <c r="A82" s="2878" t="s">
        <v>2951</v>
      </c>
      <c r="B82" s="2882" t="str">
        <f>估价对象房地状况!G16</f>
        <v>估价对象周边道路状况、公共交通通达情况、停车便捷程度，综合评价交通便捷度较好</v>
      </c>
      <c r="C82" s="2770"/>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2952</v>
      </c>
      <c r="B83" s="2882">
        <f>估价对象房地状况!G17</f>
        <v>0</v>
      </c>
      <c r="C83" s="2770"/>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2966</v>
      </c>
      <c r="B84" s="2882">
        <f>估价对象房地状况!G22</f>
        <v>0</v>
      </c>
      <c r="C84" s="2770"/>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2958</v>
      </c>
      <c r="B85" s="1728" t="str">
        <f>估价对象房地状况!G19</f>
        <v>估价对象所在区域公共配套设施齐备情况</v>
      </c>
      <c r="C85" s="2770"/>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2959</v>
      </c>
      <c r="B86" s="1728" t="str">
        <f>估价对象房地状况!G20</f>
        <v>估价对象所在区域基础设施水平</v>
      </c>
      <c r="C86" s="2770"/>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2956</v>
      </c>
      <c r="B87" s="2884" t="s">
        <v>2970</v>
      </c>
      <c r="C87" s="2770"/>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2971</v>
      </c>
      <c r="B88" s="2891" t="str">
        <f>估价对象房地状况!G18</f>
        <v>该园区内是否有污染型企业，绿化情况，卫生条件，整体环境状况判断</v>
      </c>
      <c r="C88" s="2770"/>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484" t="s">
        <v>2972</v>
      </c>
      <c r="B90" s="3484"/>
      <c r="C90" s="3484"/>
      <c r="D90" s="3484"/>
      <c r="E90" s="3484"/>
      <c r="F90" s="3484"/>
      <c r="G90" s="3484"/>
      <c r="H90" s="3484"/>
      <c r="I90" s="3484"/>
      <c r="J90" s="3484"/>
      <c r="K90" s="2892"/>
      <c r="L90" s="2892"/>
      <c r="M90" s="2892"/>
      <c r="N90" s="2892"/>
    </row>
    <row r="91" spans="1:37">
      <c r="A91" s="3486" t="s">
        <v>2973</v>
      </c>
      <c r="B91" s="3486" t="s">
        <v>2974</v>
      </c>
      <c r="C91" s="2846" t="s">
        <v>2975</v>
      </c>
      <c r="D91" s="2847"/>
      <c r="E91" s="2847"/>
      <c r="F91" s="2847"/>
      <c r="G91" s="2847"/>
      <c r="H91" s="2847"/>
      <c r="I91" s="2847"/>
      <c r="J91" s="2893"/>
      <c r="K91" s="2894"/>
      <c r="L91" s="2894"/>
      <c r="M91" s="2894"/>
      <c r="N91" s="2894"/>
    </row>
    <row r="92" spans="1:37">
      <c r="A92" s="3486"/>
      <c r="B92" s="3486"/>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487"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48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48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48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48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48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488"/>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48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487" t="s">
        <v>2977</v>
      </c>
      <c r="B101" s="2899" t="s">
        <v>2978</v>
      </c>
      <c r="C101" s="2900">
        <f>$G$3</f>
        <v>1.17</v>
      </c>
      <c r="D101" s="2900">
        <f t="shared" ref="D101:N101" si="31">$G$3</f>
        <v>1.17</v>
      </c>
      <c r="E101" s="2900">
        <f t="shared" si="31"/>
        <v>1.17</v>
      </c>
      <c r="F101" s="2900">
        <f t="shared" si="31"/>
        <v>1.17</v>
      </c>
      <c r="G101" s="2900">
        <f t="shared" si="31"/>
        <v>1.17</v>
      </c>
      <c r="H101" s="2900">
        <f t="shared" si="31"/>
        <v>1.17</v>
      </c>
      <c r="I101" s="2900">
        <f t="shared" si="31"/>
        <v>1.17</v>
      </c>
      <c r="J101" s="2900">
        <f t="shared" si="31"/>
        <v>1.17</v>
      </c>
      <c r="K101" s="2900">
        <f t="shared" si="31"/>
        <v>1.17</v>
      </c>
      <c r="L101" s="2900">
        <f t="shared" si="31"/>
        <v>1.17</v>
      </c>
      <c r="M101" s="2900">
        <f t="shared" si="31"/>
        <v>1.17</v>
      </c>
      <c r="N101" s="2900">
        <f t="shared" si="31"/>
        <v>1.17</v>
      </c>
    </row>
    <row r="102" spans="1:14">
      <c r="A102" s="3488"/>
      <c r="B102" s="2895">
        <v>1</v>
      </c>
      <c r="C102" s="2896">
        <f>1.9362/C101</f>
        <v>1.6548717948717948</v>
      </c>
      <c r="D102" s="2896">
        <f>1.9362/D101</f>
        <v>1.6548717948717948</v>
      </c>
      <c r="E102" s="2896">
        <f>1.8629/E101</f>
        <v>1.5922222222222224</v>
      </c>
      <c r="F102" s="2896">
        <f>1.8629/F101</f>
        <v>1.5922222222222224</v>
      </c>
      <c r="G102" s="2896">
        <f>1.8629/G101</f>
        <v>1.5922222222222224</v>
      </c>
      <c r="H102" s="2896">
        <f>1.8629/H101</f>
        <v>1.5922222222222224</v>
      </c>
      <c r="I102" s="2896">
        <f>1.8629/I101</f>
        <v>1.5922222222222224</v>
      </c>
      <c r="J102" s="2896">
        <f>1.942/J101</f>
        <v>1.6598290598290599</v>
      </c>
      <c r="K102" s="2896">
        <f>1.942/K101</f>
        <v>1.6598290598290599</v>
      </c>
      <c r="L102" s="2896">
        <f>1.942/L101</f>
        <v>1.6598290598290599</v>
      </c>
      <c r="M102" s="2896">
        <f>1.942/M101</f>
        <v>1.6598290598290599</v>
      </c>
      <c r="N102" s="2896">
        <f>1.942/N101</f>
        <v>1.6598290598290599</v>
      </c>
    </row>
    <row r="103" spans="1:14">
      <c r="A103" s="3488"/>
      <c r="B103" s="2895">
        <v>2</v>
      </c>
      <c r="C103" s="2896">
        <f>1.4198/C101</f>
        <v>1.2135042735042736</v>
      </c>
      <c r="D103" s="2896">
        <f>1.4198/D101</f>
        <v>1.2135042735042736</v>
      </c>
      <c r="E103" s="2896">
        <f>1.3372/E101</f>
        <v>1.1429059829059829</v>
      </c>
      <c r="F103" s="2896">
        <f>1.3372/F101</f>
        <v>1.1429059829059829</v>
      </c>
      <c r="G103" s="2896">
        <f>1.3372/G101</f>
        <v>1.1429059829059829</v>
      </c>
      <c r="H103" s="2896">
        <f>1.3372/H101</f>
        <v>1.1429059829059829</v>
      </c>
      <c r="I103" s="2896">
        <f>1.3372/I101</f>
        <v>1.1429059829059829</v>
      </c>
      <c r="J103" s="2896">
        <f>1.2799/J101</f>
        <v>1.0939316239316241</v>
      </c>
      <c r="K103" s="2896">
        <f>1.2799/K101</f>
        <v>1.0939316239316241</v>
      </c>
      <c r="L103" s="2896">
        <f>1.2799/L101</f>
        <v>1.0939316239316241</v>
      </c>
      <c r="M103" s="2896">
        <f>1.2799/M101</f>
        <v>1.0939316239316241</v>
      </c>
      <c r="N103" s="2896">
        <f>1.2799/N101</f>
        <v>1.0939316239316241</v>
      </c>
    </row>
    <row r="104" spans="1:14">
      <c r="A104" s="3488"/>
      <c r="B104" s="2895">
        <v>3</v>
      </c>
      <c r="C104" s="2896">
        <f>1.1594/C101</f>
        <v>0.99094017094017095</v>
      </c>
      <c r="D104" s="2896">
        <f>1.1594/D101</f>
        <v>0.99094017094017095</v>
      </c>
      <c r="E104" s="2896">
        <f>1.0788/E101</f>
        <v>0.92205128205128206</v>
      </c>
      <c r="F104" s="2896">
        <f>1.0788/F101</f>
        <v>0.92205128205128206</v>
      </c>
      <c r="G104" s="2896">
        <f>1.0788/G101</f>
        <v>0.92205128205128206</v>
      </c>
      <c r="H104" s="2896">
        <f>1.0788/H101</f>
        <v>0.92205128205128206</v>
      </c>
      <c r="I104" s="2896">
        <f>1.0788/I101</f>
        <v>0.92205128205128206</v>
      </c>
      <c r="J104" s="2896">
        <f>1.0072/J101</f>
        <v>0.86085470085470095</v>
      </c>
      <c r="K104" s="2896">
        <f>1.0072/K101</f>
        <v>0.86085470085470095</v>
      </c>
      <c r="L104" s="2896">
        <f>1.0072/L101</f>
        <v>0.86085470085470095</v>
      </c>
      <c r="M104" s="2896">
        <f>1.0072/M101</f>
        <v>0.86085470085470095</v>
      </c>
      <c r="N104" s="2896">
        <f>1.0072/N101</f>
        <v>0.86085470085470095</v>
      </c>
    </row>
    <row r="105" spans="1:14">
      <c r="A105" s="3488"/>
      <c r="B105" s="2895">
        <v>4</v>
      </c>
      <c r="C105" s="2896">
        <f>0.9622/C101</f>
        <v>0.82239316239316251</v>
      </c>
      <c r="D105" s="2896">
        <f>0.9622/D101</f>
        <v>0.82239316239316251</v>
      </c>
      <c r="E105" s="2896">
        <f>0.8656/E101</f>
        <v>0.73982905982905989</v>
      </c>
      <c r="F105" s="2896">
        <f>0.8656/F101</f>
        <v>0.73982905982905989</v>
      </c>
      <c r="G105" s="2896">
        <f>0.8656/G101</f>
        <v>0.73982905982905989</v>
      </c>
      <c r="H105" s="2896">
        <f>0.8656/H101</f>
        <v>0.73982905982905989</v>
      </c>
      <c r="I105" s="2896">
        <f>0.8656/I101</f>
        <v>0.73982905982905989</v>
      </c>
      <c r="J105" s="2896">
        <f>0.7525/J101</f>
        <v>0.64316239316239321</v>
      </c>
      <c r="K105" s="2896">
        <f>0.7525/K101</f>
        <v>0.64316239316239321</v>
      </c>
      <c r="L105" s="2896">
        <f>0.7525/L101</f>
        <v>0.64316239316239321</v>
      </c>
      <c r="M105" s="2896">
        <f>0.7525/M101</f>
        <v>0.64316239316239321</v>
      </c>
      <c r="N105" s="2896">
        <f>0.7525/N101</f>
        <v>0.64316239316239321</v>
      </c>
    </row>
    <row r="106" spans="1:14">
      <c r="A106" s="3488"/>
      <c r="B106" s="2895">
        <v>5</v>
      </c>
      <c r="C106" s="2896">
        <f>0.8417/C101</f>
        <v>0.71940170940170944</v>
      </c>
      <c r="D106" s="2896">
        <f>0.8417/D101</f>
        <v>0.71940170940170944</v>
      </c>
      <c r="E106" s="2896">
        <f>0.7371/E101</f>
        <v>0.63</v>
      </c>
      <c r="F106" s="2896">
        <f>0.7371/F101</f>
        <v>0.63</v>
      </c>
      <c r="G106" s="2896">
        <f>0.7371/G101</f>
        <v>0.63</v>
      </c>
      <c r="H106" s="2896">
        <f>0.7371/H101</f>
        <v>0.63</v>
      </c>
      <c r="I106" s="2896">
        <f>0.7371/I101</f>
        <v>0.63</v>
      </c>
      <c r="J106" s="2896">
        <f>0.5659/J101</f>
        <v>0.48367521367521366</v>
      </c>
      <c r="K106" s="2896">
        <f>0.5659/K101</f>
        <v>0.48367521367521366</v>
      </c>
      <c r="L106" s="2896">
        <f>0.5659/L101</f>
        <v>0.48367521367521366</v>
      </c>
      <c r="M106" s="2896">
        <f>0.5659/M101</f>
        <v>0.48367521367521366</v>
      </c>
      <c r="N106" s="2896">
        <f>0.5659/N101</f>
        <v>0.48367521367521366</v>
      </c>
    </row>
    <row r="107" spans="1:14">
      <c r="A107" s="3488"/>
      <c r="B107" s="2895">
        <v>6</v>
      </c>
      <c r="C107" s="2896">
        <f>0.7608/C101</f>
        <v>0.65025641025641034</v>
      </c>
      <c r="D107" s="2896">
        <f>0.7608/D101</f>
        <v>0.65025641025641034</v>
      </c>
      <c r="E107" s="2896">
        <f>0.6482/E101</f>
        <v>0.55401709401709409</v>
      </c>
      <c r="F107" s="2896">
        <f>0.6482/F101</f>
        <v>0.55401709401709409</v>
      </c>
      <c r="G107" s="2896">
        <f>0.6482/G101</f>
        <v>0.55401709401709409</v>
      </c>
      <c r="H107" s="2896">
        <f>0.6482/H101</f>
        <v>0.55401709401709409</v>
      </c>
      <c r="I107" s="2896">
        <f>0.6482/I101</f>
        <v>0.55401709401709409</v>
      </c>
      <c r="J107" s="2896">
        <f>0.4525/J101</f>
        <v>0.38675213675213677</v>
      </c>
      <c r="K107" s="2896">
        <f>0.4525/K101</f>
        <v>0.38675213675213677</v>
      </c>
      <c r="L107" s="2896">
        <f>0.4525/L101</f>
        <v>0.38675213675213677</v>
      </c>
      <c r="M107" s="2896">
        <f>0.4525/M101</f>
        <v>0.38675213675213677</v>
      </c>
      <c r="N107" s="2896">
        <f>0.4525/N101</f>
        <v>0.38675213675213677</v>
      </c>
    </row>
    <row r="108" spans="1:14">
      <c r="A108" s="3488"/>
      <c r="B108" s="3314"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489"/>
      <c r="B109" s="3315"/>
      <c r="C109" s="2898">
        <f>(-0.163*(C108^2)-0.59*C108+7617)*(10^(-4))/C101</f>
        <v>0.65102564102564109</v>
      </c>
      <c r="D109" s="2898">
        <f>(-0.163*(D108^2)-0.59*D108+7617)*(10^(-4))/D101</f>
        <v>0.65102564102564109</v>
      </c>
      <c r="E109" s="2898">
        <f>(-0.161*(E108^2)-7.509*E108+6533)*(10^(-4))/E101</f>
        <v>0.55837606837606846</v>
      </c>
      <c r="F109" s="2898">
        <f>(-0.161*(F108^2)-7.509*F108+6533)*(10^(-4))/F101</f>
        <v>0.55837606837606846</v>
      </c>
      <c r="G109" s="2898">
        <f>(-0.161*(G108^2)-7.509*G108+6533)*(10^(-4))/G101</f>
        <v>0.55837606837606846</v>
      </c>
      <c r="H109" s="2898">
        <f>(-0.161*(H108^2)-7.509*H108+6533)*(10^(-4))/H101</f>
        <v>0.55837606837606846</v>
      </c>
      <c r="I109" s="2898">
        <f>(-0.161*(I108^2)-7.509*I108+6533)*(10^(-4))/I101</f>
        <v>0.55837606837606846</v>
      </c>
      <c r="J109" s="2898">
        <f>(-0.214*(J108^2)-21.991*J108+4665)*(10^(-4))/J101</f>
        <v>0.39871794871794874</v>
      </c>
      <c r="K109" s="2898">
        <f>(-0.214*(K108^2)-21.991*K108+4665)*(10^(-4))/K101</f>
        <v>0.39871794871794874</v>
      </c>
      <c r="L109" s="2898">
        <f>(-0.214*(L108^2)-21.991*L108+4665)*(10^(-4))/L101</f>
        <v>0.39871794871794874</v>
      </c>
      <c r="M109" s="2898">
        <f>(-0.214*(M108^2)-21.991*M108+4665)*(10^(-4))/M101</f>
        <v>0.39871794871794874</v>
      </c>
      <c r="N109" s="2898">
        <f>(-0.214*(N108^2)-21.991*N108+4665)*(10^(-4))/N101</f>
        <v>0.39871794871794874</v>
      </c>
    </row>
    <row r="110" spans="1:14">
      <c r="A110" s="3485" t="s">
        <v>2980</v>
      </c>
      <c r="B110" s="3485"/>
      <c r="C110" s="3485"/>
      <c r="D110" s="3485"/>
      <c r="E110" s="3485"/>
      <c r="F110" s="3485"/>
      <c r="G110" s="3485"/>
      <c r="H110" s="3485"/>
      <c r="I110" s="3485"/>
      <c r="J110" s="3485"/>
      <c r="K110" s="2901"/>
      <c r="L110" s="2901"/>
      <c r="M110" s="2901"/>
      <c r="N110" s="2901"/>
    </row>
    <row r="112" spans="1:14" ht="13.5" thickBot="1"/>
    <row r="113" spans="1:13" ht="25.5" thickBot="1">
      <c r="A113" s="903" t="s">
        <v>2981</v>
      </c>
      <c r="B113" s="1290">
        <f>G3</f>
        <v>1.17</v>
      </c>
      <c r="C113" s="904" t="s">
        <v>2982</v>
      </c>
      <c r="D113" s="905">
        <f>SUMPRODUCT((A115:A118=F113)*(B114:M114=H113)*B115:M118)</f>
        <v>0</v>
      </c>
      <c r="E113" s="2724" t="s">
        <v>2812</v>
      </c>
      <c r="F113" s="2903">
        <f>E2</f>
        <v>0</v>
      </c>
      <c r="G113" s="2724" t="s">
        <v>2813</v>
      </c>
      <c r="H113" s="2903">
        <f>G2</f>
        <v>0</v>
      </c>
      <c r="I113" s="2724"/>
      <c r="J113" s="2904"/>
      <c r="K113" s="2904"/>
      <c r="L113" s="2904"/>
      <c r="M113" s="2904"/>
    </row>
    <row r="114" spans="1:13">
      <c r="A114" s="908"/>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9" t="s">
        <v>2877</v>
      </c>
      <c r="B115" s="910">
        <f>ROUND(0.9335-0.0094*B113,4)</f>
        <v>0.92249999999999999</v>
      </c>
      <c r="C115" s="910">
        <f>B115</f>
        <v>0.92249999999999999</v>
      </c>
      <c r="D115" s="910">
        <f>ROUND(0.8331-0.0109*B113,4)</f>
        <v>0.82030000000000003</v>
      </c>
      <c r="E115" s="910">
        <f>D115</f>
        <v>0.82030000000000003</v>
      </c>
      <c r="F115" s="910">
        <f>E115</f>
        <v>0.82030000000000003</v>
      </c>
      <c r="G115" s="910">
        <f>F115</f>
        <v>0.82030000000000003</v>
      </c>
      <c r="H115" s="910">
        <f>G115</f>
        <v>0.82030000000000003</v>
      </c>
      <c r="I115" s="910">
        <f>ROUND(0.689-0.0155*B113,4)</f>
        <v>0.67090000000000005</v>
      </c>
      <c r="J115" s="910">
        <f t="shared" ref="J115:M118" si="33">I115</f>
        <v>0.67090000000000005</v>
      </c>
      <c r="K115" s="910">
        <f t="shared" si="33"/>
        <v>0.67090000000000005</v>
      </c>
      <c r="L115" s="910">
        <f t="shared" si="33"/>
        <v>0.67090000000000005</v>
      </c>
      <c r="M115" s="911">
        <f t="shared" si="33"/>
        <v>0.67090000000000005</v>
      </c>
    </row>
    <row r="116" spans="1:13">
      <c r="A116" s="909" t="s">
        <v>2878</v>
      </c>
      <c r="B116" s="910">
        <f>ROUND(0.949-0.012*B113,4)</f>
        <v>0.93500000000000005</v>
      </c>
      <c r="C116" s="910">
        <f>B116</f>
        <v>0.93500000000000005</v>
      </c>
      <c r="D116" s="910">
        <f>ROUND(0.8567-0.013*B113,4)</f>
        <v>0.84150000000000003</v>
      </c>
      <c r="E116" s="910">
        <f t="shared" ref="E116:H117" si="34">D116</f>
        <v>0.84150000000000003</v>
      </c>
      <c r="F116" s="910">
        <f t="shared" si="34"/>
        <v>0.84150000000000003</v>
      </c>
      <c r="G116" s="910">
        <f t="shared" si="34"/>
        <v>0.84150000000000003</v>
      </c>
      <c r="H116" s="910">
        <f t="shared" si="34"/>
        <v>0.84150000000000003</v>
      </c>
      <c r="I116" s="910">
        <f>ROUND(0.7694-0.014*B113,4)</f>
        <v>0.753</v>
      </c>
      <c r="J116" s="910">
        <f t="shared" si="33"/>
        <v>0.753</v>
      </c>
      <c r="K116" s="910">
        <f t="shared" si="33"/>
        <v>0.753</v>
      </c>
      <c r="L116" s="910">
        <f t="shared" si="33"/>
        <v>0.753</v>
      </c>
      <c r="M116" s="911">
        <f t="shared" si="33"/>
        <v>0.753</v>
      </c>
    </row>
    <row r="117" spans="1:13">
      <c r="A117" s="909" t="s">
        <v>2879</v>
      </c>
      <c r="B117" s="910">
        <f>ROUND(0.8808-0.006*B113,4)</f>
        <v>0.87380000000000002</v>
      </c>
      <c r="C117" s="910">
        <f>B117</f>
        <v>0.87380000000000002</v>
      </c>
      <c r="D117" s="910">
        <f>ROUND(0.8748-0.008*B113,4)</f>
        <v>0.86539999999999995</v>
      </c>
      <c r="E117" s="910">
        <f t="shared" si="34"/>
        <v>0.86539999999999995</v>
      </c>
      <c r="F117" s="910">
        <f t="shared" si="34"/>
        <v>0.86539999999999995</v>
      </c>
      <c r="G117" s="910">
        <f t="shared" si="34"/>
        <v>0.86539999999999995</v>
      </c>
      <c r="H117" s="910">
        <f t="shared" si="34"/>
        <v>0.86539999999999995</v>
      </c>
      <c r="I117" s="910">
        <f>ROUND(0.7412-0.0095*B113,4)</f>
        <v>0.73009999999999997</v>
      </c>
      <c r="J117" s="910">
        <f t="shared" si="33"/>
        <v>0.73009999999999997</v>
      </c>
      <c r="K117" s="910">
        <f t="shared" si="33"/>
        <v>0.73009999999999997</v>
      </c>
      <c r="L117" s="910">
        <f t="shared" si="33"/>
        <v>0.73009999999999997</v>
      </c>
      <c r="M117" s="911">
        <f t="shared" si="33"/>
        <v>0.73009999999999997</v>
      </c>
    </row>
    <row r="118" spans="1:13" ht="13.5" thickBot="1">
      <c r="A118" s="714" t="s">
        <v>2880</v>
      </c>
      <c r="B118" s="912">
        <f>ROUND(0.7275-0.01*B113,4)</f>
        <v>0.71579999999999999</v>
      </c>
      <c r="C118" s="912">
        <f>B118</f>
        <v>0.71579999999999999</v>
      </c>
      <c r="D118" s="912">
        <f>ROUND(0.7043-0.012*B113,4)</f>
        <v>0.69030000000000002</v>
      </c>
      <c r="E118" s="912">
        <f>D118</f>
        <v>0.69030000000000002</v>
      </c>
      <c r="F118" s="912">
        <f>E118</f>
        <v>0.69030000000000002</v>
      </c>
      <c r="G118" s="912">
        <f>ROUND(0.6299-0.0122*B113,4)</f>
        <v>0.61560000000000004</v>
      </c>
      <c r="H118" s="912">
        <f>G118</f>
        <v>0.61560000000000004</v>
      </c>
      <c r="I118" s="912">
        <f>ROUND(0.5667-0.0136*B113,4)</f>
        <v>0.55079999999999996</v>
      </c>
      <c r="J118" s="912">
        <f t="shared" si="33"/>
        <v>0.55079999999999996</v>
      </c>
      <c r="K118" s="912">
        <f t="shared" si="33"/>
        <v>0.55079999999999996</v>
      </c>
      <c r="L118" s="912">
        <f t="shared" si="33"/>
        <v>0.55079999999999996</v>
      </c>
      <c r="M118" s="913">
        <f t="shared" si="33"/>
        <v>0.55079999999999996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1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8"/>
      <c r="C2" s="3138"/>
      <c r="D2" s="3138"/>
      <c r="E2" s="3138"/>
    </row>
    <row r="3" spans="1:5" ht="18">
      <c r="A3" s="3139" t="str">
        <f>IF(项目基本情况!B9="房地产市场价值","估价结果一览表（市场价值不需“结果表-1”）","估价结果一览表")</f>
        <v>估价结果一览表</v>
      </c>
      <c r="B3" s="3139"/>
      <c r="C3" s="3139"/>
      <c r="D3" s="3139"/>
      <c r="E3" s="3139"/>
    </row>
    <row r="4" spans="1:5" ht="19.5" thickBot="1">
      <c r="A4" s="1964"/>
      <c r="B4" s="3137" t="s">
        <v>1626</v>
      </c>
      <c r="C4" s="3137"/>
      <c r="D4" s="3137"/>
      <c r="E4" s="1964"/>
    </row>
    <row r="5" spans="1:5" ht="16.5" thickTop="1">
      <c r="A5" s="1962"/>
      <c r="B5" s="3135" t="s">
        <v>1618</v>
      </c>
      <c r="C5" s="1965" t="s">
        <v>1619</v>
      </c>
      <c r="D5" s="1043">
        <f ca="1">结果表!H101</f>
        <v>281294</v>
      </c>
      <c r="E5" s="1962"/>
    </row>
    <row r="6" spans="1:5" ht="15.75">
      <c r="A6" s="1962"/>
      <c r="B6" s="3135"/>
      <c r="C6" s="1965" t="s">
        <v>1620</v>
      </c>
      <c r="D6" s="1043" t="str">
        <f ca="1">NUMBERSTRING(INT(D5*10000),2)&amp;"元整"</f>
        <v>贰拾捌亿壹仟贰佰玖拾肆万元整</v>
      </c>
      <c r="E6" s="1962"/>
    </row>
    <row r="7" spans="1:5" ht="15.75">
      <c r="A7" s="1962"/>
      <c r="B7" s="3140"/>
      <c r="C7" s="1966" t="s">
        <v>1621</v>
      </c>
      <c r="D7" s="1044">
        <f ca="1">结果表!H102</f>
        <v>8442</v>
      </c>
      <c r="E7" s="1962"/>
    </row>
    <row r="8" spans="1:5" ht="15.75">
      <c r="A8" s="1962"/>
      <c r="B8" s="3141" t="str">
        <f>结果表!E103</f>
        <v>2.估价师知悉的法定优先受偿款</v>
      </c>
      <c r="C8" s="1967" t="s">
        <v>1622</v>
      </c>
      <c r="D8" s="1044">
        <f>结果表!H103</f>
        <v>0</v>
      </c>
      <c r="E8" s="1962"/>
    </row>
    <row r="9" spans="1:5" ht="15.75">
      <c r="A9" s="1962"/>
      <c r="B9" s="314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134" t="str">
        <f>结果表!E107</f>
        <v>3.房地产抵押价值</v>
      </c>
      <c r="C13" s="1970" t="s">
        <v>1619</v>
      </c>
      <c r="D13" s="1046">
        <f ca="1">结果表!H107</f>
        <v>281294</v>
      </c>
      <c r="E13" s="1962"/>
    </row>
    <row r="14" spans="1:5" ht="15.75">
      <c r="A14" s="1962"/>
      <c r="B14" s="3135"/>
      <c r="C14" s="1965" t="s">
        <v>1620</v>
      </c>
      <c r="D14" s="1043" t="str">
        <f ca="1">NUMBERSTRING(INT(D13*10000),2)&amp;"元整"</f>
        <v>贰拾捌亿壹仟贰佰玖拾肆万元整</v>
      </c>
      <c r="E14" s="1962"/>
    </row>
    <row r="15" spans="1:5" ht="15">
      <c r="A15" s="1962"/>
      <c r="B15" s="3140"/>
      <c r="C15" s="1966" t="s">
        <v>1630</v>
      </c>
      <c r="D15" s="1055">
        <f ca="1">结果表!H108</f>
        <v>8442</v>
      </c>
      <c r="E15" s="1962"/>
    </row>
    <row r="16" spans="1:5" ht="15">
      <c r="A16" s="1962"/>
      <c r="B16" s="3141" t="str">
        <f>结果表!E109</f>
        <v>——</v>
      </c>
      <c r="C16" s="1970" t="s">
        <v>1631</v>
      </c>
      <c r="D16" s="1971" t="str">
        <f>结果表!H109</f>
        <v>——</v>
      </c>
      <c r="E16" s="1962"/>
    </row>
    <row r="17" spans="1:5" ht="15.75">
      <c r="A17" s="1962"/>
      <c r="B17" s="3142"/>
      <c r="C17" s="1965" t="s">
        <v>1632</v>
      </c>
      <c r="D17" s="1043" t="e">
        <f>NUMBERSTRING(INT(D16*10000),2)&amp;"元整"</f>
        <v>#VALUE!</v>
      </c>
      <c r="E17" s="1962"/>
    </row>
    <row r="18" spans="1:5" ht="15">
      <c r="A18" s="1962"/>
      <c r="B18" s="3143"/>
      <c r="C18" s="1966" t="s">
        <v>1621</v>
      </c>
      <c r="D18" s="1055" t="str">
        <f>结果表!H110</f>
        <v>——</v>
      </c>
      <c r="E18" s="1962"/>
    </row>
    <row r="19" spans="1:5" ht="15.75">
      <c r="A19" s="1962"/>
      <c r="B19" s="3134" t="str">
        <f>结果表!E111</f>
        <v>——</v>
      </c>
      <c r="C19" s="1970" t="s">
        <v>1619</v>
      </c>
      <c r="D19" s="1044" t="str">
        <f>结果表!H111</f>
        <v>——</v>
      </c>
      <c r="E19" s="1962"/>
    </row>
    <row r="20" spans="1:5" ht="15.75">
      <c r="A20" s="1962"/>
      <c r="B20" s="3135"/>
      <c r="C20" s="1965" t="s">
        <v>1632</v>
      </c>
      <c r="D20" s="1043" t="e">
        <f>NUMBERSTRING(INT(D19*10000),2)&amp;"元整"</f>
        <v>#VALUE!</v>
      </c>
      <c r="E20" s="1962"/>
    </row>
    <row r="21" spans="1:5" ht="15.75" thickBot="1">
      <c r="A21" s="1962"/>
      <c r="B21" s="313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502" t="s">
        <v>183</v>
      </c>
      <c r="B18" s="882" t="s">
        <v>560</v>
      </c>
      <c r="C18" s="883" t="s">
        <v>561</v>
      </c>
      <c r="D18" s="884"/>
      <c r="E18" s="882">
        <v>1</v>
      </c>
      <c r="F18" s="885" t="s">
        <v>562</v>
      </c>
      <c r="G18" s="886"/>
      <c r="H18" s="878"/>
      <c r="I18" s="878"/>
    </row>
    <row r="19" spans="1:9" s="887" customFormat="1" ht="19.5" customHeight="1">
      <c r="A19" s="3502"/>
      <c r="B19" s="3502" t="s">
        <v>563</v>
      </c>
      <c r="C19" s="883" t="s">
        <v>564</v>
      </c>
      <c r="D19" s="884"/>
      <c r="E19" s="882">
        <v>0.9</v>
      </c>
      <c r="F19" s="885" t="s">
        <v>565</v>
      </c>
      <c r="G19" s="886"/>
      <c r="H19" s="878"/>
      <c r="I19" s="878"/>
    </row>
    <row r="20" spans="1:9" s="887" customFormat="1" ht="19.5" customHeight="1">
      <c r="A20" s="3502"/>
      <c r="B20" s="3502"/>
      <c r="C20" s="883" t="s">
        <v>566</v>
      </c>
      <c r="D20" s="884"/>
      <c r="E20" s="882">
        <v>1.1000000000000001</v>
      </c>
      <c r="F20" s="885" t="s">
        <v>567</v>
      </c>
      <c r="G20" s="886"/>
      <c r="H20" s="878"/>
      <c r="I20" s="878"/>
    </row>
    <row r="21" spans="1:9" s="887" customFormat="1" ht="19.5" customHeight="1">
      <c r="A21" s="3502"/>
      <c r="B21" s="3502"/>
      <c r="C21" s="883" t="s">
        <v>568</v>
      </c>
      <c r="D21" s="884"/>
      <c r="E21" s="882">
        <v>0.8</v>
      </c>
      <c r="F21" s="885" t="s">
        <v>569</v>
      </c>
      <c r="G21" s="886"/>
      <c r="H21" s="878"/>
      <c r="I21" s="878"/>
    </row>
    <row r="22" spans="1:9" s="887" customFormat="1" ht="19.5" customHeight="1">
      <c r="A22" s="3502"/>
      <c r="B22" s="3502"/>
      <c r="C22" s="883" t="s">
        <v>570</v>
      </c>
      <c r="D22" s="884"/>
      <c r="E22" s="882">
        <v>0.5</v>
      </c>
      <c r="F22" s="885"/>
      <c r="G22" s="886"/>
      <c r="H22" s="878"/>
      <c r="I22" s="878"/>
    </row>
    <row r="23" spans="1:9" s="887" customFormat="1" ht="19.5" customHeight="1">
      <c r="A23" s="3502" t="s">
        <v>184</v>
      </c>
      <c r="B23" s="882" t="s">
        <v>560</v>
      </c>
      <c r="C23" s="883" t="s">
        <v>571</v>
      </c>
      <c r="D23" s="884"/>
      <c r="E23" s="882">
        <v>1</v>
      </c>
      <c r="F23" s="885" t="s">
        <v>572</v>
      </c>
      <c r="G23" s="886"/>
      <c r="H23" s="878"/>
      <c r="I23" s="878"/>
    </row>
    <row r="24" spans="1:9" s="887" customFormat="1" ht="19.5" customHeight="1">
      <c r="A24" s="3502"/>
      <c r="B24" s="3502" t="s">
        <v>563</v>
      </c>
      <c r="C24" s="883" t="s">
        <v>573</v>
      </c>
      <c r="D24" s="884"/>
      <c r="E24" s="882">
        <v>0.5</v>
      </c>
      <c r="F24" s="885"/>
      <c r="G24" s="886"/>
      <c r="H24" s="878"/>
      <c r="I24" s="878"/>
    </row>
    <row r="25" spans="1:9" s="887" customFormat="1" ht="19.5" customHeight="1">
      <c r="A25" s="3502"/>
      <c r="B25" s="3502"/>
      <c r="C25" s="883" t="s">
        <v>574</v>
      </c>
      <c r="D25" s="884"/>
      <c r="E25" s="882">
        <v>1.1000000000000001</v>
      </c>
      <c r="F25" s="885"/>
      <c r="G25" s="886"/>
      <c r="H25" s="878"/>
      <c r="I25" s="878"/>
    </row>
    <row r="26" spans="1:9" s="887" customFormat="1" ht="19.5" customHeight="1">
      <c r="A26" s="3502"/>
      <c r="B26" s="3502"/>
      <c r="C26" s="883" t="s">
        <v>575</v>
      </c>
      <c r="D26" s="884"/>
      <c r="E26" s="882">
        <v>1.1000000000000001</v>
      </c>
      <c r="F26" s="885"/>
      <c r="G26" s="886"/>
      <c r="H26" s="878"/>
      <c r="I26" s="878"/>
    </row>
    <row r="27" spans="1:9" s="887" customFormat="1" ht="19.5" customHeight="1">
      <c r="A27" s="3502"/>
      <c r="B27" s="3502"/>
      <c r="C27" s="883" t="s">
        <v>576</v>
      </c>
      <c r="D27" s="884"/>
      <c r="E27" s="882">
        <v>0.9</v>
      </c>
      <c r="F27" s="885" t="s">
        <v>577</v>
      </c>
      <c r="G27" s="886"/>
      <c r="H27" s="878"/>
      <c r="I27" s="878"/>
    </row>
    <row r="28" spans="1:9" s="887" customFormat="1" ht="19.5" customHeight="1">
      <c r="A28" s="3502"/>
      <c r="B28" s="3502"/>
      <c r="C28" s="883" t="s">
        <v>578</v>
      </c>
      <c r="D28" s="884"/>
      <c r="E28" s="882">
        <v>0.9</v>
      </c>
      <c r="F28" s="885" t="s">
        <v>579</v>
      </c>
      <c r="G28" s="886"/>
      <c r="H28" s="878"/>
      <c r="I28" s="878"/>
    </row>
    <row r="29" spans="1:9" s="887" customFormat="1" ht="19.5" customHeight="1">
      <c r="A29" s="3502"/>
      <c r="B29" s="3502"/>
      <c r="C29" s="883" t="s">
        <v>580</v>
      </c>
      <c r="D29" s="884"/>
      <c r="E29" s="882">
        <v>0.9</v>
      </c>
      <c r="F29" s="885" t="s">
        <v>581</v>
      </c>
      <c r="G29" s="886"/>
      <c r="H29" s="878"/>
      <c r="I29" s="878"/>
    </row>
    <row r="30" spans="1:9" s="887" customFormat="1" ht="19.5" customHeight="1">
      <c r="A30" s="3502"/>
      <c r="B30" s="3502"/>
      <c r="C30" s="883" t="s">
        <v>582</v>
      </c>
      <c r="D30" s="884"/>
      <c r="E30" s="882">
        <v>0.9</v>
      </c>
      <c r="F30" s="885" t="s">
        <v>583</v>
      </c>
      <c r="G30" s="886"/>
      <c r="H30" s="878"/>
      <c r="I30" s="878"/>
    </row>
    <row r="31" spans="1:9" s="887" customFormat="1" ht="19.5" customHeight="1">
      <c r="A31" s="3502"/>
      <c r="B31" s="3502"/>
      <c r="C31" s="883" t="s">
        <v>584</v>
      </c>
      <c r="D31" s="884"/>
      <c r="E31" s="882">
        <v>0.8</v>
      </c>
      <c r="F31" s="885" t="s">
        <v>585</v>
      </c>
      <c r="G31" s="886"/>
      <c r="H31" s="878"/>
      <c r="I31" s="878"/>
    </row>
    <row r="32" spans="1:9" s="887" customFormat="1" ht="19.5" customHeight="1">
      <c r="A32" s="3502"/>
      <c r="B32" s="3502"/>
      <c r="C32" s="883" t="s">
        <v>586</v>
      </c>
      <c r="D32" s="884"/>
      <c r="E32" s="882">
        <v>0.8</v>
      </c>
      <c r="F32" s="885" t="s">
        <v>587</v>
      </c>
      <c r="G32" s="886"/>
      <c r="H32" s="878"/>
      <c r="I32" s="878"/>
    </row>
    <row r="33" spans="1:9" s="887" customFormat="1" ht="19.5" customHeight="1">
      <c r="A33" s="3502" t="s">
        <v>185</v>
      </c>
      <c r="B33" s="882" t="s">
        <v>560</v>
      </c>
      <c r="C33" s="883" t="s">
        <v>588</v>
      </c>
      <c r="D33" s="884"/>
      <c r="E33" s="882">
        <v>1</v>
      </c>
      <c r="F33" s="885" t="s">
        <v>589</v>
      </c>
      <c r="G33" s="886"/>
      <c r="H33" s="878"/>
      <c r="I33" s="878"/>
    </row>
    <row r="34" spans="1:9" s="887" customFormat="1" ht="19.5" customHeight="1">
      <c r="A34" s="3502"/>
      <c r="B34" s="882" t="s">
        <v>563</v>
      </c>
      <c r="C34" s="883" t="s">
        <v>590</v>
      </c>
      <c r="D34" s="884"/>
      <c r="E34" s="882">
        <v>1.5</v>
      </c>
      <c r="F34" s="885" t="s">
        <v>591</v>
      </c>
      <c r="G34" s="886"/>
      <c r="H34" s="878"/>
      <c r="I34" s="878"/>
    </row>
    <row r="35" spans="1:9" s="887" customFormat="1" ht="19.5" customHeight="1">
      <c r="A35" s="3502" t="s">
        <v>186</v>
      </c>
      <c r="B35" s="882" t="s">
        <v>560</v>
      </c>
      <c r="C35" s="883" t="s">
        <v>592</v>
      </c>
      <c r="D35" s="884"/>
      <c r="E35" s="882">
        <v>1</v>
      </c>
      <c r="F35" s="885" t="s">
        <v>593</v>
      </c>
      <c r="G35" s="886"/>
      <c r="H35" s="878"/>
      <c r="I35" s="878"/>
    </row>
    <row r="36" spans="1:9" s="887" customFormat="1" ht="19.5" customHeight="1">
      <c r="A36" s="3502"/>
      <c r="B36" s="3502" t="s">
        <v>563</v>
      </c>
      <c r="C36" s="883" t="s">
        <v>594</v>
      </c>
      <c r="D36" s="884"/>
      <c r="E36" s="882">
        <v>1</v>
      </c>
      <c r="F36" s="885" t="s">
        <v>595</v>
      </c>
      <c r="G36" s="886"/>
      <c r="H36" s="878"/>
      <c r="I36" s="878"/>
    </row>
    <row r="37" spans="1:9" s="887" customFormat="1" ht="19.5" customHeight="1">
      <c r="A37" s="3502"/>
      <c r="B37" s="3502"/>
      <c r="C37" s="883" t="s">
        <v>596</v>
      </c>
      <c r="D37" s="884"/>
      <c r="E37" s="882">
        <v>1.5</v>
      </c>
      <c r="F37" s="885" t="s">
        <v>597</v>
      </c>
      <c r="G37" s="886"/>
      <c r="H37" s="878"/>
      <c r="I37" s="878"/>
    </row>
    <row r="38" spans="1:9" s="887" customFormat="1" ht="19.5" customHeight="1">
      <c r="A38" s="3502"/>
      <c r="B38" s="3502"/>
      <c r="C38" s="883" t="s">
        <v>598</v>
      </c>
      <c r="D38" s="884"/>
      <c r="E38" s="882">
        <v>1</v>
      </c>
      <c r="F38" s="885" t="s">
        <v>599</v>
      </c>
      <c r="G38" s="886"/>
      <c r="H38" s="878"/>
      <c r="I38" s="878"/>
    </row>
    <row r="39" spans="1:9" s="887" customFormat="1" ht="19.5" customHeight="1">
      <c r="A39" s="3502"/>
      <c r="B39" s="35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502" t="s">
        <v>614</v>
      </c>
      <c r="C61" s="818" t="s">
        <v>615</v>
      </c>
      <c r="D61" s="818" t="s">
        <v>616</v>
      </c>
      <c r="E61" s="895">
        <v>0.5</v>
      </c>
      <c r="F61" s="882">
        <v>80</v>
      </c>
    </row>
    <row r="62" spans="1:8" s="878" customFormat="1" ht="24">
      <c r="A62" s="882">
        <v>2</v>
      </c>
      <c r="B62" s="3502"/>
      <c r="C62" s="818" t="s">
        <v>617</v>
      </c>
      <c r="D62" s="818" t="s">
        <v>618</v>
      </c>
      <c r="E62" s="895">
        <v>0.5</v>
      </c>
      <c r="F62" s="882">
        <v>80</v>
      </c>
    </row>
    <row r="63" spans="1:8" s="878" customFormat="1" ht="36">
      <c r="A63" s="882">
        <v>3</v>
      </c>
      <c r="B63" s="3502"/>
      <c r="C63" s="818" t="s">
        <v>619</v>
      </c>
      <c r="D63" s="818" t="s">
        <v>620</v>
      </c>
      <c r="E63" s="895">
        <v>0.5</v>
      </c>
      <c r="F63" s="882">
        <v>80</v>
      </c>
    </row>
    <row r="64" spans="1:8" s="878" customFormat="1" ht="36">
      <c r="A64" s="882">
        <v>4</v>
      </c>
      <c r="B64" s="3502"/>
      <c r="C64" s="818" t="s">
        <v>621</v>
      </c>
      <c r="D64" s="818" t="s">
        <v>622</v>
      </c>
      <c r="E64" s="895">
        <v>0.4</v>
      </c>
      <c r="F64" s="882">
        <v>60</v>
      </c>
    </row>
    <row r="65" spans="1:6" s="878" customFormat="1" ht="36">
      <c r="A65" s="882">
        <v>5</v>
      </c>
      <c r="B65" s="3502"/>
      <c r="C65" s="818" t="s">
        <v>623</v>
      </c>
      <c r="D65" s="818" t="s">
        <v>624</v>
      </c>
      <c r="E65" s="895">
        <v>0.2</v>
      </c>
      <c r="F65" s="882">
        <v>30</v>
      </c>
    </row>
    <row r="66" spans="1:6" s="878" customFormat="1" ht="36">
      <c r="A66" s="882">
        <v>6</v>
      </c>
      <c r="B66" s="3502"/>
      <c r="C66" s="818" t="s">
        <v>625</v>
      </c>
      <c r="D66" s="818" t="s">
        <v>626</v>
      </c>
      <c r="E66" s="895">
        <v>0.3</v>
      </c>
      <c r="F66" s="882">
        <v>50</v>
      </c>
    </row>
    <row r="67" spans="1:6" s="878" customFormat="1" ht="36">
      <c r="A67" s="882">
        <v>7</v>
      </c>
      <c r="B67" s="3502"/>
      <c r="C67" s="818" t="s">
        <v>627</v>
      </c>
      <c r="D67" s="818" t="s">
        <v>628</v>
      </c>
      <c r="E67" s="895">
        <v>0.2</v>
      </c>
      <c r="F67" s="882">
        <v>30</v>
      </c>
    </row>
    <row r="68" spans="1:6" s="878" customFormat="1" ht="36">
      <c r="A68" s="882">
        <v>8</v>
      </c>
      <c r="B68" s="3502"/>
      <c r="C68" s="818" t="s">
        <v>629</v>
      </c>
      <c r="D68" s="818" t="s">
        <v>630</v>
      </c>
      <c r="E68" s="895">
        <v>0.2</v>
      </c>
      <c r="F68" s="882">
        <v>30</v>
      </c>
    </row>
    <row r="69" spans="1:6" s="878" customFormat="1" ht="36">
      <c r="A69" s="882">
        <v>9</v>
      </c>
      <c r="B69" s="3502"/>
      <c r="C69" s="818" t="s">
        <v>631</v>
      </c>
      <c r="D69" s="818" t="s">
        <v>632</v>
      </c>
      <c r="E69" s="895">
        <v>0.2</v>
      </c>
      <c r="F69" s="882">
        <v>30</v>
      </c>
    </row>
    <row r="70" spans="1:6" s="878" customFormat="1" ht="48">
      <c r="A70" s="882">
        <v>10</v>
      </c>
      <c r="B70" s="3502"/>
      <c r="C70" s="818" t="s">
        <v>633</v>
      </c>
      <c r="D70" s="818" t="s">
        <v>634</v>
      </c>
      <c r="E70" s="895">
        <v>0.2</v>
      </c>
      <c r="F70" s="882">
        <v>30</v>
      </c>
    </row>
    <row r="71" spans="1:6" s="878" customFormat="1" ht="48">
      <c r="A71" s="882">
        <v>11</v>
      </c>
      <c r="B71" s="3502"/>
      <c r="C71" s="818" t="s">
        <v>635</v>
      </c>
      <c r="D71" s="818" t="s">
        <v>636</v>
      </c>
      <c r="E71" s="895">
        <v>0.2</v>
      </c>
      <c r="F71" s="882">
        <v>30</v>
      </c>
    </row>
    <row r="72" spans="1:6" s="878" customFormat="1" ht="36">
      <c r="A72" s="882">
        <v>12</v>
      </c>
      <c r="B72" s="3502"/>
      <c r="C72" s="818" t="s">
        <v>637</v>
      </c>
      <c r="D72" s="818" t="s">
        <v>638</v>
      </c>
      <c r="E72" s="895">
        <v>0.5</v>
      </c>
      <c r="F72" s="882">
        <v>80</v>
      </c>
    </row>
    <row r="73" spans="1:6" s="878" customFormat="1" ht="24">
      <c r="A73" s="882">
        <v>13</v>
      </c>
      <c r="B73" s="3502"/>
      <c r="C73" s="818" t="s">
        <v>639</v>
      </c>
      <c r="D73" s="818" t="s">
        <v>640</v>
      </c>
      <c r="E73" s="895">
        <v>0.4</v>
      </c>
      <c r="F73" s="882">
        <v>60</v>
      </c>
    </row>
    <row r="74" spans="1:6" s="878" customFormat="1" ht="24">
      <c r="A74" s="882">
        <v>14</v>
      </c>
      <c r="B74" s="3502"/>
      <c r="C74" s="818" t="s">
        <v>641</v>
      </c>
      <c r="D74" s="818" t="s">
        <v>642</v>
      </c>
      <c r="E74" s="895">
        <v>0.2</v>
      </c>
      <c r="F74" s="882">
        <v>30</v>
      </c>
    </row>
    <row r="75" spans="1:6" s="878" customFormat="1" ht="24">
      <c r="A75" s="882">
        <v>15</v>
      </c>
      <c r="B75" s="3502"/>
      <c r="C75" s="818" t="s">
        <v>643</v>
      </c>
      <c r="D75" s="818" t="s">
        <v>644</v>
      </c>
      <c r="E75" s="895">
        <v>0.2</v>
      </c>
      <c r="F75" s="882">
        <v>30</v>
      </c>
    </row>
    <row r="76" spans="1:6" s="878" customFormat="1" ht="24">
      <c r="A76" s="882">
        <v>16</v>
      </c>
      <c r="B76" s="3502" t="s">
        <v>645</v>
      </c>
      <c r="C76" s="818" t="s">
        <v>646</v>
      </c>
      <c r="D76" s="818" t="s">
        <v>647</v>
      </c>
      <c r="E76" s="895">
        <v>0.5</v>
      </c>
      <c r="F76" s="882">
        <v>80</v>
      </c>
    </row>
    <row r="77" spans="1:6" s="878" customFormat="1" ht="24">
      <c r="A77" s="882">
        <v>17</v>
      </c>
      <c r="B77" s="3502"/>
      <c r="C77" s="818" t="s">
        <v>648</v>
      </c>
      <c r="D77" s="818" t="s">
        <v>649</v>
      </c>
      <c r="E77" s="895">
        <v>0.5</v>
      </c>
      <c r="F77" s="882">
        <v>80</v>
      </c>
    </row>
    <row r="78" spans="1:6" s="878" customFormat="1" ht="24">
      <c r="A78" s="882">
        <v>18</v>
      </c>
      <c r="B78" s="3502"/>
      <c r="C78" s="818" t="s">
        <v>650</v>
      </c>
      <c r="D78" s="818" t="s">
        <v>651</v>
      </c>
      <c r="E78" s="895">
        <v>0.2</v>
      </c>
      <c r="F78" s="882">
        <v>30</v>
      </c>
    </row>
    <row r="79" spans="1:6" s="878" customFormat="1" ht="24">
      <c r="A79" s="882">
        <v>19</v>
      </c>
      <c r="B79" s="3502"/>
      <c r="C79" s="818" t="s">
        <v>652</v>
      </c>
      <c r="D79" s="818" t="s">
        <v>653</v>
      </c>
      <c r="E79" s="895">
        <v>0.5</v>
      </c>
      <c r="F79" s="882">
        <v>80</v>
      </c>
    </row>
    <row r="80" spans="1:6" s="878" customFormat="1" ht="36">
      <c r="A80" s="882">
        <v>20</v>
      </c>
      <c r="B80" s="3502"/>
      <c r="C80" s="818" t="s">
        <v>654</v>
      </c>
      <c r="D80" s="818" t="s">
        <v>655</v>
      </c>
      <c r="E80" s="895">
        <v>0.2</v>
      </c>
      <c r="F80" s="882">
        <v>30</v>
      </c>
    </row>
    <row r="81" spans="1:6" s="878" customFormat="1" ht="36">
      <c r="A81" s="882">
        <v>21</v>
      </c>
      <c r="B81" s="3502"/>
      <c r="C81" s="818" t="s">
        <v>656</v>
      </c>
      <c r="D81" s="818" t="s">
        <v>657</v>
      </c>
      <c r="E81" s="895">
        <v>0.2</v>
      </c>
      <c r="F81" s="882">
        <v>30</v>
      </c>
    </row>
    <row r="82" spans="1:6" s="878" customFormat="1" ht="48">
      <c r="A82" s="882">
        <v>22</v>
      </c>
      <c r="B82" s="3502"/>
      <c r="C82" s="818" t="s">
        <v>658</v>
      </c>
      <c r="D82" s="818" t="s">
        <v>659</v>
      </c>
      <c r="E82" s="895">
        <v>0.2</v>
      </c>
      <c r="F82" s="882">
        <v>30</v>
      </c>
    </row>
    <row r="83" spans="1:6" s="878" customFormat="1" ht="48">
      <c r="A83" s="882">
        <v>23</v>
      </c>
      <c r="B83" s="3502"/>
      <c r="C83" s="818" t="s">
        <v>660</v>
      </c>
      <c r="D83" s="818" t="s">
        <v>661</v>
      </c>
      <c r="E83" s="895">
        <v>0.2</v>
      </c>
      <c r="F83" s="882">
        <v>30</v>
      </c>
    </row>
    <row r="84" spans="1:6" s="878" customFormat="1" ht="36">
      <c r="A84" s="882">
        <v>24</v>
      </c>
      <c r="B84" s="3502"/>
      <c r="C84" s="818" t="s">
        <v>662</v>
      </c>
      <c r="D84" s="818" t="s">
        <v>663</v>
      </c>
      <c r="E84" s="895">
        <v>0.2</v>
      </c>
      <c r="F84" s="882">
        <v>30</v>
      </c>
    </row>
    <row r="85" spans="1:6" s="878" customFormat="1" ht="36">
      <c r="A85" s="882">
        <v>25</v>
      </c>
      <c r="B85" s="3502"/>
      <c r="C85" s="818" t="s">
        <v>664</v>
      </c>
      <c r="D85" s="818" t="s">
        <v>665</v>
      </c>
      <c r="E85" s="895">
        <v>0.5</v>
      </c>
      <c r="F85" s="882">
        <v>80</v>
      </c>
    </row>
    <row r="86" spans="1:6" s="878" customFormat="1" ht="36">
      <c r="A86" s="882">
        <v>26</v>
      </c>
      <c r="B86" s="3502"/>
      <c r="C86" s="818" t="s">
        <v>666</v>
      </c>
      <c r="D86" s="818" t="s">
        <v>667</v>
      </c>
      <c r="E86" s="895">
        <v>0.2</v>
      </c>
      <c r="F86" s="882">
        <v>30</v>
      </c>
    </row>
    <row r="87" spans="1:6" s="878" customFormat="1" ht="36">
      <c r="A87" s="882">
        <v>27</v>
      </c>
      <c r="B87" s="3502"/>
      <c r="C87" s="818" t="s">
        <v>668</v>
      </c>
      <c r="D87" s="818" t="s">
        <v>669</v>
      </c>
      <c r="E87" s="895">
        <v>0.2</v>
      </c>
      <c r="F87" s="882">
        <v>30</v>
      </c>
    </row>
    <row r="88" spans="1:6" s="878" customFormat="1" ht="36">
      <c r="A88" s="882">
        <v>28</v>
      </c>
      <c r="B88" s="3502"/>
      <c r="C88" s="818" t="s">
        <v>670</v>
      </c>
      <c r="D88" s="818" t="s">
        <v>671</v>
      </c>
      <c r="E88" s="895">
        <v>0.2</v>
      </c>
      <c r="F88" s="882">
        <v>30</v>
      </c>
    </row>
    <row r="89" spans="1:6" s="878" customFormat="1" ht="24">
      <c r="A89" s="882">
        <v>29</v>
      </c>
      <c r="B89" s="3502"/>
      <c r="C89" s="818" t="s">
        <v>672</v>
      </c>
      <c r="D89" s="818" t="s">
        <v>673</v>
      </c>
      <c r="E89" s="895">
        <v>0.2</v>
      </c>
      <c r="F89" s="882">
        <v>30</v>
      </c>
    </row>
    <row r="90" spans="1:6" s="878" customFormat="1" ht="24">
      <c r="A90" s="882">
        <v>30</v>
      </c>
      <c r="B90" s="3502"/>
      <c r="C90" s="818" t="s">
        <v>674</v>
      </c>
      <c r="D90" s="818" t="s">
        <v>675</v>
      </c>
      <c r="E90" s="895">
        <v>0.2</v>
      </c>
      <c r="F90" s="882">
        <v>30</v>
      </c>
    </row>
    <row r="91" spans="1:6" s="878" customFormat="1" ht="36">
      <c r="A91" s="882">
        <v>31</v>
      </c>
      <c r="B91" s="3502"/>
      <c r="C91" s="818" t="s">
        <v>676</v>
      </c>
      <c r="D91" s="818" t="s">
        <v>677</v>
      </c>
      <c r="E91" s="895">
        <v>0.2</v>
      </c>
      <c r="F91" s="882">
        <v>30</v>
      </c>
    </row>
    <row r="92" spans="1:6" s="878" customFormat="1" ht="24">
      <c r="A92" s="882">
        <v>32</v>
      </c>
      <c r="B92" s="3502" t="s">
        <v>678</v>
      </c>
      <c r="C92" s="882" t="s">
        <v>679</v>
      </c>
      <c r="D92" s="818" t="s">
        <v>680</v>
      </c>
      <c r="E92" s="895">
        <v>0.2</v>
      </c>
      <c r="F92" s="882">
        <v>30</v>
      </c>
    </row>
    <row r="93" spans="1:6" s="878" customFormat="1" ht="36">
      <c r="A93" s="882">
        <v>33</v>
      </c>
      <c r="B93" s="3502"/>
      <c r="C93" s="882" t="s">
        <v>681</v>
      </c>
      <c r="D93" s="818" t="s">
        <v>682</v>
      </c>
      <c r="E93" s="895">
        <v>0.2</v>
      </c>
      <c r="F93" s="882">
        <v>30</v>
      </c>
    </row>
    <row r="94" spans="1:6" s="878" customFormat="1" ht="48">
      <c r="A94" s="882">
        <v>34</v>
      </c>
      <c r="B94" s="3502"/>
      <c r="C94" s="882" t="s">
        <v>683</v>
      </c>
      <c r="D94" s="818" t="s">
        <v>684</v>
      </c>
      <c r="E94" s="895">
        <v>0.2</v>
      </c>
      <c r="F94" s="882">
        <v>30</v>
      </c>
    </row>
    <row r="95" spans="1:6" s="878" customFormat="1" ht="36">
      <c r="A95" s="882">
        <v>35</v>
      </c>
      <c r="B95" s="3502"/>
      <c r="C95" s="882" t="s">
        <v>685</v>
      </c>
      <c r="D95" s="818" t="s">
        <v>686</v>
      </c>
      <c r="E95" s="895">
        <v>0.2</v>
      </c>
      <c r="F95" s="882">
        <v>30</v>
      </c>
    </row>
    <row r="96" spans="1:6" s="878" customFormat="1" ht="48">
      <c r="A96" s="882">
        <v>36</v>
      </c>
      <c r="B96" s="3502"/>
      <c r="C96" s="818" t="s">
        <v>687</v>
      </c>
      <c r="D96" s="818" t="s">
        <v>688</v>
      </c>
      <c r="E96" s="895">
        <v>0.2</v>
      </c>
      <c r="F96" s="882">
        <v>30</v>
      </c>
    </row>
    <row r="97" spans="1:6" s="878" customFormat="1" ht="36">
      <c r="A97" s="882">
        <v>37</v>
      </c>
      <c r="B97" s="3502"/>
      <c r="C97" s="882" t="s">
        <v>689</v>
      </c>
      <c r="D97" s="818" t="s">
        <v>690</v>
      </c>
      <c r="E97" s="895">
        <v>0.2</v>
      </c>
      <c r="F97" s="882">
        <v>30</v>
      </c>
    </row>
    <row r="98" spans="1:6" s="878" customFormat="1" ht="36">
      <c r="A98" s="882">
        <v>38</v>
      </c>
      <c r="B98" s="3502"/>
      <c r="C98" s="882" t="s">
        <v>691</v>
      </c>
      <c r="D98" s="818" t="s">
        <v>692</v>
      </c>
      <c r="E98" s="895">
        <v>0.2</v>
      </c>
      <c r="F98" s="882">
        <v>30</v>
      </c>
    </row>
    <row r="99" spans="1:6" s="878" customFormat="1" ht="36">
      <c r="A99" s="882">
        <v>39</v>
      </c>
      <c r="B99" s="3502" t="s">
        <v>693</v>
      </c>
      <c r="C99" s="882" t="s">
        <v>694</v>
      </c>
      <c r="D99" s="818" t="s">
        <v>695</v>
      </c>
      <c r="E99" s="895">
        <v>0.3</v>
      </c>
      <c r="F99" s="882">
        <v>50</v>
      </c>
    </row>
    <row r="100" spans="1:6" s="878" customFormat="1" ht="24">
      <c r="A100" s="882">
        <v>40</v>
      </c>
      <c r="B100" s="3502"/>
      <c r="C100" s="882" t="s">
        <v>696</v>
      </c>
      <c r="D100" s="818" t="s">
        <v>697</v>
      </c>
      <c r="E100" s="895">
        <v>0.2</v>
      </c>
      <c r="F100" s="882">
        <v>30</v>
      </c>
    </row>
    <row r="101" spans="1:6" s="878" customFormat="1" ht="36">
      <c r="A101" s="882">
        <v>41</v>
      </c>
      <c r="B101" s="35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502" t="s">
        <v>708</v>
      </c>
      <c r="C105" s="882" t="s">
        <v>709</v>
      </c>
      <c r="D105" s="818" t="s">
        <v>710</v>
      </c>
      <c r="E105" s="895">
        <v>0.2</v>
      </c>
      <c r="F105" s="882">
        <v>30</v>
      </c>
    </row>
    <row r="106" spans="1:6" s="878" customFormat="1" ht="36">
      <c r="A106" s="882">
        <v>46</v>
      </c>
      <c r="B106" s="3502"/>
      <c r="C106" s="882" t="s">
        <v>711</v>
      </c>
      <c r="D106" s="818" t="s">
        <v>712</v>
      </c>
      <c r="E106" s="895">
        <v>0.2</v>
      </c>
      <c r="F106" s="882">
        <v>30</v>
      </c>
    </row>
    <row r="107" spans="1:6" s="878" customFormat="1" ht="36">
      <c r="A107" s="882">
        <v>47</v>
      </c>
      <c r="B107" s="3502" t="s">
        <v>713</v>
      </c>
      <c r="C107" s="882" t="s">
        <v>714</v>
      </c>
      <c r="D107" s="818" t="s">
        <v>715</v>
      </c>
      <c r="E107" s="895">
        <v>0.3</v>
      </c>
      <c r="F107" s="882">
        <v>50</v>
      </c>
    </row>
    <row r="108" spans="1:6" s="878" customFormat="1" ht="36">
      <c r="A108" s="882">
        <v>48</v>
      </c>
      <c r="B108" s="35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502" t="s">
        <v>724</v>
      </c>
      <c r="C111" s="882" t="s">
        <v>725</v>
      </c>
      <c r="D111" s="818" t="s">
        <v>726</v>
      </c>
      <c r="E111" s="895">
        <v>0.2</v>
      </c>
      <c r="F111" s="882">
        <v>30</v>
      </c>
    </row>
    <row r="112" spans="1:6" s="878" customFormat="1" ht="24">
      <c r="A112" s="882">
        <v>52</v>
      </c>
      <c r="B112" s="3502"/>
      <c r="C112" s="882" t="s">
        <v>727</v>
      </c>
      <c r="D112" s="818" t="s">
        <v>728</v>
      </c>
      <c r="E112" s="895">
        <v>0.2</v>
      </c>
      <c r="F112" s="882">
        <v>30</v>
      </c>
    </row>
    <row r="113" spans="1:6" s="878" customFormat="1" ht="24">
      <c r="A113" s="882">
        <v>53</v>
      </c>
      <c r="B113" s="35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502" t="s">
        <v>737</v>
      </c>
      <c r="C116" s="882" t="s">
        <v>738</v>
      </c>
      <c r="D116" s="818" t="s">
        <v>739</v>
      </c>
      <c r="E116" s="895">
        <v>0.2</v>
      </c>
      <c r="F116" s="882">
        <v>30</v>
      </c>
    </row>
    <row r="117" spans="1:6" ht="36">
      <c r="A117" s="882">
        <v>57</v>
      </c>
      <c r="B117" s="35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0" t="s">
        <v>2995</v>
      </c>
      <c r="B2" s="2911" t="e">
        <f ca="1">SUMIF(B6:B13,"&lt;&gt;#ref!",B6:B13)</f>
        <v>#DIV/0!</v>
      </c>
      <c r="C2" s="2910" t="s">
        <v>2996</v>
      </c>
      <c r="D2" s="2910" t="s">
        <v>2997</v>
      </c>
      <c r="E2" s="2911">
        <f ca="1">SUMIF(E6:E13,"&lt;&gt;#ref!",E6:E13)</f>
        <v>0</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8">
        <f ca="1">SUMIF(INDIRECT("'"&amp;A6&amp;"'"&amp;"!C:C"),"建筑面积",INDIRECT("'"&amp;A6&amp;"'"&amp;"!D:D"))</f>
        <v>0</v>
      </c>
    </row>
    <row r="7" spans="1:5" ht="15.75">
      <c r="A7" s="2915"/>
      <c r="B7" s="2911" t="e">
        <f ca="1">SUMIF(INDIRECT("'"&amp;A7&amp;"'"&amp;"!A:A"),"总价",INDIRECT("'"&amp;A7&amp;"'"&amp;"!B:B"))</f>
        <v>#REF!</v>
      </c>
      <c r="C7" s="2910" t="s">
        <v>2996</v>
      </c>
      <c r="D7" s="2912"/>
      <c r="E7" s="2578"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8" t="e">
        <f t="shared" ca="1" si="0"/>
        <v>#REF!</v>
      </c>
    </row>
    <row r="9" spans="1:5" ht="15.75">
      <c r="A9" s="2915"/>
      <c r="B9" s="2911" t="e">
        <f t="shared" ca="1" si="1"/>
        <v>#REF!</v>
      </c>
      <c r="C9" s="2910" t="s">
        <v>2996</v>
      </c>
      <c r="D9" s="2912"/>
      <c r="E9" s="2578" t="e">
        <f t="shared" ca="1" si="0"/>
        <v>#REF!</v>
      </c>
    </row>
    <row r="10" spans="1:5" ht="15.75">
      <c r="A10" s="2915"/>
      <c r="B10" s="2911" t="e">
        <f t="shared" ca="1" si="1"/>
        <v>#REF!</v>
      </c>
      <c r="C10" s="2910" t="s">
        <v>2996</v>
      </c>
      <c r="D10" s="2912"/>
      <c r="E10" s="2578" t="e">
        <f t="shared" ca="1" si="0"/>
        <v>#REF!</v>
      </c>
    </row>
    <row r="11" spans="1:5" ht="15.75">
      <c r="A11" s="2915"/>
      <c r="B11" s="2911" t="e">
        <f t="shared" ca="1" si="1"/>
        <v>#REF!</v>
      </c>
      <c r="C11" s="2910" t="s">
        <v>2996</v>
      </c>
      <c r="D11" s="2912"/>
      <c r="E11" s="2578" t="e">
        <f t="shared" ca="1" si="0"/>
        <v>#REF!</v>
      </c>
    </row>
    <row r="12" spans="1:5" ht="15.75">
      <c r="A12" s="2915"/>
      <c r="B12" s="2911" t="e">
        <f t="shared" ca="1" si="1"/>
        <v>#REF!</v>
      </c>
      <c r="C12" s="2910" t="s">
        <v>2996</v>
      </c>
      <c r="D12" s="2912"/>
      <c r="E12" s="2578" t="e">
        <f t="shared" ca="1" si="0"/>
        <v>#REF!</v>
      </c>
    </row>
    <row r="13" spans="1:5" ht="15.75">
      <c r="A13" s="2915"/>
      <c r="B13" s="2911" t="e">
        <f t="shared" ca="1" si="1"/>
        <v>#REF!</v>
      </c>
      <c r="C13" s="2910" t="s">
        <v>2996</v>
      </c>
      <c r="D13" s="2912"/>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B6" sqref="B6:C6"/>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508" t="s">
        <v>1146</v>
      </c>
      <c r="C1" s="3508"/>
      <c r="D1" s="3508"/>
      <c r="E1" s="3508"/>
      <c r="F1" s="3508"/>
      <c r="G1" s="3504" t="s">
        <v>1147</v>
      </c>
      <c r="H1" s="3504"/>
      <c r="I1" s="3504"/>
      <c r="J1" s="3504"/>
      <c r="K1" s="3504"/>
      <c r="L1" s="3504"/>
      <c r="N1" s="3504" t="s">
        <v>1148</v>
      </c>
      <c r="O1" s="3504"/>
      <c r="P1" s="3504"/>
      <c r="Q1" s="3504"/>
      <c r="R1" s="1449"/>
      <c r="S1" s="3504" t="s">
        <v>1149</v>
      </c>
      <c r="T1" s="3504"/>
      <c r="U1" s="3504"/>
      <c r="V1" s="3504"/>
      <c r="X1" s="3503" t="s">
        <v>1150</v>
      </c>
      <c r="Y1" s="3504"/>
      <c r="Z1" s="3504"/>
      <c r="AA1" s="3504"/>
      <c r="AB1" s="3504"/>
      <c r="AD1" s="3503" t="s">
        <v>1151</v>
      </c>
      <c r="AE1" s="3504"/>
      <c r="AF1" s="3504"/>
      <c r="AG1" s="3504"/>
      <c r="AH1" s="350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6" customFormat="1" ht="14.25">
      <c r="A3" s="2935" t="s">
        <v>3038</v>
      </c>
      <c r="B3" s="2927"/>
      <c r="C3" s="2927"/>
      <c r="D3" s="2928"/>
      <c r="E3" s="2928"/>
      <c r="F3" s="2927"/>
      <c r="G3" s="2929"/>
      <c r="H3" s="2930"/>
      <c r="I3" s="2931">
        <f>ROUND(AVERAGE($I4:$I25),2)</f>
        <v>2.09</v>
      </c>
      <c r="J3" s="2931">
        <f>ROUND(AVERAGE($J4:$J25),2)</f>
        <v>1.46</v>
      </c>
      <c r="K3" s="2931">
        <f>ROUND(AVERAGE($K4:$K25),2)</f>
        <v>2.29</v>
      </c>
      <c r="L3" s="2931">
        <f>ROUND(AVERAGE($L4:$L25),2)</f>
        <v>1.36</v>
      </c>
      <c r="N3" s="2929"/>
      <c r="O3" s="2932"/>
      <c r="P3" s="2932"/>
      <c r="Q3" s="2932"/>
      <c r="R3" s="2932"/>
      <c r="S3" s="2929"/>
      <c r="T3" s="2932"/>
      <c r="U3" s="2932"/>
      <c r="V3" s="2932"/>
      <c r="W3" s="2924"/>
      <c r="X3" s="2933">
        <f>ROUND(SUMPRODUCT(PRODUCT(1+N3:N$24)),4)</f>
        <v>1.4956</v>
      </c>
      <c r="Y3" s="2933">
        <f>ROUND(SUMPRODUCT(PRODUCT(1+O3:O$24)),4)</f>
        <v>1.3237000000000001</v>
      </c>
      <c r="Z3" s="2933">
        <f t="shared" ref="Z3:Z22" si="0">Y3</f>
        <v>1.3237000000000001</v>
      </c>
      <c r="AA3" s="2933">
        <f>ROUND(SUMPRODUCT(PRODUCT(1+P3:P$24)),4)</f>
        <v>1.554</v>
      </c>
      <c r="AB3" s="2933">
        <f>ROUND(SUMPRODUCT(PRODUCT(1+Q3:Q$24)),4)</f>
        <v>1.3087</v>
      </c>
      <c r="AD3" s="2934">
        <f>ROUND(AVERAGE(I3:I$25)/100,4)</f>
        <v>2.0899999999999998E-2</v>
      </c>
      <c r="AE3" s="2934">
        <f>ROUND(AVERAGE(J3:J$25)/100,4)</f>
        <v>1.46E-2</v>
      </c>
      <c r="AF3" s="2934">
        <f t="shared" ref="AF3:AF23" si="1">AE3</f>
        <v>1.46E-2</v>
      </c>
      <c r="AG3" s="2934">
        <f>ROUND(AVERAGE(K3:K$25)/100,4)</f>
        <v>2.29E-2</v>
      </c>
      <c r="AH3" s="2934">
        <f>ROUND(AVERAGE(L3:L$25)/100,4)</f>
        <v>1.3599999999999999E-2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39">
        <v>2019</v>
      </c>
      <c r="H5" s="1733">
        <v>1</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5" t="s">
        <v>3039</v>
      </c>
      <c r="X5" s="1729">
        <f>ROUND(IF(项目基本情况!B8="出让",SUMPRODUCT(PRODUCT(1+N5:N$25)),SUMPRODUCT(PRODUCT(1+N5:N$24))),4)</f>
        <v>1.4956</v>
      </c>
      <c r="Y5" s="1729">
        <f>ROUND(IF(项目基本情况!B8="出让",SUMPRODUCT(PRODUCT(1+O5:O$25)),SUMPRODUCT(PRODUCT(1+O5:O$24))),4)</f>
        <v>1.3237000000000001</v>
      </c>
      <c r="Z5" s="1729">
        <f t="shared" ref="Z5" si="10">Y5</f>
        <v>1.3237000000000001</v>
      </c>
      <c r="AA5" s="1729">
        <f>ROUND(IF(项目基本情况!B8="出让",SUMPRODUCT(PRODUCT(1+P5:P$25)),SUMPRODUCT(PRODUCT(1+P5:P$24))),4)</f>
        <v>1.554</v>
      </c>
      <c r="AB5" s="1729">
        <f>ROUND(IF(项目基本情况!B8="出让",SUMPRODUCT(PRODUCT(1+Q5:Q$25)),SUMPRODUCT(PRODUCT(1+Q5:Q$24))),4)</f>
        <v>1.3087</v>
      </c>
      <c r="AD5" s="1471">
        <f>ROUND(AVERAGE(I5:I$25)/100,4)</f>
        <v>2.0899999999999998E-2</v>
      </c>
      <c r="AE5" s="1471">
        <f>ROUND(AVERAGE(J5:J$25)/100,4)</f>
        <v>1.46E-2</v>
      </c>
      <c r="AF5" s="1471">
        <f t="shared" ref="AF5" si="11">AE5</f>
        <v>1.46E-2</v>
      </c>
      <c r="AG5" s="1471">
        <f>ROUND(AVERAGE(K5:K$25)/100,4)</f>
        <v>2.29E-2</v>
      </c>
      <c r="AH5" s="1471">
        <f>ROUND(AVERAGE(L5:L$25)/100,4)</f>
        <v>1.3599999999999999E-2</v>
      </c>
    </row>
    <row r="6" spans="1:34" s="1469" customFormat="1">
      <c r="A6" s="1464" t="s">
        <v>3052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3506">
        <v>2018</v>
      </c>
      <c r="H6" s="1467">
        <v>4</v>
      </c>
      <c r="I6" s="1467">
        <v>0</v>
      </c>
      <c r="J6" s="1467">
        <v>0</v>
      </c>
      <c r="K6" s="1467">
        <v>0</v>
      </c>
      <c r="L6" s="1481">
        <v>0</v>
      </c>
      <c r="M6" s="1474"/>
      <c r="N6" s="1475">
        <f>I6/100</f>
        <v>0</v>
      </c>
      <c r="O6" s="1476">
        <f t="shared" ref="O6" si="17">J6/100</f>
        <v>0</v>
      </c>
      <c r="P6" s="1476">
        <f t="shared" ref="P6" si="18">K6/100</f>
        <v>0</v>
      </c>
      <c r="Q6" s="1476">
        <f t="shared" ref="Q6" si="19">L6/100</f>
        <v>0</v>
      </c>
      <c r="R6" s="1477"/>
      <c r="S6" s="1475"/>
      <c r="T6" s="1476"/>
      <c r="U6" s="1476"/>
      <c r="V6" s="1476"/>
      <c r="W6" s="1793"/>
      <c r="X6" s="1791">
        <f>ROUND(SUMPRODUCT(PRODUCT(1+N6:N$24)),4)</f>
        <v>1.4956</v>
      </c>
      <c r="Y6" s="1791">
        <f>ROUND(SUMPRODUCT(PRODUCT(1+O6:O$24)),4)</f>
        <v>1.3237000000000001</v>
      </c>
      <c r="Z6" s="1791">
        <f t="shared" ref="Z6" si="20">Y6</f>
        <v>1.3237000000000001</v>
      </c>
      <c r="AA6" s="1791">
        <f>ROUND(SUMPRODUCT(PRODUCT(1+P6:P$24)),4)</f>
        <v>1.554</v>
      </c>
      <c r="AB6" s="1791">
        <f>ROUND(SUMPRODUCT(PRODUCT(1+Q6:Q$24)),4)</f>
        <v>1.3087</v>
      </c>
      <c r="AC6" s="1793"/>
      <c r="AD6" s="1792">
        <f>ROUND(AVERAGE(I6:I$25)/100,4)</f>
        <v>2.1899999999999999E-2</v>
      </c>
      <c r="AE6" s="1792">
        <f>ROUND(AVERAGE(J6:J$25)/100,4)</f>
        <v>1.5299999999999999E-2</v>
      </c>
      <c r="AF6" s="1792">
        <f t="shared" ref="AF6" si="21">AE6</f>
        <v>1.5299999999999999E-2</v>
      </c>
      <c r="AG6" s="1792">
        <f>ROUND(AVERAGE(K6:K$25)/100,4)</f>
        <v>2.41E-2</v>
      </c>
      <c r="AH6" s="1792">
        <f>ROUND(AVERAGE(L6:L$25)/100,4)</f>
        <v>1.4200000000000001E-2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50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50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51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50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50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50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51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50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50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50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50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50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50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50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50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50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50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50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50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51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51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51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51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50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50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50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50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50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50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50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50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50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50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50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50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50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50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50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50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50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50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50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50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50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50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50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50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50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50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50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50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50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50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50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50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50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50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50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50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50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50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50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50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50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50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50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50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password="C66D"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515" t="s">
        <v>3006</v>
      </c>
      <c r="D1" s="3516"/>
      <c r="E1" s="3516"/>
      <c r="F1" s="3516"/>
      <c r="G1" s="3516"/>
      <c r="H1" s="3516"/>
      <c r="I1" s="3516"/>
      <c r="J1" s="3516"/>
      <c r="K1" s="3516"/>
      <c r="L1" s="3516"/>
      <c r="M1" s="3516"/>
      <c r="N1" s="3516"/>
      <c r="O1" s="3516"/>
      <c r="P1" s="3516"/>
      <c r="Q1" s="3516"/>
      <c r="R1" s="3516"/>
      <c r="S1" s="351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3015</v>
      </c>
      <c r="B17" s="2917"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19" t="s">
        <v>3019</v>
      </c>
      <c r="E20" s="1796"/>
      <c r="F20" s="1207" t="e">
        <f ca="1">SUMIF(INDIRECT("'"&amp;H20&amp;"'"&amp;"!A:A"),"承租人权益价值",INDIRECT("'"&amp;H20&amp;"'"&amp;"!c:c"))</f>
        <v>#REF!</v>
      </c>
      <c r="G20" s="1207" t="s">
        <v>3020</v>
      </c>
      <c r="H20" s="2920"/>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295" t="s">
        <v>33</v>
      </c>
      <c r="D22" s="3296"/>
      <c r="E22" s="3296"/>
      <c r="F22" s="3296"/>
      <c r="G22" s="3296"/>
      <c r="H22" s="3296"/>
      <c r="I22" s="3296"/>
      <c r="J22" s="3296"/>
      <c r="K22" s="3296"/>
      <c r="L22" s="3296"/>
      <c r="M22" s="3296"/>
      <c r="N22" s="3296"/>
      <c r="O22" s="3296"/>
      <c r="P22" s="3296"/>
      <c r="Q22" s="351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116384</v>
      </c>
      <c r="C2" s="2" t="s">
        <v>133</v>
      </c>
      <c r="D2" s="243"/>
      <c r="E2" s="243"/>
      <c r="F2" s="243"/>
      <c r="G2" s="243"/>
    </row>
    <row r="3" spans="1:7" s="244" customFormat="1" ht="18" customHeight="1" thickBot="1">
      <c r="A3" s="247" t="s">
        <v>85</v>
      </c>
      <c r="B3" s="248">
        <f ca="1">ROUND(B2*10000/'数据-汇总表'!E3,0)</f>
        <v>3493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4332</v>
      </c>
      <c r="D10" s="1035">
        <f>'数据-汇总表'!E6</f>
        <v>333221.08</v>
      </c>
      <c r="E10" s="269">
        <f>'数据-取费表'!B28</f>
        <v>130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43019</v>
      </c>
      <c r="D19" s="1039">
        <f>'数据-汇总表'!E3</f>
        <v>333221.08</v>
      </c>
      <c r="E19" s="255">
        <f>'数据-取费表'!B31</f>
        <v>1291</v>
      </c>
      <c r="F19" s="275"/>
      <c r="G19" s="1" t="s">
        <v>1071</v>
      </c>
    </row>
    <row r="20" spans="1:7" s="258" customFormat="1" ht="13.5" customHeight="1">
      <c r="A20" s="951" t="s">
        <v>1054</v>
      </c>
      <c r="B20" s="254" t="s">
        <v>104</v>
      </c>
      <c r="C20" s="276">
        <f>ROUND((C5+C19)*F20,0)</f>
        <v>1909</v>
      </c>
      <c r="D20" s="276"/>
      <c r="E20" s="276"/>
      <c r="F20" s="277">
        <f>'数据-取费表'!B37</f>
        <v>0.03</v>
      </c>
      <c r="G20" s="1292" t="s">
        <v>1065</v>
      </c>
    </row>
    <row r="21" spans="1:7" s="258" customFormat="1" ht="13.5" customHeight="1">
      <c r="A21" s="951" t="s">
        <v>1056</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1824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582</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1215</v>
      </c>
      <c r="D24" s="282"/>
      <c r="E24" s="282"/>
      <c r="F24" s="283"/>
      <c r="G24" s="284" t="s">
        <v>109</v>
      </c>
    </row>
    <row r="25" spans="1:7" s="258" customFormat="1" ht="24">
      <c r="A25" s="954" t="s">
        <v>793</v>
      </c>
      <c r="B25" s="259" t="s">
        <v>1055</v>
      </c>
      <c r="C25" s="1358">
        <f ca="1">ROUND(IF('数据-取费表'!B22&lt;=1,C20*F22*'数据-取费表'!B23/2,C20*(POWER((1+F22),'数据-取费表'!B23/2)-1)),0)</f>
        <v>27</v>
      </c>
      <c r="D25" s="282"/>
      <c r="E25" s="285"/>
      <c r="F25" s="283"/>
      <c r="G25" s="286" t="s">
        <v>110</v>
      </c>
    </row>
    <row r="26" spans="1:7" s="258" customFormat="1">
      <c r="A26" s="954" t="s">
        <v>795</v>
      </c>
      <c r="B26" s="259" t="s">
        <v>1057</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3932</v>
      </c>
      <c r="D27" s="279">
        <f>C29</f>
        <v>8.9999999999999998E-4</v>
      </c>
      <c r="E27" s="280" t="s">
        <v>126</v>
      </c>
      <c r="F27" s="290">
        <f>'数据-取费表'!Q16</f>
        <v>0.2</v>
      </c>
      <c r="G27" s="291" t="s">
        <v>1066</v>
      </c>
    </row>
    <row r="28" spans="1:7" s="258" customFormat="1" ht="13.5" customHeight="1">
      <c r="A28" s="954" t="s">
        <v>794</v>
      </c>
      <c r="B28" s="292" t="s">
        <v>1059</v>
      </c>
      <c r="C28" s="293">
        <f>ROUND((C5+C19+C20)*F27*'数据-取费表'!B21/'数据-取费表'!B20,0)</f>
        <v>3932</v>
      </c>
      <c r="D28" s="279"/>
      <c r="E28" s="280"/>
      <c r="F28" s="290"/>
      <c r="G28" s="291"/>
    </row>
    <row r="29" spans="1:7" s="258" customFormat="1" ht="13.5" customHeight="1">
      <c r="A29" s="954" t="s">
        <v>792</v>
      </c>
      <c r="B29" s="292" t="s">
        <v>1060</v>
      </c>
      <c r="C29" s="282">
        <f>ROUND(C21*F27*'数据-取费表'!B21/'数据-取费表'!B20,4)</f>
        <v>8.9999999999999998E-4</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76614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29530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26227</v>
      </c>
      <c r="D34" s="261"/>
      <c r="E34" s="264"/>
      <c r="F34" s="301">
        <f>IF('数据-取费表'!B24=0,1,'数据-取费表'!N16)</f>
        <v>0.24</v>
      </c>
      <c r="G34" s="263" t="s">
        <v>116</v>
      </c>
    </row>
    <row r="35" spans="1:7" ht="13.5" customHeight="1">
      <c r="A35" s="954" t="s">
        <v>796</v>
      </c>
      <c r="B35" s="259" t="s">
        <v>60</v>
      </c>
      <c r="C35" s="264">
        <f>ROUND(C34*F35,0)</f>
        <v>1311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1599</v>
      </c>
      <c r="D37" s="261">
        <f>'数据-汇总表'!E3</f>
        <v>333221.08</v>
      </c>
      <c r="E37" s="293">
        <f>'数据-取费表'!B35</f>
        <v>200</v>
      </c>
      <c r="F37" s="303"/>
      <c r="G37" s="305" t="s">
        <v>119</v>
      </c>
    </row>
    <row r="38" spans="1:7" ht="13.5" customHeight="1">
      <c r="A38" s="954" t="s">
        <v>799</v>
      </c>
      <c r="B38" s="259" t="s">
        <v>63</v>
      </c>
      <c r="C38" s="264">
        <f>ROUND(C34*F38,0)</f>
        <v>393</v>
      </c>
      <c r="D38" s="264"/>
      <c r="E38" s="264"/>
      <c r="F38" s="303">
        <f>'数据-取费表'!B36</f>
        <v>1.4999999999999999E-2</v>
      </c>
      <c r="G38" s="263" t="s">
        <v>117</v>
      </c>
    </row>
    <row r="39" spans="1:7" s="258" customFormat="1" ht="13.5" customHeight="1">
      <c r="A39" s="951" t="s">
        <v>783</v>
      </c>
      <c r="B39" s="254" t="s">
        <v>104</v>
      </c>
      <c r="C39" s="276">
        <f>ROUND(C33*F20,0)</f>
        <v>886</v>
      </c>
      <c r="D39" s="276"/>
      <c r="E39" s="276"/>
      <c r="F39" s="277"/>
      <c r="G39" s="1292" t="s">
        <v>1068</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426</v>
      </c>
      <c r="D41" s="279">
        <f ca="1">C44</f>
        <v>2.0000000000000001E-4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414</v>
      </c>
      <c r="D42" s="282"/>
      <c r="E42" s="282"/>
      <c r="F42" s="283"/>
      <c r="G42" s="3380" t="s">
        <v>121</v>
      </c>
    </row>
    <row r="43" spans="1:7" ht="13.5" customHeight="1">
      <c r="A43" s="954" t="s">
        <v>792</v>
      </c>
      <c r="B43" s="259" t="s">
        <v>1061</v>
      </c>
      <c r="C43" s="282">
        <f ca="1">ROUND(IF('数据-取费表'!B22&lt;=1,C39*F22*'数据-取费表'!B21/2,C39*(POWER((1+F22),'数据-取费表'!B21/2)-1)),0)</f>
        <v>12</v>
      </c>
      <c r="D43" s="282"/>
      <c r="E43" s="282"/>
      <c r="F43" s="283"/>
      <c r="G43" s="3381"/>
    </row>
    <row r="44" spans="1:7" ht="13.5" customHeight="1">
      <c r="A44" s="954" t="s">
        <v>793</v>
      </c>
      <c r="B44" s="259" t="s">
        <v>1063</v>
      </c>
      <c r="C44" s="282">
        <f ca="1">ROUND(IF('数据-取费表'!B22&lt;=1,C40*F22*'数据-取费表'!B21/2,C40*(POWER((1+F22),'数据-取费表'!B21/2)-1)),4)</f>
        <v>2.0000000000000001E-4</v>
      </c>
      <c r="D44" s="282"/>
      <c r="E44" s="282"/>
      <c r="F44" s="283"/>
      <c r="G44" s="3382"/>
    </row>
    <row r="45" spans="1:7" s="258" customFormat="1" ht="13.5" customHeight="1">
      <c r="A45" s="951" t="s">
        <v>786</v>
      </c>
      <c r="B45" s="288" t="s">
        <v>112</v>
      </c>
      <c r="C45" s="289">
        <f>C46</f>
        <v>6083</v>
      </c>
      <c r="D45" s="279">
        <f>C47</f>
        <v>3.0000000000000001E-3</v>
      </c>
      <c r="E45" s="280" t="s">
        <v>129</v>
      </c>
      <c r="F45" s="290"/>
      <c r="G45" s="291" t="s">
        <v>1069</v>
      </c>
    </row>
    <row r="46" spans="1:7" s="258" customFormat="1" ht="13.5" customHeight="1">
      <c r="A46" s="954" t="s">
        <v>794</v>
      </c>
      <c r="B46" s="292" t="s">
        <v>1062</v>
      </c>
      <c r="C46" s="293">
        <f>ROUND((C33+C39)*F27,0)</f>
        <v>6083</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39770</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39770</v>
      </c>
      <c r="D51" s="276"/>
      <c r="E51" s="276"/>
      <c r="F51" s="308"/>
      <c r="G51" s="278" t="s">
        <v>64</v>
      </c>
    </row>
    <row r="52" spans="1:7" s="252" customFormat="1" ht="16.5" thickBot="1">
      <c r="A52" s="309" t="s">
        <v>65</v>
      </c>
      <c r="B52" s="310"/>
      <c r="C52" s="311">
        <f ca="1">C31+C51</f>
        <v>116384</v>
      </c>
      <c r="D52" s="310"/>
      <c r="E52" s="310"/>
      <c r="F52" s="310"/>
      <c r="G52" s="312"/>
    </row>
    <row r="55" spans="1:7" ht="15">
      <c r="B55" s="314" t="s">
        <v>66</v>
      </c>
      <c r="C55" s="315"/>
    </row>
    <row r="56" spans="1:7">
      <c r="B56" s="317" t="s">
        <v>67</v>
      </c>
      <c r="C56" s="318">
        <f ca="1">ROUND(C51/C52,3)</f>
        <v>0.34200000000000003</v>
      </c>
    </row>
    <row r="57" spans="1:7">
      <c r="B57" s="317" t="s">
        <v>68</v>
      </c>
      <c r="C57" s="319">
        <f ca="1">1-C56</f>
        <v>0.65799999999999992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518" t="s">
        <v>156</v>
      </c>
      <c r="B1" s="3518"/>
      <c r="C1" s="3518"/>
      <c r="D1" s="3518"/>
      <c r="E1" s="3518"/>
      <c r="F1" s="35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519" t="s">
        <v>169</v>
      </c>
      <c r="B2" s="3519"/>
      <c r="C2" s="3519"/>
      <c r="D2" s="3519"/>
      <c r="E2" s="3519"/>
      <c r="F2" s="35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5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5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518" t="s">
        <v>868</v>
      </c>
      <c r="B1" s="351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43516</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1637</v>
      </c>
      <c r="B2" s="3145" t="s">
        <v>1638</v>
      </c>
      <c r="C2" s="3145" t="s">
        <v>1639</v>
      </c>
      <c r="D2" s="3145" t="str">
        <f>结果表!D116</f>
        <v>出让国有建设用地使用权价值</v>
      </c>
      <c r="E2" s="3145"/>
      <c r="F2" s="3145" t="str">
        <f>结果表!F116</f>
        <v>在建建筑物价值</v>
      </c>
      <c r="G2" s="3145"/>
      <c r="H2" s="3145" t="str">
        <f>IF(项目基本情况!B9="房地产市场价值","房地产市场价值","房地产价值")</f>
        <v>房地产价值</v>
      </c>
      <c r="I2" s="3145"/>
    </row>
    <row r="3" spans="1:9" ht="15">
      <c r="A3" s="3146"/>
      <c r="B3" s="3146"/>
      <c r="C3" s="3146"/>
      <c r="D3" s="1047" t="s">
        <v>1634</v>
      </c>
      <c r="E3" s="1047" t="s">
        <v>1640</v>
      </c>
      <c r="F3" s="1047" t="s">
        <v>1634</v>
      </c>
      <c r="G3" s="1047" t="s">
        <v>1635</v>
      </c>
      <c r="H3" s="1047" t="s">
        <v>1634</v>
      </c>
      <c r="I3" s="1047" t="s">
        <v>1635</v>
      </c>
    </row>
    <row r="4" spans="1:9" ht="45">
      <c r="A4" s="1976" t="str">
        <f>项目基本情况!S2</f>
        <v>河北省崇礼县太子城出让国有建设用地使用权及在建建筑物房地产</v>
      </c>
      <c r="B4" s="1047">
        <f>项目基本情况!C17</f>
        <v>333221.08</v>
      </c>
      <c r="C4" s="1047">
        <f>项目基本情况!C18</f>
        <v>165503</v>
      </c>
      <c r="D4" s="1047">
        <f ca="1">结果表!D118</f>
        <v>210689</v>
      </c>
      <c r="E4" s="1047">
        <f ca="1">结果表!E118</f>
        <v>6323</v>
      </c>
      <c r="F4" s="1047">
        <f ca="1">结果表!F118</f>
        <v>70605</v>
      </c>
      <c r="G4" s="1047">
        <f ca="1">结果表!G118</f>
        <v>2119</v>
      </c>
      <c r="H4" s="1047">
        <f ca="1">结果表!H118</f>
        <v>281294</v>
      </c>
      <c r="I4" s="1047">
        <f ca="1">结果表!I118</f>
        <v>8442</v>
      </c>
    </row>
    <row r="5" spans="1:9" ht="30" customHeight="1">
      <c r="A5" s="3146" t="s">
        <v>1636</v>
      </c>
      <c r="B5" s="3146"/>
      <c r="C5" s="3146"/>
      <c r="D5" s="3147" t="str">
        <f ca="1">结果表!D119</f>
        <v>贰拾壹亿零陆佰捌拾玖万元整</v>
      </c>
      <c r="E5" s="3147"/>
      <c r="F5" s="3147" t="str">
        <f ca="1">结果表!F119</f>
        <v>柒亿零陆佰零伍万元整</v>
      </c>
      <c r="G5" s="3147"/>
      <c r="H5" s="3147" t="str">
        <f ca="1">结果表!H119</f>
        <v>贰拾捌亿壹仟贰佰玖拾肆万元整</v>
      </c>
      <c r="I5" s="3147"/>
    </row>
    <row r="6" spans="1:9" ht="15.75">
      <c r="A6" s="3148" t="str">
        <f>结果表!A120</f>
        <v>估价师知悉的法定优先受偿款</v>
      </c>
      <c r="B6" s="3148"/>
      <c r="C6" s="3148"/>
      <c r="D6" s="3148">
        <f>结果表!D120</f>
        <v>0</v>
      </c>
      <c r="E6" s="3148"/>
      <c r="F6" s="3148"/>
      <c r="G6" s="3148"/>
      <c r="H6" s="3148"/>
      <c r="I6" s="3148"/>
    </row>
    <row r="7" spans="1:9" ht="15">
      <c r="A7" s="3146" t="s">
        <v>1636</v>
      </c>
      <c r="B7" s="3146"/>
      <c r="C7" s="3146"/>
      <c r="D7" s="3149" t="str">
        <f>结果表!D121</f>
        <v>零元整</v>
      </c>
      <c r="E7" s="3150"/>
      <c r="F7" s="3150"/>
      <c r="G7" s="3150"/>
      <c r="H7" s="3150"/>
      <c r="I7" s="3151"/>
    </row>
    <row r="8" spans="1:9" ht="15.75">
      <c r="A8" s="3148" t="str">
        <f>结果表!A122</f>
        <v>房地产抵押价值</v>
      </c>
      <c r="B8" s="3148"/>
      <c r="C8" s="3148"/>
      <c r="D8" s="3148">
        <f ca="1">结果表!D122</f>
        <v>281294</v>
      </c>
      <c r="E8" s="3148"/>
      <c r="F8" s="3148"/>
      <c r="G8" s="3148"/>
      <c r="H8" s="3148"/>
      <c r="I8" s="3148"/>
    </row>
    <row r="9" spans="1:9" ht="15">
      <c r="A9" s="3146" t="s">
        <v>1636</v>
      </c>
      <c r="B9" s="3146"/>
      <c r="C9" s="3146"/>
      <c r="D9" s="3147" t="str">
        <f ca="1">结果表!D123</f>
        <v>贰拾捌亿壹仟贰佰玖拾肆万元整</v>
      </c>
      <c r="E9" s="3147"/>
      <c r="F9" s="3147"/>
      <c r="G9" s="3147"/>
      <c r="H9" s="3147"/>
      <c r="I9" s="3147"/>
    </row>
    <row r="10" spans="1:9" ht="15.75">
      <c r="A10" s="3148" t="str">
        <f>结果表!A124</f>
        <v/>
      </c>
      <c r="B10" s="3148"/>
      <c r="C10" s="3148"/>
      <c r="D10" s="3148" t="str">
        <f>结果表!D124</f>
        <v>——</v>
      </c>
      <c r="E10" s="3148"/>
      <c r="F10" s="3148"/>
      <c r="G10" s="3148"/>
      <c r="H10" s="3148"/>
      <c r="I10" s="3148"/>
    </row>
    <row r="11" spans="1:9" ht="15">
      <c r="A11" s="3146" t="s">
        <v>1636</v>
      </c>
      <c r="B11" s="3146"/>
      <c r="C11" s="3146"/>
      <c r="D11" s="3147" t="e">
        <f>结果表!D125</f>
        <v>#VALUE!</v>
      </c>
      <c r="E11" s="3147"/>
      <c r="F11" s="3147"/>
      <c r="G11" s="3147"/>
      <c r="H11" s="3147"/>
      <c r="I11" s="3147"/>
    </row>
    <row r="12" spans="1:9" ht="15.75">
      <c r="A12" s="3148" t="str">
        <f>结果表!A126</f>
        <v/>
      </c>
      <c r="B12" s="3148"/>
      <c r="C12" s="3148"/>
      <c r="D12" s="3148" t="str">
        <f>结果表!D126</f>
        <v>——</v>
      </c>
      <c r="E12" s="3148"/>
      <c r="F12" s="3148"/>
      <c r="G12" s="3148"/>
      <c r="H12" s="3148"/>
      <c r="I12" s="3148"/>
    </row>
    <row r="13" spans="1:9" ht="15.75" thickBot="1">
      <c r="A13" s="3152" t="s">
        <v>1636</v>
      </c>
      <c r="B13" s="3152"/>
      <c r="C13" s="3152"/>
      <c r="D13" s="3153" t="e">
        <f>结果表!D127</f>
        <v>#VALUE!</v>
      </c>
      <c r="E13" s="3153"/>
      <c r="F13" s="3153"/>
      <c r="G13" s="3153"/>
      <c r="H13" s="3153"/>
      <c r="I13" s="3153"/>
    </row>
    <row r="14" spans="1:9" ht="15" thickTop="1">
      <c r="A14" s="3154" t="s">
        <v>1641</v>
      </c>
      <c r="B14" s="3154"/>
      <c r="C14" s="3154"/>
      <c r="D14" s="3154"/>
      <c r="E14" s="3154"/>
      <c r="F14" s="3154"/>
      <c r="G14" s="3154"/>
      <c r="H14" s="3154"/>
      <c r="I14" s="315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155" t="s">
        <v>1658</v>
      </c>
      <c r="B1" s="3155"/>
      <c r="C1" s="3155"/>
      <c r="D1" s="3155"/>
    </row>
    <row r="2" spans="1:4" ht="18">
      <c r="A2" s="3156" t="s">
        <v>1642</v>
      </c>
      <c r="B2" s="3156"/>
      <c r="C2" s="3156"/>
      <c r="D2" s="3156"/>
    </row>
    <row r="3" spans="1:4" ht="18.75">
      <c r="A3" s="1980" t="s">
        <v>1643</v>
      </c>
      <c r="B3" s="1980" t="s">
        <v>1644</v>
      </c>
      <c r="C3" s="1980" t="s">
        <v>1645</v>
      </c>
      <c r="D3" s="1980" t="s">
        <v>1646</v>
      </c>
    </row>
    <row r="4" spans="1:4" ht="56.25" customHeight="1">
      <c r="A4" s="1981" t="str">
        <f>项目基本情况!B4</f>
        <v>吴薇</v>
      </c>
      <c r="B4" s="1982">
        <f ca="1">项目基本情况!C4</f>
        <v>0</v>
      </c>
      <c r="C4" s="1983"/>
      <c r="D4" s="1984" t="s">
        <v>1647</v>
      </c>
    </row>
    <row r="5" spans="1:4" ht="56.25" customHeight="1">
      <c r="A5" s="1981" t="str">
        <f>项目基本情况!D4</f>
        <v>崔锴</v>
      </c>
      <c r="B5" s="1982">
        <f ca="1">项目基本情况!E4</f>
        <v>0</v>
      </c>
      <c r="C5" s="1985"/>
      <c r="D5" s="1984" t="s">
        <v>1647</v>
      </c>
    </row>
    <row r="6" spans="1:4" ht="18">
      <c r="A6" s="3156" t="s">
        <v>1648</v>
      </c>
      <c r="B6" s="3156"/>
      <c r="C6" s="3156"/>
      <c r="D6" s="315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157" t="s">
        <v>1651</v>
      </c>
      <c r="B11" s="3158"/>
      <c r="C11" s="3158"/>
      <c r="D11" s="3158"/>
    </row>
    <row r="12" spans="1:4" ht="15.75">
      <c r="A12" s="31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9"/>
      <c r="C12" s="3159"/>
      <c r="D12" s="3159"/>
    </row>
    <row r="13" spans="1:4" ht="30" customHeight="1">
      <c r="A13" s="31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9"/>
      <c r="C13" s="3159"/>
      <c r="D13" s="3159"/>
    </row>
    <row r="14" spans="1:4" ht="15.75" customHeight="1">
      <c r="A14" s="3158" t="str">
        <f>IF(项目基本情况!B8="抵押","4.本次评估估价师所知悉的法定优先受偿款情况说明如下：","——")</f>
        <v>4.本次评估估价师所知悉的法定优先受偿款情况说明如下：</v>
      </c>
      <c r="B14" s="3159"/>
      <c r="C14" s="3159"/>
      <c r="D14" s="3159"/>
    </row>
    <row r="15" spans="1:4" ht="42" customHeight="1">
      <c r="A15" s="31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8"/>
      <c r="C15" s="3158"/>
      <c r="D15" s="3158"/>
    </row>
    <row r="16" spans="1:4" ht="30" customHeight="1">
      <c r="A16" s="3161" t="s">
        <v>1652</v>
      </c>
      <c r="B16" s="3161"/>
      <c r="C16" s="3161"/>
      <c r="D16" s="3161"/>
    </row>
    <row r="17" spans="1:4" ht="144" customHeight="1">
      <c r="A17" s="3161" t="s">
        <v>1653</v>
      </c>
      <c r="B17" s="3161"/>
      <c r="C17" s="3161"/>
      <c r="D17" s="3161"/>
    </row>
    <row r="18" spans="1:4" ht="15.75" customHeight="1">
      <c r="A18" s="3158" t="str">
        <f>IF(项目基本情况!B8="抵押",结果表!K120,"——")</f>
        <v>故，本次评估不存在估价师知悉的法定优先受偿款</v>
      </c>
      <c r="B18" s="3158"/>
      <c r="C18" s="3158"/>
      <c r="D18" s="3158"/>
    </row>
    <row r="19" spans="1:4" ht="46.5" customHeight="1">
      <c r="A19" s="31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8"/>
      <c r="C19" s="3158"/>
      <c r="D19" s="3158"/>
    </row>
    <row r="20" spans="1:4" ht="57.75" customHeight="1">
      <c r="A20" s="31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8"/>
      <c r="C20" s="3158"/>
      <c r="D20" s="3158"/>
    </row>
    <row r="21" spans="1:4" ht="57.75" customHeight="1">
      <c r="A21" s="31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2"/>
      <c r="C21" s="3162"/>
      <c r="D21" s="3162"/>
    </row>
    <row r="22" spans="1:4" ht="18.75" customHeight="1">
      <c r="A22" s="3163" t="s">
        <v>1654</v>
      </c>
      <c r="B22" s="3163"/>
      <c r="C22" s="3163"/>
      <c r="D22" s="316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160">
        <v>42551</v>
      </c>
      <c r="D31" s="31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169" t="s">
        <v>1665</v>
      </c>
      <c r="B15" s="3164" t="s">
        <v>136</v>
      </c>
      <c r="C15" s="3165"/>
    </row>
    <row r="16" spans="1:7" ht="13.5">
      <c r="A16" s="3170"/>
      <c r="B16" s="3164" t="s">
        <v>69</v>
      </c>
      <c r="C16" s="3165"/>
    </row>
    <row r="17" spans="1:3" ht="13.5">
      <c r="A17" s="3170"/>
      <c r="B17" s="3167" t="s">
        <v>1666</v>
      </c>
      <c r="C17" s="2003" t="s">
        <v>1665</v>
      </c>
    </row>
    <row r="18" spans="1:3" ht="13.5">
      <c r="A18" s="3170"/>
      <c r="B18" s="3167"/>
      <c r="C18" s="2003" t="s">
        <v>1667</v>
      </c>
    </row>
    <row r="19" spans="1:3" ht="13.5">
      <c r="A19" s="3170"/>
      <c r="B19" s="3167"/>
      <c r="C19" s="2003" t="s">
        <v>1668</v>
      </c>
    </row>
    <row r="20" spans="1:3" ht="13.5">
      <c r="A20" s="3171"/>
      <c r="B20" s="3166" t="s">
        <v>1669</v>
      </c>
      <c r="C20" s="3165"/>
    </row>
    <row r="21" spans="1:3" ht="13.5">
      <c r="A21" s="2004" t="s">
        <v>1670</v>
      </c>
      <c r="B21" s="2005"/>
      <c r="C21" s="2006"/>
    </row>
    <row r="22" spans="1:3" ht="13.5">
      <c r="A22" s="3168" t="s">
        <v>1671</v>
      </c>
      <c r="B22" s="3166" t="s">
        <v>1672</v>
      </c>
      <c r="C22" s="3165"/>
    </row>
    <row r="23" spans="1:3" ht="13.5">
      <c r="A23" s="3168"/>
      <c r="B23" s="3166" t="s">
        <v>1673</v>
      </c>
      <c r="C23" s="3165"/>
    </row>
    <row r="24" spans="1:3" ht="13.5">
      <c r="A24" s="3168"/>
      <c r="B24" s="3166" t="s">
        <v>1674</v>
      </c>
      <c r="C24" s="3165"/>
    </row>
    <row r="25" spans="1:3" ht="13.5">
      <c r="A25" s="3168"/>
      <c r="B25" s="3167" t="s">
        <v>1675</v>
      </c>
      <c r="C25" s="2003" t="s">
        <v>1676</v>
      </c>
    </row>
    <row r="26" spans="1:3" ht="13.5">
      <c r="A26" s="3168"/>
      <c r="B26" s="3167"/>
      <c r="C26" s="2003" t="s">
        <v>1677</v>
      </c>
    </row>
    <row r="27" spans="1:3" ht="13.5">
      <c r="A27" s="3168"/>
      <c r="B27" s="3167"/>
      <c r="C27" s="2003" t="s">
        <v>1678</v>
      </c>
    </row>
    <row r="28" spans="1:3" ht="13.5">
      <c r="A28" s="3168"/>
      <c r="B28" s="3167"/>
      <c r="C28" s="2003" t="s">
        <v>1679</v>
      </c>
    </row>
    <row r="29" spans="1:3" ht="13.5">
      <c r="A29" s="3168"/>
      <c r="B29" s="3167"/>
      <c r="C29" s="2003" t="s">
        <v>1680</v>
      </c>
    </row>
    <row r="30" spans="1:3" ht="13.5">
      <c r="A30" s="3168"/>
      <c r="B30" s="3167"/>
      <c r="C30" s="2003" t="s">
        <v>1681</v>
      </c>
    </row>
    <row r="31" spans="1:3" ht="13.5">
      <c r="A31" s="3168"/>
      <c r="B31" s="3167"/>
      <c r="C31" s="2003" t="s">
        <v>1682</v>
      </c>
    </row>
    <row r="32" spans="1:3" ht="13.5">
      <c r="A32" s="3168"/>
      <c r="B32" s="3167"/>
      <c r="C32" s="2003" t="s">
        <v>1683</v>
      </c>
    </row>
    <row r="33" spans="1:3" ht="13.5">
      <c r="A33" s="3168"/>
      <c r="B33" s="316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43985</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t="str">
        <f ca="1">IF(C4&lt;B2,"已过期",1119970066)</f>
        <v>已过期</v>
      </c>
      <c r="C4" s="2348">
        <v>43849</v>
      </c>
      <c r="D4" s="2351" t="s">
        <v>832</v>
      </c>
      <c r="E4" s="1025">
        <f ca="1">IF(F4&lt;B2,"已过期",96010014)</f>
        <v>96010014</v>
      </c>
      <c r="F4" s="1033">
        <v>47118</v>
      </c>
    </row>
    <row r="5" spans="1:6" ht="24" customHeight="1">
      <c r="A5" s="1705" t="s">
        <v>833</v>
      </c>
      <c r="B5" s="1025" t="str">
        <f ca="1">IF(C5&lt;B2,"已过期",1119970074)</f>
        <v>已过期</v>
      </c>
      <c r="C5" s="2348">
        <v>43849</v>
      </c>
      <c r="D5" s="2351" t="s">
        <v>833</v>
      </c>
      <c r="E5" s="1025">
        <f ca="1">IF(F5&lt;B2,"已过期",2002110027)</f>
        <v>2002110027</v>
      </c>
      <c r="F5" s="1033">
        <v>46752</v>
      </c>
    </row>
    <row r="6" spans="1:6" ht="24" customHeight="1">
      <c r="A6" s="1705" t="s">
        <v>834</v>
      </c>
      <c r="B6" s="1025" t="str">
        <f ca="1">IF(C6&lt;B2,"已过期",1119970111)</f>
        <v>已过期</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t="str">
        <f ca="1">IF(C8&lt;B2,"已过期",1120000080)</f>
        <v>已过期</v>
      </c>
      <c r="C8" s="2348">
        <v>43849</v>
      </c>
      <c r="D8" s="2351" t="s">
        <v>836</v>
      </c>
      <c r="E8" s="1025">
        <f ca="1">IF(F8&lt;B2,"已过期",2000110082)</f>
        <v>2000110082</v>
      </c>
      <c r="F8" s="1033">
        <v>46387</v>
      </c>
    </row>
    <row r="9" spans="1:6" ht="24" customHeight="1">
      <c r="A9" s="1705" t="s">
        <v>837</v>
      </c>
      <c r="B9" s="1025" t="str">
        <f ca="1">IF(C9&lt;B2,"已过期",1419970001)</f>
        <v>已过期</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t="str">
        <f ca="1">IF(C11&lt;B2,"已过期",1120100036)</f>
        <v>已过期</v>
      </c>
      <c r="C11" s="2348">
        <v>43622</v>
      </c>
      <c r="D11" s="2351" t="s">
        <v>839</v>
      </c>
      <c r="E11" s="1025">
        <f ca="1">IF(F11&lt;B2,"已过期",2010110070)</f>
        <v>2010110070</v>
      </c>
      <c r="F11" s="1033">
        <v>47907</v>
      </c>
    </row>
    <row r="12" spans="1:6" ht="24" customHeight="1">
      <c r="A12" s="1705"/>
      <c r="B12" s="1025"/>
      <c r="C12" s="2936"/>
      <c r="D12" s="1705"/>
      <c r="E12" s="1025"/>
      <c r="F12" s="1033"/>
    </row>
    <row r="13" spans="1:6" ht="24" customHeight="1">
      <c r="A13" s="1705" t="s">
        <v>840</v>
      </c>
      <c r="B13" s="1025" t="str">
        <f ca="1">IF(C13&lt;B2,"已过期",1120070131)</f>
        <v>已过期</v>
      </c>
      <c r="C13" s="2348">
        <v>43814</v>
      </c>
      <c r="D13" s="2351" t="s">
        <v>840</v>
      </c>
      <c r="E13" s="1025">
        <f ca="1">IF(F13&lt;B2,"已过期",2014110011)</f>
        <v>2014110011</v>
      </c>
      <c r="F13" s="1033">
        <v>49302</v>
      </c>
    </row>
    <row r="14" spans="1:6" ht="24" customHeight="1">
      <c r="A14" s="1705" t="s">
        <v>3046</v>
      </c>
      <c r="B14" s="1025" t="str">
        <f ca="1">IF(C14&lt;B2,"已过期",1120040230)</f>
        <v>已过期</v>
      </c>
      <c r="C14" s="2348">
        <v>43835</v>
      </c>
      <c r="D14" s="2351" t="s">
        <v>3046</v>
      </c>
      <c r="E14" s="1025">
        <f ca="1">IF(F14&lt;B2,"已过期",98030020)</f>
        <v>98030020</v>
      </c>
      <c r="F14" s="1033">
        <v>47118</v>
      </c>
    </row>
    <row r="15" spans="1:6" ht="24" customHeight="1">
      <c r="A15" s="1706" t="s">
        <v>3047</v>
      </c>
      <c r="B15" s="1025" t="str">
        <f ca="1">IF(C15&lt;B2,"已过期",1120070085)</f>
        <v>已过期</v>
      </c>
      <c r="C15" s="2348">
        <v>43814</v>
      </c>
      <c r="D15" s="2352" t="s">
        <v>3047</v>
      </c>
      <c r="E15" s="1025">
        <f ca="1">IF(F15&lt;B2,"已过期",2004110128)</f>
        <v>2004110128</v>
      </c>
      <c r="F15" s="1026">
        <v>47118</v>
      </c>
    </row>
    <row r="16" spans="1:6" ht="24" customHeight="1">
      <c r="A16" s="1705" t="s">
        <v>3048</v>
      </c>
      <c r="B16" s="1025">
        <f ca="1">IF(C16&lt;B2,"已过期",1120140022)</f>
        <v>1120140022</v>
      </c>
      <c r="C16" s="2936">
        <v>44029</v>
      </c>
      <c r="D16" s="2351" t="s">
        <v>3048</v>
      </c>
      <c r="E16" s="1025">
        <f ca="1">IF(F16&lt;B2,"已过期",2008110059)</f>
        <v>2008110059</v>
      </c>
      <c r="F16" s="1033">
        <v>47177</v>
      </c>
    </row>
    <row r="17" spans="1:7" ht="24" customHeight="1">
      <c r="A17" s="1705"/>
      <c r="B17" s="1025"/>
      <c r="C17" s="2348"/>
      <c r="D17" s="2351" t="s">
        <v>3049</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6">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172" t="s">
        <v>843</v>
      </c>
      <c r="B25" s="3172"/>
      <c r="C25" s="3172"/>
      <c r="D25" s="3172"/>
      <c r="E25" s="3172"/>
      <c r="F25" s="3172"/>
      <c r="G25" s="3172"/>
    </row>
    <row r="26" spans="1:7" s="1028" customFormat="1" ht="24" customHeight="1">
      <c r="A26" s="3173" t="s">
        <v>844</v>
      </c>
      <c r="B26" s="3173"/>
      <c r="C26" s="3174"/>
      <c r="D26" s="3175" t="s">
        <v>845</v>
      </c>
      <c r="E26" s="3173"/>
      <c r="F26" s="3173"/>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报规面积表</vt:lpstr>
      <vt:lpstr>Sheet2</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比较法-住宅</vt:lpstr>
      <vt:lpstr>Sheet1</vt:lpstr>
      <vt:lpstr>收益法</vt:lpstr>
      <vt:lpstr>收益法 (2)</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2020-06-03T03:03:17Z</dcterms:modified>
</cp:coreProperties>
</file>