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租金" sheetId="80"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11">'数据-基础表'!$A$1:$L$13</definedName>
    <definedName name="_xlnm.Print_Area" localSheetId="3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8" i="39" l="1"/>
  <c r="C11" i="39"/>
  <c r="N6" i="1" l="1"/>
  <c r="Y6" i="1" l="1"/>
  <c r="X23" i="1"/>
  <c r="X24" i="1"/>
  <c r="X25" i="1"/>
  <c r="X26" i="1"/>
  <c r="X27" i="1"/>
  <c r="X22" i="1"/>
  <c r="X28" i="1" s="1"/>
  <c r="U6" i="1" s="1"/>
  <c r="G19" i="6"/>
  <c r="F19" i="6"/>
  <c r="C19" i="6"/>
  <c r="I13" i="3"/>
  <c r="K13" i="3"/>
  <c r="F9" i="78"/>
  <c r="F8" i="78"/>
  <c r="F7" i="78"/>
  <c r="F6" i="78"/>
  <c r="F5" i="78"/>
  <c r="F4" i="78"/>
  <c r="F3" i="78"/>
  <c r="F2" i="78"/>
  <c r="C24"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H19" i="39"/>
  <c r="AB19" i="39" s="1"/>
  <c r="F19" i="39"/>
  <c r="AA19" i="39" s="1"/>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19" i="39"/>
  <c r="AC19" i="39" s="1"/>
  <c r="J27" i="39"/>
  <c r="AC27" i="39" s="1"/>
  <c r="F27" i="39"/>
  <c r="S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s="1"/>
  <c r="AC37" i="39"/>
  <c r="W37" i="39"/>
  <c r="F15" i="39"/>
  <c r="AA15" i="39" s="1"/>
  <c r="H15" i="39"/>
  <c r="U15" i="39" s="1"/>
  <c r="J15" i="39"/>
  <c r="W15" i="39" s="1"/>
  <c r="H41" i="39"/>
  <c r="W27" i="39"/>
  <c r="AB34" i="39"/>
  <c r="S42" i="39"/>
  <c r="W14" i="39"/>
  <c r="AA41" i="39"/>
  <c r="W9" i="39"/>
  <c r="W8" i="39"/>
  <c r="J19" i="40"/>
  <c r="AC19" i="40"/>
  <c r="J50" i="40"/>
  <c r="H103" i="9"/>
  <c r="D8" i="53" s="1"/>
  <c r="B16" i="53"/>
  <c r="B33" i="72" s="1"/>
  <c r="C7" i="37"/>
  <c r="C7" i="34"/>
  <c r="C7" i="36"/>
  <c r="W35" i="40"/>
  <c r="A118" i="9"/>
  <c r="A4" i="52"/>
  <c r="B41" i="72" s="1"/>
  <c r="A12" i="52"/>
  <c r="B56" i="72" s="1"/>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W39" i="39"/>
  <c r="S43" i="39"/>
  <c r="S37" i="39"/>
  <c r="U35" i="39"/>
  <c r="F32" i="39"/>
  <c r="AA32" i="39" s="1"/>
  <c r="U31" i="39"/>
  <c r="U19" i="39"/>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27" i="6" s="1"/>
  <c r="E11" i="6"/>
  <c r="E61" i="39" s="1"/>
  <c r="BL17" i="3"/>
  <c r="AZ17" i="3"/>
  <c r="BL13" i="3"/>
  <c r="E65" i="39"/>
  <c r="G30" i="6"/>
  <c r="G31" i="6" s="1"/>
  <c r="J56" i="9"/>
  <c r="J57" i="9" s="1"/>
  <c r="J59" i="9" s="1"/>
  <c r="J61" i="9" s="1"/>
  <c r="A24" i="51"/>
  <c r="B18" i="72" s="1"/>
  <c r="U29" i="34"/>
  <c r="E14" i="6"/>
  <c r="E64" i="39" s="1"/>
  <c r="E5" i="6"/>
  <c r="D9" i="11" s="1"/>
  <c r="C9" i="11" s="1"/>
  <c r="E32" i="6"/>
  <c r="L19" i="6"/>
  <c r="G1" i="68"/>
  <c r="K1" i="12"/>
  <c r="F30" i="6"/>
  <c r="E28"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E56" i="39"/>
  <c r="E51" i="40"/>
  <c r="B6" i="1"/>
  <c r="E6" i="1" s="1"/>
  <c r="S8" i="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U13" i="39"/>
  <c r="AB13" i="39"/>
  <c r="AA13" i="39"/>
  <c r="S13" i="39"/>
  <c r="S14" i="39"/>
  <c r="AA14" i="39"/>
  <c r="U43" i="39"/>
  <c r="AB43" i="39"/>
  <c r="AA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D19" i="12"/>
  <c r="C19" i="12" s="1"/>
  <c r="AQ9" i="1"/>
  <c r="AR11" i="1"/>
  <c r="E30" i="6"/>
  <c r="K15" i="1"/>
  <c r="T9" i="1"/>
  <c r="T13" i="1"/>
  <c r="E16" i="6"/>
  <c r="S7" i="1"/>
  <c r="AR7" i="1" s="1"/>
  <c r="E7" i="70"/>
  <c r="AA39" i="40"/>
  <c r="S39" i="40"/>
  <c r="S12" i="33"/>
  <c r="AA12" i="33"/>
  <c r="J32" i="39"/>
  <c r="H32" i="39"/>
  <c r="U32" i="39" s="1"/>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E388" i="3"/>
  <c r="O6" i="3"/>
  <c r="E555" i="3"/>
  <c r="E574" i="3"/>
  <c r="E410" i="3"/>
  <c r="E359" i="3"/>
  <c r="E337" i="3"/>
  <c r="E285" i="3"/>
  <c r="E143" i="3"/>
  <c r="E97" i="3"/>
  <c r="E31" i="6"/>
  <c r="K14" i="1"/>
  <c r="M14" i="1" s="1"/>
  <c r="O14" i="1" s="1"/>
  <c r="BL5" i="3"/>
  <c r="K21" i="6"/>
  <c r="M21" i="6" s="1"/>
  <c r="I21" i="6" s="1"/>
  <c r="S21" i="6" s="1"/>
  <c r="E270" i="3"/>
  <c r="E390" i="3"/>
  <c r="E533" i="3"/>
  <c r="S6"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28" i="3"/>
  <c r="E290" i="3"/>
  <c r="E269" i="3"/>
  <c r="E221" i="3"/>
  <c r="E181" i="3"/>
  <c r="E161" i="3"/>
  <c r="E122" i="3"/>
  <c r="E180" i="3"/>
  <c r="E157" i="3"/>
  <c r="E117" i="3"/>
  <c r="E89" i="3"/>
  <c r="K22" i="6"/>
  <c r="M22" i="6" s="1"/>
  <c r="I22" i="6" s="1"/>
  <c r="S22" i="6"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H16" i="1"/>
  <c r="AB45" i="21"/>
  <c r="AC33" i="21"/>
  <c r="W33" i="21"/>
  <c r="S33" i="21"/>
  <c r="AA33" i="21"/>
  <c r="W32" i="21"/>
  <c r="AC32" i="21"/>
  <c r="AB9" i="21"/>
  <c r="U9" i="21"/>
  <c r="AA32" i="21"/>
  <c r="S32" i="21"/>
  <c r="W9" i="21"/>
  <c r="AC9" i="21"/>
  <c r="AB32" i="21"/>
  <c r="U32" i="21"/>
  <c r="AA10" i="21"/>
  <c r="S10" i="21"/>
  <c r="E6" i="70"/>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E2" i="70"/>
  <c r="AE7" i="1"/>
  <c r="AE8" i="1"/>
  <c r="AG6" i="1"/>
  <c r="H109" i="9"/>
  <c r="H110" i="9"/>
  <c r="D18" i="53" s="1"/>
  <c r="B35" i="72" s="1"/>
  <c r="D124" i="9"/>
  <c r="H14" i="74" s="1"/>
  <c r="B7" i="74" s="1"/>
  <c r="D16" i="53"/>
  <c r="B34" i="72"/>
  <c r="D10" i="52"/>
  <c r="D17" i="53"/>
  <c r="B36" i="72" s="1"/>
  <c r="D125" i="9"/>
  <c r="D11" i="52" s="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G17" i="43"/>
  <c r="C16" i="43" s="1"/>
  <c r="E68" i="39"/>
  <c r="F68" i="39" s="1"/>
  <c r="V17" i="71"/>
  <c r="C17" i="71"/>
  <c r="D18" i="71"/>
  <c r="E41" i="43"/>
  <c r="C41" i="43" s="1"/>
  <c r="I59" i="34"/>
  <c r="J59" i="34" s="1"/>
  <c r="D15" i="71"/>
  <c r="T17" i="71"/>
  <c r="D16" i="71"/>
  <c r="D17" i="71"/>
  <c r="U17" i="71"/>
  <c r="C76" i="15"/>
  <c r="F43" i="15"/>
  <c r="M21" i="67"/>
  <c r="M27" i="15"/>
  <c r="B10" i="76"/>
  <c r="L47" i="67"/>
  <c r="F16" i="15"/>
  <c r="F38" i="67"/>
  <c r="D6" i="73"/>
  <c r="M28" i="15"/>
  <c r="F38" i="15"/>
  <c r="M9" i="15"/>
  <c r="AO7" i="1"/>
  <c r="F36" i="67"/>
  <c r="F6" i="67"/>
  <c r="D3" i="73"/>
  <c r="L47" i="15"/>
  <c r="F20" i="31"/>
  <c r="E13" i="76"/>
  <c r="F7" i="73"/>
  <c r="M22" i="67"/>
  <c r="F3" i="73"/>
  <c r="D7" i="73"/>
  <c r="F42" i="15"/>
  <c r="M29" i="67"/>
  <c r="M8" i="15"/>
  <c r="B12" i="76"/>
  <c r="F8" i="67"/>
  <c r="E7" i="76"/>
  <c r="D2" i="37"/>
  <c r="M24" i="67"/>
  <c r="F8" i="15"/>
  <c r="M29" i="15"/>
  <c r="M24" i="15"/>
  <c r="B8" i="76"/>
  <c r="M22" i="15"/>
  <c r="E12" i="76"/>
  <c r="D2" i="36"/>
  <c r="AO13" i="1"/>
  <c r="D5" i="73"/>
  <c r="AO12" i="1"/>
  <c r="L48" i="15"/>
  <c r="B7" i="76"/>
  <c r="F26" i="15"/>
  <c r="B9" i="76"/>
  <c r="J15" i="15"/>
  <c r="F6" i="73"/>
  <c r="D2" i="35"/>
  <c r="F7" i="15"/>
  <c r="F16" i="67"/>
  <c r="F13" i="15"/>
  <c r="F4" i="73"/>
  <c r="F42" i="67"/>
  <c r="M27" i="67"/>
  <c r="E10" i="76"/>
  <c r="E8" i="76"/>
  <c r="D2" i="33"/>
  <c r="F6" i="15"/>
  <c r="F40" i="15"/>
  <c r="M26" i="67"/>
  <c r="AO8" i="1"/>
  <c r="B13" i="76"/>
  <c r="M23" i="67"/>
  <c r="M23" i="15"/>
  <c r="F7" i="67"/>
  <c r="F37" i="67"/>
  <c r="F41" i="67"/>
  <c r="L48" i="67"/>
  <c r="F5" i="73"/>
  <c r="AO9" i="1"/>
  <c r="F43" i="67"/>
  <c r="F37" i="15"/>
  <c r="AO10" i="1"/>
  <c r="C76" i="67"/>
  <c r="M6" i="15"/>
  <c r="B11" i="76"/>
  <c r="D4" i="73"/>
  <c r="M9" i="67"/>
  <c r="F9" i="67"/>
  <c r="E2" i="68"/>
  <c r="AO11" i="1"/>
  <c r="F9" i="15"/>
  <c r="E11" i="76"/>
  <c r="M26" i="15"/>
  <c r="M8" i="67"/>
  <c r="M28" i="67"/>
  <c r="F35" i="67"/>
  <c r="F13" i="67"/>
  <c r="F36" i="15"/>
  <c r="F40" i="67"/>
  <c r="E2" i="69"/>
  <c r="D2" i="21"/>
  <c r="J15" i="67"/>
  <c r="F26" i="67"/>
  <c r="M6" i="67"/>
  <c r="E9" i="76"/>
  <c r="D2" i="34"/>
  <c r="C40" i="69" l="1"/>
  <c r="U40" i="39"/>
  <c r="F99" i="39"/>
  <c r="G99" i="39" s="1"/>
  <c r="H25" i="39"/>
  <c r="F25" i="39"/>
  <c r="J25" i="39"/>
  <c r="F95" i="39"/>
  <c r="G95" i="39" s="1"/>
  <c r="F21" i="39"/>
  <c r="H21" i="39"/>
  <c r="J21" i="39"/>
  <c r="AC21" i="39" s="1"/>
  <c r="F91" i="39"/>
  <c r="G91" i="39" s="1"/>
  <c r="H17" i="39"/>
  <c r="AB17" i="39" s="1"/>
  <c r="F17" i="39"/>
  <c r="J17" i="39"/>
  <c r="W40" i="39"/>
  <c r="W23" i="39"/>
  <c r="W29" i="39"/>
  <c r="U29" i="39"/>
  <c r="AB23" i="39"/>
  <c r="AB27" i="39"/>
  <c r="U17" i="39"/>
  <c r="S29" i="39"/>
  <c r="AB32" i="39"/>
  <c r="U37" i="39"/>
  <c r="W19" i="39"/>
  <c r="S15" i="39"/>
  <c r="G81" i="39"/>
  <c r="H11" i="39"/>
  <c r="F11" i="39"/>
  <c r="AA11" i="39" s="1"/>
  <c r="W12" i="39"/>
  <c r="AC12" i="39"/>
  <c r="P61" i="15"/>
  <c r="C92" i="9"/>
  <c r="C94" i="9"/>
  <c r="F30" i="69"/>
  <c r="M18" i="15"/>
  <c r="F52" i="9"/>
  <c r="F54" i="9"/>
  <c r="F32" i="15"/>
  <c r="F60" i="15" s="1"/>
  <c r="F32" i="67"/>
  <c r="F60" i="67" s="1"/>
  <c r="F28" i="67"/>
  <c r="C28" i="67" s="1"/>
  <c r="C24" i="12"/>
  <c r="C77" i="9"/>
  <c r="C74" i="9" s="1"/>
  <c r="C30" i="11"/>
  <c r="D68" i="9"/>
  <c r="F28" i="15"/>
  <c r="C28" i="15" s="1"/>
  <c r="C48" i="69"/>
  <c r="M18" i="67"/>
  <c r="F31" i="12"/>
  <c r="C31" i="12" s="1"/>
  <c r="F30" i="68"/>
  <c r="F53" i="9"/>
  <c r="C13" i="12"/>
  <c r="C21" i="69"/>
  <c r="D22" i="67"/>
  <c r="F27" i="69"/>
  <c r="C47" i="69" s="1"/>
  <c r="D45" i="69" s="1"/>
  <c r="F27" i="68"/>
  <c r="F45" i="68" s="1"/>
  <c r="C34" i="69"/>
  <c r="C35" i="69" s="1"/>
  <c r="F27" i="11"/>
  <c r="F28" i="12"/>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53" i="3"/>
  <c r="E125" i="3"/>
  <c r="E175" i="3"/>
  <c r="E217" i="3"/>
  <c r="E319" i="3"/>
  <c r="E366" i="3"/>
  <c r="E530" i="3"/>
  <c r="E526" i="3"/>
  <c r="E501" i="3"/>
  <c r="E553" i="3"/>
  <c r="E343" i="3"/>
  <c r="E268" i="3"/>
  <c r="E153" i="3"/>
  <c r="E282" i="3"/>
  <c r="E305" i="3"/>
  <c r="E322" i="3"/>
  <c r="E426" i="3"/>
  <c r="N6" i="3"/>
  <c r="E508" i="3"/>
  <c r="AJ6" i="3"/>
  <c r="E328" i="3"/>
  <c r="E559" i="3"/>
  <c r="E514" i="3"/>
  <c r="E358" i="3"/>
  <c r="E311" i="3"/>
  <c r="E151" i="3"/>
  <c r="E201" i="3"/>
  <c r="E229" i="3"/>
  <c r="E247" i="3"/>
  <c r="E396" i="3"/>
  <c r="E431" i="3"/>
  <c r="E569" i="3"/>
  <c r="E579" i="3"/>
  <c r="E516" i="3"/>
  <c r="E509" i="3"/>
  <c r="E239" i="3"/>
  <c r="B113" i="43"/>
  <c r="F101" i="43"/>
  <c r="E22" i="43"/>
  <c r="C101" i="43"/>
  <c r="N104" i="46"/>
  <c r="L101" i="43"/>
  <c r="H101" i="43"/>
  <c r="M101" i="43"/>
  <c r="E101" i="43"/>
  <c r="S2" i="43"/>
  <c r="S5" i="43"/>
  <c r="T5" i="43" s="1"/>
  <c r="V5" i="43" s="1"/>
  <c r="C23" i="43"/>
  <c r="C21" i="43" s="1"/>
  <c r="S3" i="43"/>
  <c r="T3" i="43" s="1"/>
  <c r="V3" i="43" s="1"/>
  <c r="J22" i="43"/>
  <c r="F22" i="43"/>
  <c r="K101" i="43"/>
  <c r="N101" i="43"/>
  <c r="G101" i="43"/>
  <c r="J101" i="43"/>
  <c r="H22" i="43"/>
  <c r="D101" i="43"/>
  <c r="I101" i="43"/>
  <c r="G22" i="43"/>
  <c r="D2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T6" i="43" s="1"/>
  <c r="V6" i="43" s="1"/>
  <c r="S4" i="43"/>
  <c r="S7" i="43"/>
  <c r="M16" i="1"/>
  <c r="C34" i="68" s="1"/>
  <c r="C35" i="68" s="1"/>
  <c r="D9" i="68"/>
  <c r="C9" i="68" s="1"/>
  <c r="E59" i="40"/>
  <c r="D9" i="69"/>
  <c r="C9" i="69" s="1"/>
  <c r="E66" i="39"/>
  <c r="P7" i="1"/>
  <c r="AQ7" i="1"/>
  <c r="C36" i="69"/>
  <c r="O11" i="1"/>
  <c r="P11" i="1" s="1"/>
  <c r="O9" i="1"/>
  <c r="P9" i="1" s="1"/>
  <c r="O8" i="1"/>
  <c r="T7" i="1"/>
  <c r="P14" i="1"/>
  <c r="AY6" i="3"/>
  <c r="E3" i="6"/>
  <c r="K20" i="6"/>
  <c r="M20" i="6" s="1"/>
  <c r="I20" i="6" s="1"/>
  <c r="S20" i="6" s="1"/>
  <c r="K24" i="6"/>
  <c r="M24" i="6" s="1"/>
  <c r="I24" i="6" s="1"/>
  <c r="S24" i="6" s="1"/>
  <c r="K26" i="6"/>
  <c r="M26" i="6" s="1"/>
  <c r="I26" i="6" s="1"/>
  <c r="S26" i="6" s="1"/>
  <c r="K19" i="6"/>
  <c r="S6" i="1" s="1"/>
  <c r="K16" i="1"/>
  <c r="E56" i="40"/>
  <c r="AA5" i="71"/>
  <c r="AB5" i="71"/>
  <c r="X5" i="71"/>
  <c r="Y5" i="71"/>
  <c r="Z5" i="71" s="1"/>
  <c r="D12" i="52"/>
  <c r="D127" i="9"/>
  <c r="D13" i="52" s="1"/>
  <c r="E70" i="39"/>
  <c r="C5" i="43"/>
  <c r="T11" i="43" s="1"/>
  <c r="V11" i="43" s="1"/>
  <c r="D5" i="43"/>
  <c r="T14" i="43"/>
  <c r="V14"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29" i="68"/>
  <c r="D27" i="68" s="1"/>
  <c r="D9" i="53"/>
  <c r="B25" i="72" s="1"/>
  <c r="B24" i="72"/>
  <c r="K120" i="9"/>
  <c r="A18" i="62" s="1"/>
  <c r="B64" i="72" s="1"/>
  <c r="D12" i="71"/>
  <c r="C11" i="71"/>
  <c r="T12" i="43"/>
  <c r="V12" i="43" s="1"/>
  <c r="Y13" i="71"/>
  <c r="Z13" i="71" s="1"/>
  <c r="Y12" i="71"/>
  <c r="AA13" i="71"/>
  <c r="AB3" i="71"/>
  <c r="C35" i="43"/>
  <c r="E35" i="43" s="1"/>
  <c r="C36" i="43"/>
  <c r="E36" i="43" s="1"/>
  <c r="T9" i="43"/>
  <c r="V9" i="43" s="1"/>
  <c r="C39" i="43"/>
  <c r="C37" i="43"/>
  <c r="E37" i="43" s="1"/>
  <c r="B13" i="71"/>
  <c r="B12" i="71" s="1"/>
  <c r="B11" i="71" s="1"/>
  <c r="B10" i="71" s="1"/>
  <c r="B9" i="71" s="1"/>
  <c r="B8" i="71" s="1"/>
  <c r="B7" i="71" s="1"/>
  <c r="B6" i="71" s="1"/>
  <c r="B5" i="71" s="1"/>
  <c r="X13" i="71"/>
  <c r="AB13" i="71"/>
  <c r="T4" i="43"/>
  <c r="V4" i="43" s="1"/>
  <c r="Z12" i="71"/>
  <c r="Y3" i="71"/>
  <c r="Z3" i="71" s="1"/>
  <c r="D13" i="71"/>
  <c r="F13" i="71"/>
  <c r="F12" i="71" s="1"/>
  <c r="F11" i="71" s="1"/>
  <c r="F10" i="71" s="1"/>
  <c r="F9" i="71" s="1"/>
  <c r="F8" i="71" s="1"/>
  <c r="F7" i="71" s="1"/>
  <c r="F6" i="71" s="1"/>
  <c r="F5" i="71" s="1"/>
  <c r="AF3" i="71"/>
  <c r="P22" i="43" s="1"/>
  <c r="C34" i="43"/>
  <c r="T10" i="43"/>
  <c r="V10" i="43" s="1"/>
  <c r="C33" i="43"/>
  <c r="T13" i="43"/>
  <c r="V13" i="43" s="1"/>
  <c r="T2" i="43"/>
  <c r="V2" i="43" s="1"/>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7" i="67"/>
  <c r="G1" i="73"/>
  <c r="C14" i="15"/>
  <c r="C16" i="15"/>
  <c r="C17" i="15"/>
  <c r="C14" i="67"/>
  <c r="S11" i="39" l="1"/>
  <c r="W25" i="39"/>
  <c r="AC25" i="39"/>
  <c r="AB25" i="39"/>
  <c r="U25" i="39"/>
  <c r="AA25" i="39"/>
  <c r="S25" i="39"/>
  <c r="S21" i="39"/>
  <c r="AA21" i="39"/>
  <c r="W21" i="39"/>
  <c r="AB21" i="39"/>
  <c r="U21" i="39"/>
  <c r="W17" i="39"/>
  <c r="AC17" i="39"/>
  <c r="AA17" i="39"/>
  <c r="S17" i="39"/>
  <c r="U11" i="39"/>
  <c r="AB11" i="39"/>
  <c r="J11" i="39"/>
  <c r="H81" i="39"/>
  <c r="I81" i="39" s="1"/>
  <c r="J81" i="39" s="1"/>
  <c r="K81" i="39" s="1"/>
  <c r="L81" i="39" s="1"/>
  <c r="M81" i="39" s="1"/>
  <c r="F48" i="69"/>
  <c r="C30" i="69"/>
  <c r="F48" i="68"/>
  <c r="C30" i="68"/>
  <c r="C48" i="68"/>
  <c r="C47" i="68"/>
  <c r="D45" i="68" s="1"/>
  <c r="C29" i="69"/>
  <c r="D27" i="69" s="1"/>
  <c r="F45" i="69"/>
  <c r="C38" i="69"/>
  <c r="N16" i="1"/>
  <c r="AQ6" i="1"/>
  <c r="S16" i="1"/>
  <c r="AR6" i="1"/>
  <c r="T6" i="1"/>
  <c r="C47" i="11"/>
  <c r="D45" i="11" s="1"/>
  <c r="C29" i="11"/>
  <c r="D27" i="11" s="1"/>
  <c r="C18" i="15"/>
  <c r="C15" i="15"/>
  <c r="T16" i="1"/>
  <c r="AC6" i="3"/>
  <c r="C38" i="68"/>
  <c r="E6" i="3"/>
  <c r="D109" i="43"/>
  <c r="D105" i="43"/>
  <c r="D106" i="43"/>
  <c r="D102" i="43"/>
  <c r="D103" i="43"/>
  <c r="D104" i="43"/>
  <c r="D107" i="43"/>
  <c r="J104" i="43"/>
  <c r="J103" i="43"/>
  <c r="J109" i="43"/>
  <c r="J105" i="43"/>
  <c r="J107" i="43"/>
  <c r="J102" i="43"/>
  <c r="J106" i="43"/>
  <c r="N102" i="43"/>
  <c r="N103" i="43"/>
  <c r="N106" i="43"/>
  <c r="N104" i="43"/>
  <c r="N109" i="43"/>
  <c r="N105" i="43"/>
  <c r="N107" i="43"/>
  <c r="E102" i="43"/>
  <c r="E106" i="43"/>
  <c r="E103" i="43"/>
  <c r="E104" i="43"/>
  <c r="E107" i="43"/>
  <c r="E105" i="43"/>
  <c r="E109" i="43"/>
  <c r="H102" i="43"/>
  <c r="H103" i="43"/>
  <c r="H104" i="43"/>
  <c r="H109" i="43"/>
  <c r="H107" i="43"/>
  <c r="H106" i="43"/>
  <c r="H105" i="43"/>
  <c r="L16" i="1"/>
  <c r="C34" i="11"/>
  <c r="I109" i="43"/>
  <c r="I104" i="43"/>
  <c r="I107" i="43"/>
  <c r="I105" i="43"/>
  <c r="I102" i="43"/>
  <c r="I106" i="43"/>
  <c r="I103" i="43"/>
  <c r="G105" i="43"/>
  <c r="G103" i="43"/>
  <c r="G106" i="43"/>
  <c r="G102" i="43"/>
  <c r="G107" i="43"/>
  <c r="G104" i="43"/>
  <c r="G109" i="43"/>
  <c r="K103" i="43"/>
  <c r="K107" i="43"/>
  <c r="K104" i="43"/>
  <c r="K105" i="43"/>
  <c r="K109" i="43"/>
  <c r="K102" i="43"/>
  <c r="K106" i="43"/>
  <c r="M109" i="43"/>
  <c r="M102" i="43"/>
  <c r="M106" i="43"/>
  <c r="M103" i="43"/>
  <c r="M104" i="43"/>
  <c r="M107" i="43"/>
  <c r="M105" i="43"/>
  <c r="L106" i="43"/>
  <c r="L107" i="43"/>
  <c r="L103" i="43"/>
  <c r="L109" i="43"/>
  <c r="L102" i="43"/>
  <c r="L105" i="43"/>
  <c r="L104" i="43"/>
  <c r="C104" i="43"/>
  <c r="C106" i="43"/>
  <c r="C105" i="43"/>
  <c r="C107" i="43"/>
  <c r="C103" i="43"/>
  <c r="C102" i="43"/>
  <c r="C109" i="43"/>
  <c r="F104" i="43"/>
  <c r="F107" i="43"/>
  <c r="F106" i="43"/>
  <c r="F105" i="43"/>
  <c r="F109" i="43"/>
  <c r="F102" i="43"/>
  <c r="F103" i="43"/>
  <c r="B115" i="43"/>
  <c r="I115" i="43"/>
  <c r="J115" i="43" s="1"/>
  <c r="K115" i="43" s="1"/>
  <c r="L115" i="43" s="1"/>
  <c r="M115" i="43" s="1"/>
  <c r="I118" i="43"/>
  <c r="J118" i="43" s="1"/>
  <c r="K118" i="43" s="1"/>
  <c r="L118" i="43" s="1"/>
  <c r="M118" i="43" s="1"/>
  <c r="G118" i="43"/>
  <c r="H118" i="43" s="1"/>
  <c r="B118" i="43"/>
  <c r="C118" i="43" s="1"/>
  <c r="D117" i="43"/>
  <c r="E117" i="43" s="1"/>
  <c r="F117" i="43" s="1"/>
  <c r="G117" i="43" s="1"/>
  <c r="H117" i="43" s="1"/>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O16" i="1"/>
  <c r="F50" i="69"/>
  <c r="F50" i="11"/>
  <c r="F50" i="68"/>
  <c r="M19" i="6"/>
  <c r="K27" i="6"/>
  <c r="D3" i="34"/>
  <c r="D3" i="33"/>
  <c r="E6" i="6"/>
  <c r="D37" i="11"/>
  <c r="C37" i="11" s="1"/>
  <c r="D14" i="12"/>
  <c r="M18" i="9"/>
  <c r="B118" i="9" s="1"/>
  <c r="B14" i="74" s="1"/>
  <c r="B1" i="74" s="1"/>
  <c r="D3" i="21"/>
  <c r="D19" i="11"/>
  <c r="C19" i="11" s="1"/>
  <c r="D3" i="37"/>
  <c r="C17" i="4"/>
  <c r="B4" i="52" s="1"/>
  <c r="B43" i="72" s="1"/>
  <c r="L18" i="9"/>
  <c r="P8" i="1"/>
  <c r="P16" i="1" s="1"/>
  <c r="C11" i="12" s="1"/>
  <c r="AY87" i="3"/>
  <c r="AY83" i="3"/>
  <c r="AY51" i="3"/>
  <c r="AY66" i="3"/>
  <c r="AY34" i="3"/>
  <c r="AY23" i="3"/>
  <c r="AY207" i="3"/>
  <c r="AY176" i="3"/>
  <c r="AY144" i="3"/>
  <c r="AY155" i="3"/>
  <c r="AY124" i="3"/>
  <c r="AY115" i="3"/>
  <c r="AY95" i="3"/>
  <c r="AY98" i="3"/>
  <c r="AY82" i="3"/>
  <c r="AY18" i="3"/>
  <c r="AY191" i="3"/>
  <c r="AY171" i="3"/>
  <c r="AY132"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103" i="3"/>
  <c r="AY50" i="3"/>
  <c r="AY160" i="3"/>
  <c r="AY289"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7" i="3"/>
  <c r="AY196" i="3"/>
  <c r="AY139"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08" i="3"/>
  <c r="AY532" i="3"/>
  <c r="AY556" i="3"/>
  <c r="AY49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J10" i="40"/>
  <c r="AC10" i="40" s="1"/>
  <c r="H10" i="39"/>
  <c r="U10" i="39" s="1"/>
  <c r="F10" i="40"/>
  <c r="S10" i="40" s="1"/>
  <c r="J10" i="39"/>
  <c r="W10" i="39" s="1"/>
  <c r="H10" i="40"/>
  <c r="AB10" i="40" s="1"/>
  <c r="G36" i="43"/>
  <c r="I36" i="43" s="1"/>
  <c r="T8" i="43"/>
  <c r="V8" i="43" s="1"/>
  <c r="T16" i="43"/>
  <c r="V16" i="43" s="1"/>
  <c r="T7" i="43"/>
  <c r="V7" i="43" s="1"/>
  <c r="C29" i="43"/>
  <c r="E29"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W11" i="39" l="1"/>
  <c r="AC11" i="39"/>
  <c r="C19" i="15"/>
  <c r="C20" i="15" s="1"/>
  <c r="C26" i="15" s="1"/>
  <c r="AB10" i="39"/>
  <c r="C115" i="43"/>
  <c r="D113" i="43" s="1"/>
  <c r="C38" i="11"/>
  <c r="C35" i="11"/>
  <c r="U10" i="40"/>
  <c r="W10" i="40"/>
  <c r="C15" i="12"/>
  <c r="C12" i="12"/>
  <c r="D17" i="12"/>
  <c r="C17" i="12" s="1"/>
  <c r="C14" i="12"/>
  <c r="D10" i="11"/>
  <c r="C10" i="11" s="1"/>
  <c r="D20" i="12"/>
  <c r="C20" i="12" s="1"/>
  <c r="D10" i="68"/>
  <c r="D10" i="69"/>
  <c r="I19" i="6"/>
  <c r="H19" i="6" s="1"/>
  <c r="M27" i="6"/>
  <c r="D25" i="6"/>
  <c r="D15" i="6"/>
  <c r="D22" i="6"/>
  <c r="D21" i="6"/>
  <c r="D24" i="6"/>
  <c r="D20" i="6"/>
  <c r="D19" i="6"/>
  <c r="C18" i="4"/>
  <c r="D23" i="6"/>
  <c r="D5" i="6"/>
  <c r="D12" i="6"/>
  <c r="D11" i="6"/>
  <c r="D13" i="6"/>
  <c r="D28" i="6"/>
  <c r="E61" i="40"/>
  <c r="H23" i="6"/>
  <c r="H26" i="6"/>
  <c r="H20" i="6"/>
  <c r="M19" i="9"/>
  <c r="C118" i="9" s="1"/>
  <c r="C14" i="74" s="1"/>
  <c r="B2" i="74" s="1"/>
  <c r="D26" i="6"/>
  <c r="D8" i="6"/>
  <c r="D14" i="6"/>
  <c r="D6" i="6"/>
  <c r="D9" i="6"/>
  <c r="D10" i="6"/>
  <c r="L19" i="9"/>
  <c r="D29" i="6"/>
  <c r="H25" i="6"/>
  <c r="H22" i="6"/>
  <c r="H21" i="6"/>
  <c r="H24" i="6"/>
  <c r="C20" i="11"/>
  <c r="C28" i="11" s="1"/>
  <c r="C27" i="11" s="1"/>
  <c r="C7" i="74"/>
  <c r="C8" i="74"/>
  <c r="C30" i="43"/>
  <c r="E30" i="43" s="1"/>
  <c r="C27" i="43" s="1"/>
  <c r="AC10" i="39"/>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6"/>
  <c r="F69" i="15" l="1"/>
  <c r="J29" i="15"/>
  <c r="H27" i="6"/>
  <c r="C33" i="11"/>
  <c r="C39" i="11" s="1"/>
  <c r="C46" i="11" s="1"/>
  <c r="C45" i="11" s="1"/>
  <c r="D30" i="6"/>
  <c r="D16" i="6"/>
  <c r="R26" i="6"/>
  <c r="R23" i="6"/>
  <c r="D27" i="6"/>
  <c r="R19" i="6"/>
  <c r="R24" i="6"/>
  <c r="R22" i="6"/>
  <c r="R25" i="6"/>
  <c r="S19" i="6"/>
  <c r="S27" i="6" s="1"/>
  <c r="I27" i="6"/>
  <c r="C10" i="68"/>
  <c r="B29" i="1" s="1"/>
  <c r="C8" i="68" s="1"/>
  <c r="D19" i="68"/>
  <c r="D7" i="74"/>
  <c r="D8" i="74"/>
  <c r="A7" i="51"/>
  <c r="B7" i="72" s="1"/>
  <c r="C4" i="52"/>
  <c r="B45" i="72" s="1"/>
  <c r="A10" i="51"/>
  <c r="B9" i="72" s="1"/>
  <c r="R20" i="6"/>
  <c r="R21" i="6"/>
  <c r="C10" i="69"/>
  <c r="C8" i="69" s="1"/>
  <c r="C5" i="69" s="1"/>
  <c r="C23" i="69" s="1"/>
  <c r="D19" i="69"/>
  <c r="C16" i="12"/>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C43" i="11" l="1"/>
  <c r="C18" i="12"/>
  <c r="C21" i="12" s="1"/>
  <c r="C22" i="12" s="1"/>
  <c r="C27" i="12" s="1"/>
  <c r="C25" i="12" s="1"/>
  <c r="C42" i="11"/>
  <c r="R27" i="6"/>
  <c r="R6" i="1"/>
  <c r="D31" i="6"/>
  <c r="I6" i="6" s="1"/>
  <c r="C19" i="69"/>
  <c r="C24" i="69" s="1"/>
  <c r="D37" i="69"/>
  <c r="C37" i="69" s="1"/>
  <c r="C33" i="69" s="1"/>
  <c r="C19" i="68"/>
  <c r="D37" i="68"/>
  <c r="C37" i="68" s="1"/>
  <c r="C33" i="68"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M21" i="15"/>
  <c r="F35" i="15"/>
  <c r="C20" i="69" l="1"/>
  <c r="C28" i="69" s="1"/>
  <c r="C27" i="69" s="1"/>
  <c r="C41" i="11"/>
  <c r="C49" i="11" s="1"/>
  <c r="C51" i="11" s="1"/>
  <c r="J20" i="15"/>
  <c r="J17" i="15" s="1"/>
  <c r="C34" i="15"/>
  <c r="C31" i="15" s="1"/>
  <c r="F63" i="15"/>
  <c r="C62" i="15" s="1"/>
  <c r="C59" i="15" s="1"/>
  <c r="R16" i="1"/>
  <c r="I5" i="6"/>
  <c r="C39" i="68"/>
  <c r="C42" i="68"/>
  <c r="C24" i="68"/>
  <c r="C39" i="69"/>
  <c r="C43" i="69" s="1"/>
  <c r="C42" i="69"/>
  <c r="C30" i="12"/>
  <c r="C28" i="12" s="1"/>
  <c r="C32" i="12" s="1"/>
  <c r="B2" i="12" s="1"/>
  <c r="B3" i="12" s="1"/>
  <c r="C25" i="69"/>
  <c r="C22" i="69" s="1"/>
  <c r="D6"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5" l="1"/>
  <c r="C39" i="15" s="1"/>
  <c r="C80" i="15" s="1"/>
  <c r="C79" i="15" s="1"/>
  <c r="C31" i="69"/>
  <c r="C41" i="69"/>
  <c r="C46" i="69"/>
  <c r="C45" i="69" s="1"/>
  <c r="C46" i="68"/>
  <c r="C45" i="68" s="1"/>
  <c r="C43" i="68"/>
  <c r="C41" i="68"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58" i="67"/>
  <c r="C67" i="67" s="1"/>
  <c r="C68" i="67" s="1"/>
  <c r="C40" i="15"/>
  <c r="Q69" i="67"/>
  <c r="Q68" i="67" s="1"/>
  <c r="C40" i="67"/>
  <c r="L51" i="15"/>
  <c r="Q69" i="15" l="1"/>
  <c r="Q68" i="15" s="1"/>
  <c r="C49" i="69"/>
  <c r="C51" i="69" s="1"/>
  <c r="C52" i="69" s="1"/>
  <c r="B2" i="69" s="1"/>
  <c r="B3" i="69" s="1"/>
  <c r="C49" i="68"/>
  <c r="C51" i="68"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6" i="1"/>
  <c r="D19" i="9"/>
  <c r="D102" i="9" l="1"/>
  <c r="D21" i="9"/>
  <c r="B6" i="70"/>
  <c r="B2" i="70" s="1"/>
  <c r="B3" i="70" s="1"/>
  <c r="B3" i="15"/>
  <c r="C57" i="69"/>
  <c r="C56"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H7" i="39"/>
  <c r="J7" i="39"/>
  <c r="AA7" i="39"/>
  <c r="R47" i="39" s="1"/>
  <c r="S7" i="39"/>
  <c r="R39" i="35"/>
  <c r="E38" i="35"/>
  <c r="M63" i="40"/>
  <c r="L65" i="40"/>
  <c r="E47" i="39" l="1"/>
  <c r="W7" i="39"/>
  <c r="AC7" i="39"/>
  <c r="V47" i="39" s="1"/>
  <c r="I47" i="39" s="1"/>
  <c r="U7" i="39"/>
  <c r="AB7" i="39"/>
  <c r="T47" i="39" s="1"/>
  <c r="G47" i="39" s="1"/>
  <c r="C39" i="35"/>
  <c r="B2" i="35" s="1"/>
  <c r="B3" i="35" s="1"/>
  <c r="C38" i="35"/>
  <c r="N63" i="40"/>
  <c r="M65" i="40"/>
  <c r="E43" i="35"/>
  <c r="F43" i="35" s="1"/>
  <c r="E42" i="35"/>
  <c r="F42" i="35" s="1"/>
  <c r="I43" i="35"/>
  <c r="J43" i="35" s="1"/>
  <c r="R48" i="39" l="1"/>
  <c r="C47" i="39" s="1"/>
  <c r="E52" i="39"/>
  <c r="F52" i="39" s="1"/>
  <c r="E51" i="39"/>
  <c r="F51" i="39" s="1"/>
  <c r="G51" i="39"/>
  <c r="H51" i="39" s="1"/>
  <c r="G52" i="39"/>
  <c r="H52" i="39" s="1"/>
  <c r="I51" i="39"/>
  <c r="J51" i="39" s="1"/>
  <c r="I52" i="39"/>
  <c r="J52" i="39" s="1"/>
  <c r="O63" i="40"/>
  <c r="O65" i="40" s="1"/>
  <c r="N65" i="40"/>
  <c r="C48" i="39" l="1"/>
  <c r="B56" i="39" s="1"/>
  <c r="F56" i="39" s="1"/>
  <c r="J7" i="40"/>
  <c r="F7" i="40"/>
  <c r="H7" i="40"/>
  <c r="B59" i="39" l="1"/>
  <c r="F59" i="39" s="1"/>
  <c r="B58" i="39"/>
  <c r="F58" i="39" s="1"/>
  <c r="B62" i="39"/>
  <c r="F62" i="39" s="1"/>
  <c r="B63" i="39"/>
  <c r="F63" i="39" s="1"/>
  <c r="B57" i="39"/>
  <c r="F57" i="39" s="1"/>
  <c r="B60" i="39"/>
  <c r="F60" i="39" s="1"/>
  <c r="B61" i="39"/>
  <c r="F61" i="39" s="1"/>
  <c r="B65" i="39"/>
  <c r="F65" i="39" s="1"/>
  <c r="B64" i="39"/>
  <c r="F64" i="39" s="1"/>
  <c r="U7" i="40"/>
  <c r="AB7" i="40"/>
  <c r="T42" i="40" s="1"/>
  <c r="G42" i="40" s="1"/>
  <c r="AA7" i="40"/>
  <c r="R42" i="40" s="1"/>
  <c r="S7" i="40"/>
  <c r="AC7" i="40"/>
  <c r="V42" i="40" s="1"/>
  <c r="I42" i="40" s="1"/>
  <c r="W7" i="40"/>
  <c r="F66" i="39" l="1"/>
  <c r="B2" i="39" s="1"/>
  <c r="B3" i="39" s="1"/>
  <c r="I46" i="40"/>
  <c r="J46" i="40" s="1"/>
  <c r="R43" i="40"/>
  <c r="E42" i="40"/>
  <c r="G47" i="40"/>
  <c r="H47" i="40" s="1"/>
  <c r="G46" i="40"/>
  <c r="H46" i="40" s="1"/>
  <c r="C6" i="68" l="1"/>
  <c r="C7" i="68" s="1"/>
  <c r="C5" i="68" s="1"/>
  <c r="C42" i="40"/>
  <c r="C43" i="40"/>
  <c r="E47" i="40"/>
  <c r="F47" i="40" s="1"/>
  <c r="E46" i="40"/>
  <c r="F46" i="40" s="1"/>
  <c r="I47" i="40"/>
  <c r="J47" i="40" s="1"/>
  <c r="C23" i="68" l="1"/>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C31" i="68" l="1"/>
  <c r="C52" i="68" s="1"/>
  <c r="B2" i="68" s="1"/>
  <c r="C19" i="9"/>
  <c r="C57" i="68" l="1"/>
  <c r="C56" i="68" s="1"/>
  <c r="G19" i="9"/>
  <c r="G21" i="9" s="1"/>
  <c r="C102" i="9"/>
  <c r="D22" i="9"/>
  <c r="C21" i="9"/>
  <c r="B3" i="68"/>
  <c r="D35" i="9"/>
  <c r="D34" i="9"/>
  <c r="C20" i="9"/>
  <c r="C103" i="9" l="1"/>
  <c r="G20" i="9"/>
  <c r="C32" i="9" s="1"/>
  <c r="C35" i="9" l="1"/>
  <c r="H118" i="9"/>
  <c r="C104" i="9" l="1"/>
  <c r="H119" i="9"/>
  <c r="H5" i="52" s="1"/>
  <c r="H4" i="52"/>
  <c r="I118" i="9"/>
  <c r="D14" i="74"/>
  <c r="H101" i="9"/>
  <c r="C34" i="9"/>
  <c r="D118" i="9" s="1"/>
  <c r="F118" i="9"/>
  <c r="F119" i="9" l="1"/>
  <c r="F5" i="52" s="1"/>
  <c r="B53" i="72" s="1"/>
  <c r="G118" i="9"/>
  <c r="G4" i="52" s="1"/>
  <c r="B52" i="72" s="1"/>
  <c r="F4" i="52"/>
  <c r="B51" i="72" s="1"/>
  <c r="M48" i="9"/>
  <c r="D45" i="9"/>
  <c r="D5" i="53"/>
  <c r="H107" i="9"/>
  <c r="I4" i="52"/>
  <c r="C105" i="9"/>
  <c r="H102" i="9"/>
  <c r="D7" i="53" s="1"/>
  <c r="B21" i="72" s="1"/>
  <c r="D4" i="52"/>
  <c r="B47" i="72" s="1"/>
  <c r="D119" i="9"/>
  <c r="D5" i="52" s="1"/>
  <c r="B49" i="72" s="1"/>
  <c r="B5" i="74"/>
  <c r="E14" i="74"/>
  <c r="F14" i="74"/>
  <c r="E118" i="9" l="1"/>
  <c r="E4" i="52" s="1"/>
  <c r="B48" i="72" s="1"/>
  <c r="D13" i="53"/>
  <c r="H108" i="9"/>
  <c r="D15" i="53" s="1"/>
  <c r="B31" i="72" s="1"/>
  <c r="D122" i="9"/>
  <c r="M49" i="9"/>
  <c r="C85" i="9"/>
  <c r="C64" i="9"/>
  <c r="C63" i="9" s="1"/>
  <c r="C67" i="9" s="1"/>
  <c r="C93" i="9"/>
  <c r="C86" i="9" s="1"/>
  <c r="C78" i="9"/>
  <c r="C73" i="9" s="1"/>
  <c r="D53" i="9"/>
  <c r="D55" i="9"/>
  <c r="M53" i="9" s="1"/>
  <c r="D52" i="9"/>
  <c r="C72" i="9"/>
  <c r="D5" i="74"/>
  <c r="C5" i="74"/>
  <c r="D6" i="53"/>
  <c r="B22" i="72" s="1"/>
  <c r="B20" i="72"/>
  <c r="C79" i="9" l="1"/>
  <c r="C80" i="9" s="1"/>
  <c r="E80" i="9" s="1"/>
  <c r="E81" i="9" s="1"/>
  <c r="D59" i="9"/>
  <c r="M55" i="9" s="1"/>
  <c r="C68" i="9"/>
  <c r="D54" i="9" s="1"/>
  <c r="L67" i="9"/>
  <c r="M67" i="9" s="1"/>
  <c r="L65" i="9"/>
  <c r="M65" i="9" s="1"/>
  <c r="L66" i="9"/>
  <c r="M66" i="9" s="1"/>
  <c r="L64" i="9"/>
  <c r="M64" i="9" s="1"/>
  <c r="L68" i="9"/>
  <c r="M68" i="9" s="1"/>
  <c r="L63" i="9"/>
  <c r="M63" i="9" s="1"/>
  <c r="C95" i="9"/>
  <c r="G14" i="74"/>
  <c r="B6" i="74" s="1"/>
  <c r="D123" i="9"/>
  <c r="D9" i="52" s="1"/>
  <c r="D8" i="52"/>
  <c r="D14" i="53"/>
  <c r="B32" i="72" s="1"/>
  <c r="B30" i="72"/>
  <c r="C96" i="9" l="1"/>
  <c r="E96" i="9" s="1"/>
  <c r="E97" i="9" s="1"/>
  <c r="M69" i="9"/>
  <c r="N69" i="9" s="1"/>
  <c r="C81" i="9"/>
  <c r="D6" i="74"/>
  <c r="C6" i="74"/>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<sst xmlns="http://schemas.openxmlformats.org/spreadsheetml/2006/main" count="7773" uniqueCount="3307">
  <si>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</si>
  <si>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</si>
  <si>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</si>
  <si>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</si>
  <si>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</si>
  <si>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</si>
  <si>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</si>
  <si>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</si>
  <si>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</si>
  <si>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</si>
  <si>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</si>
  <si>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</si>
  <si>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</si>
  <si>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</si>
  <si>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</si>
  <si>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</si>
  <si>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</si>
  <si>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</si>
  <si>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</si>
  <si>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</si>
  <si>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</si>
  <si>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</si>
  <si>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</si>
  <si>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</si>
  <si>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</si>
  <si>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</si>
  <si>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</si>
  <si>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</si>
  <si>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</si>
  <si>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</si>
  <si>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</si>
  <si>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</si>
  <si>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</si>
  <si>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</si>
  <si>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</si>
  <si>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</si>
  <si>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</si>
  <si>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</si>
  <si>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</si>
  <si>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</si>
  <si>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</si>
  <si>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</si>
  <si>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</si>
  <si>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</si>
  <si>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</si>
  <si>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</si>
  <si>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</si>
  <si>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</si>
  <si>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</si>
  <si>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</si>
  <si>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</si>
  <si>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</si>
  <si>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</si>
  <si>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</si>
  <si>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</si>
  <si>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</si>
  <si>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</si>
  <si>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</si>
  <si>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</si>
  <si>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</si>
  <si>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</si>
  <si>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</si>
  <si>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</si>
  <si>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</si>
  <si>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</si>
  <si>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</si>
  <si>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</si>
  <si>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</si>
  <si>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</si>
  <si>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</si>
  <si>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</si>
  <si>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</si>
  <si>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</si>
  <si>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</si>
  <si>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</si>
  <si>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</si>
  <si>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</si>
  <si>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</si>
  <si>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</si>
  <si>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</si>
  <si>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</si>
  <si>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</si>
  <si>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</si>
  <si>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</si>
  <si>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</si>
  <si>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</si>
  <si>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</si>
  <si>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</si>
  <si>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</si>
  <si>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</si>
  <si>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</si>
  <si>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</si>
  <si>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</si>
  <si>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</si>
  <si>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</si>
  <si>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</si>
  <si>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</si>
  <si>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</si>
  <si>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</si>
  <si>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</si>
  <si>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</si>
  <si>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</si>
  <si>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</si>
  <si>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</si>
  <si>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</si>
  <si>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</si>
  <si>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</si>
  <si>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</si>
  <si>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</si>
  <si>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</si>
  <si>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</si>
  <si>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</si>
  <si>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</si>
  <si>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</si>
  <si>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</si>
  <si>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</si>
  <si>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</si>
  <si>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</si>
  <si>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</si>
  <si>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</si>
  <si>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</si>
  <si>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</si>
  <si>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</si>
  <si>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</si>
  <si>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</si>
  <si>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</si>
  <si>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</si>
  <si>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</si>
  <si>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</si>
  <si>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</si>
  <si>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</si>
  <si>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</si>
  <si>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</si>
  <si>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</si>
  <si>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</si>
  <si>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</si>
  <si>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</si>
  <si>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</si>
  <si>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</si>
  <si>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</si>
  <si>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</si>
  <si>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</si>
  <si>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</si>
  <si>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</si>
  <si>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</si>
  <si>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</si>
  <si>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</si>
  <si>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</si>
  <si>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</si>
  <si>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</si>
  <si>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</si>
  <si>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</si>
  <si>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</si>
  <si>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</si>
  <si>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</si>
  <si>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</si>
  <si>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</si>
  <si>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</si>
  <si>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</si>
  <si>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</si>
  <si>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</si>
  <si>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</si>
  <si>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</si>
  <si>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</si>
  <si>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</si>
  <si>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</si>
  <si>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</si>
  <si>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</si>
  <si>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</si>
  <si>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</si>
  <si>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</si>
  <si>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</si>
  <si>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</si>
  <si>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</si>
  <si>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</si>
  <si>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</si>
  <si>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</si>
  <si>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</si>
  <si>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</si>
  <si>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</si>
  <si>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</si>
  <si>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</si>
  <si>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</si>
  <si>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</si>
  <si>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</si>
  <si>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</si>
  <si>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</si>
  <si>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</si>
  <si>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</si>
  <si>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</si>
  <si>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</si>
  <si>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</si>
  <si>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</si>
  <si>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</si>
  <si>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</si>
  <si>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</si>
  <si>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</si>
  <si>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</si>
  <si>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</si>
  <si>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</si>
  <si>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</si>
  <si>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</si>
  <si>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</si>
  <si>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</si>
  <si>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</si>
  <si>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</si>
  <si>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</si>
  <si>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</si>
  <si>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</si>
  <si>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</si>
  <si>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</si>
  <si>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</si>
  <si>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</si>
  <si>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</si>
  <si>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</si>
  <si>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</si>
  <si>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</si>
  <si>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</si>
  <si>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</si>
  <si>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</si>
  <si>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</si>
  <si>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</si>
  <si>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</si>
  <si>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</si>
  <si>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</si>
  <si>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</si>
  <si>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</si>
  <si>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</si>
  <si>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</si>
  <si>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</si>
  <si>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</si>
  <si>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</si>
  <si>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</si>
  <si>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</si>
  <si>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</si>
  <si>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</si>
  <si>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</si>
  <si>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</si>
  <si>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</si>
  <si>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</si>
  <si>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</si>
  <si>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</si>
  <si>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</si>
  <si>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</si>
  <si>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</si>
  <si>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</si>
  <si>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</si>
  <si>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</si>
  <si>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</si>
  <si>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</si>
  <si>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</si>
  <si>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</si>
  <si>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</si>
  <si>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</si>
  <si>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</si>
  <si>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</si>
  <si>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</si>
  <si>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</si>
  <si>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</si>
  <si>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</si>
  <si>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</si>
  <si>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</si>
  <si>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</si>
  <si>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</si>
  <si>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</si>
  <si>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</si>
  <si>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</si>
  <si>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</si>
  <si>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</si>
  <si>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</si>
  <si>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</si>
  <si>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</si>
  <si>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</si>
  <si>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</si>
  <si>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</si>
  <si>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</si>
  <si>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</si>
  <si>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</si>
  <si>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</si>
  <si>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</si>
  <si>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</si>
  <si>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</si>
  <si>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</si>
  <si>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</si>
  <si>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</si>
  <si>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</si>
  <si>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</si>
  <si>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</si>
  <si>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</si>
  <si>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</si>
  <si>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</si>
  <si>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</si>
  <si>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</si>
  <si>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</si>
  <si>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</si>
  <si>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</si>
  <si>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</si>
  <si>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</si>
  <si>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</si>
  <si>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</si>
  <si>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</si>
  <si>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</si>
  <si>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</si>
  <si>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</si>
  <si>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</si>
  <si>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</si>
  <si>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</si>
  <si>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</si>
  <si>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</si>
  <si>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</si>
  <si>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</si>
  <si>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</si>
  <si>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</si>
  <si>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</si>
  <si>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</si>
  <si>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</si>
  <si>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</si>
  <si>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</si>
  <si>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</si>
  <si>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</si>
  <si>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</si>
  <si>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</si>
  <si>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</si>
  <si>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</si>
  <si>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</si>
  <si>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</si>
  <si>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</si>
  <si>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</si>
  <si>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</si>
  <si>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</si>
  <si>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</si>
  <si>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</si>
  <si>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</si>
  <si>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</si>
  <si>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</si>
  <si>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</si>
  <si>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</si>
  <si>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</si>
  <si>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</si>
  <si>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</si>
  <si>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</si>
  <si>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</si>
  <si>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</si>
  <si>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</si>
  <si>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</si>
  <si>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</si>
  <si>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</si>
  <si>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</si>
  <si>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</si>
  <si>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</si>
  <si>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</si>
  <si>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</si>
  <si>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</si>
  <si>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</si>
  <si>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</si>
  <si>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</si>
  <si>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</si>
  <si>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</si>
  <si>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</si>
  <si>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</si>
  <si>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</si>
  <si>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</si>
  <si>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</si>
  <si>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</si>
  <si>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</si>
  <si>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</si>
  <si>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</si>
  <si>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</si>
  <si>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</si>
  <si>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</si>
  <si>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</si>
  <si>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</si>
  <si>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</si>
  <si>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</si>
  <si>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</si>
  <si>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</si>
  <si>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</si>
  <si>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</si>
  <si>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</si>
  <si>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</si>
  <si>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</si>
  <si>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</si>
  <si>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</si>
  <si>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</si>
  <si>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</si>
  <si>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</si>
  <si>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</si>
  <si>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</si>
  <si>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</si>
  <si>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</si>
  <si>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</si>
  <si>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</si>
  <si>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</si>
  <si>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</si>
  <si>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</si>
  <si>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</si>
  <si>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</si>
  <si>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</si>
  <si>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</si>
  <si>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</si>
  <si>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</si>
  <si>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</si>
  <si>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</si>
  <si>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</si>
  <si>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</si>
  <si>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</si>
  <si>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</si>
  <si>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</si>
  <si>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</si>
  <si>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</si>
  <si>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</si>
  <si>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</si>
  <si>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</si>
  <si>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</si>
  <si>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</si>
  <si>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</si>
  <si>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</si>
  <si>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</si>
  <si>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</si>
  <si>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</si>
  <si>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</si>
  <si>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</si>
  <si>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</si>
  <si>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</si>
  <si>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</si>
  <si>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</si>
  <si>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</si>
  <si>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</si>
  <si>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</si>
  <si>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</si>
  <si>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</si>
  <si>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</si>
  <si>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</si>
  <si>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</si>
  <si>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</si>
  <si>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</si>
  <si>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</si>
  <si>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</si>
  <si>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</si>
  <si>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</si>
  <si>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</si>
  <si>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</si>
  <si>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</si>
  <si>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</si>
  <si>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</si>
  <si>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</si>
  <si>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</si>
  <si>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</si>
  <si>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</si>
  <si>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</si>
  <si>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</si>
  <si>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</si>
  <si>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</si>
  <si>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</si>
  <si>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</si>
  <si>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</si>
  <si>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</si>
  <si>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</si>
  <si>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</si>
  <si>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</si>
  <si>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</si>
  <si>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</si>
  <si>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</si>
  <si>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</si>
  <si>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</si>
  <si>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</si>
  <si>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</si>
  <si>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</si>
  <si>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</si>
  <si>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</si>
  <si>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</si>
  <si>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</si>
  <si>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</si>
  <si>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</si>
  <si>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</si>
  <si>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</si>
  <si>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</si>
  <si>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</si>
  <si>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</si>
  <si>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</si>
  <si>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</si>
  <si>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</si>
  <si>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</si>
  <si>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</si>
  <si>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</si>
  <si>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</si>
  <si>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</si>
  <si>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</si>
  <si>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</si>
  <si>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</si>
  <si>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</si>
  <si>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</si>
  <si>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</si>
  <si>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</si>
  <si>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</si>
  <si>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</si>
  <si>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</si>
  <si>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</si>
  <si>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</si>
  <si>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</si>
  <si>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</si>
  <si>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</si>
  <si>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</si>
  <si>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</si>
  <si>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</si>
  <si>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</si>
  <si>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</si>
  <si>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</si>
  <si>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</si>
  <si>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</si>
  <si>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</si>
  <si>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</si>
  <si>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</si>
  <si>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</si>
  <si>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</si>
  <si>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</si>
  <si>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</si>
  <si>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</si>
  <si>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</si>
  <si>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</si>
  <si>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</si>
  <si>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</si>
  <si>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</si>
  <si>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</si>
  <si>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</si>
  <si>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</si>
  <si>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</si>
  <si>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</si>
  <si>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</si>
  <si>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</si>
  <si>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</si>
  <si>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</si>
  <si>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</si>
  <si>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</si>
  <si>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</si>
  <si>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</si>
  <si>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</si>
  <si>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</si>
  <si>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</si>
  <si>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</si>
  <si>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</si>
  <si>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</si>
  <si>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</si>
  <si>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</si>
  <si>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</si>
  <si>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</si>
  <si>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</si>
  <si>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</si>
  <si>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</si>
  <si>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</si>
  <si>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</si>
  <si>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</si>
  <si>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</si>
  <si>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</si>
  <si>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</si>
  <si>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</si>
  <si>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</si>
  <si>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</si>
  <si>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</si>
  <si>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</si>
  <si>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</si>
  <si>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</si>
  <si>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</si>
  <si>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</si>
  <si>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</si>
  <si>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</si>
  <si>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</si>
  <si>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</si>
  <si>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</si>
  <si>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</si>
  <si>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</si>
  <si>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</si>
  <si>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</si>
  <si>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</si>
  <si>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</si>
  <si>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</si>
  <si>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</si>
  <si>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</si>
  <si>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</si>
  <si>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</si>
  <si>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</si>
  <si>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</si>
  <si>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</si>
  <si>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</si>
  <si>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</si>
  <si>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</si>
  <si>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</si>
  <si>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</si>
  <si>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</si>
  <si>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</si>
  <si>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</si>
  <si>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</si>
  <si>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</si>
  <si>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</si>
  <si>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</si>
  <si>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</si>
  <si>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</si>
  <si>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</si>
  <si>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</si>
  <si>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</si>
  <si>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</si>
  <si>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</si>
  <si>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</si>
  <si>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</si>
  <si>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</si>
  <si>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</si>
  <si>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</si>
  <si>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</si>
  <si>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</si>
  <si>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</si>
  <si>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</si>
  <si>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</si>
  <si>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</si>
  <si>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</si>
  <si>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</si>
  <si>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</si>
  <si>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</si>
  <si>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</si>
  <si>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</si>
  <si>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</si>
  <si>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</si>
  <si>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</si>
  <si>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</si>
  <si>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</si>
  <si>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</si>
  <si>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</si>
  <si>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</si>
  <si>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</si>
  <si>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</si>
  <si>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</si>
  <si>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</si>
  <si>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</si>
  <si>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</si>
  <si>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</si>
  <si>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</si>
  <si>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</si>
  <si>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</si>
  <si>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</si>
  <si>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</si>
  <si>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</si>
  <si>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</si>
  <si>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</si>
  <si>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</si>
  <si>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</si>
  <si>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</si>
  <si>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</si>
  <si>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</si>
  <si>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</si>
  <si>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</si>
  <si>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</si>
  <si>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</si>
  <si>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</si>
  <si>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</si>
  <si>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</si>
  <si>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</si>
  <si>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</si>
  <si>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</si>
  <si>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</si>
  <si>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</si>
  <si>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</si>
  <si>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</si>
  <si>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</si>
  <si>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</si>
  <si>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</si>
  <si>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</si>
  <si>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</si>
  <si>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</si>
  <si>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</si>
  <si>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</si>
  <si>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</si>
  <si>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</si>
  <si>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</si>
  <si>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</si>
  <si>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</si>
  <si>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</si>
  <si>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</si>
  <si>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</si>
  <si>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</si>
  <si>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</si>
  <si>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</si>
  <si>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</si>
  <si>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</si>
  <si>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</si>
  <si>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</si>
  <si>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</si>
  <si>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</si>
  <si>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</si>
  <si>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</si>
  <si>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</si>
  <si>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</si>
  <si>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</si>
  <si>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</si>
  <si>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</si>
  <si>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</si>
  <si>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</si>
  <si>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</si>
  <si>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</si>
  <si>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</si>
  <si>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</si>
  <si>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</si>
  <si>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</si>
  <si>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</si>
  <si>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</si>
  <si>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</si>
  <si>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</si>
  <si>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</si>
  <si>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</si>
  <si>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</si>
  <si>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</si>
  <si>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</si>
  <si>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</si>
  <si>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</si>
  <si>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</si>
  <si>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</si>
  <si>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</si>
  <si>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</si>
  <si>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</si>
  <si>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</si>
  <si>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</si>
  <si>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</si>
  <si>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</si>
  <si>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</si>
  <si>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</si>
  <si>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</si>
  <si>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</si>
  <si>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</si>
  <si>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</si>
  <si>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</si>
  <si>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</si>
  <si>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</si>
  <si>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</si>
  <si>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</si>
  <si>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</si>
  <si>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</si>
  <si>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</si>
  <si>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</si>
  <si>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</si>
  <si>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</si>
  <si>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</si>
  <si>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</si>
  <si>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</si>
  <si>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</si>
  <si>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</si>
  <si>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</si>
  <si>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</si>
  <si>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</si>
  <si>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</si>
  <si>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</si>
  <si>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</si>
  <si>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</si>
  <si>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</si>
  <si>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</si>
  <si>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</si>
  <si>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</si>
  <si>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</si>
  <si>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</si>
  <si>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</si>
  <si>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</si>
  <si>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</si>
  <si>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</si>
  <si>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</si>
  <si>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</si>
  <si>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</si>
  <si>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</si>
  <si>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</si>
  <si>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</si>
  <si>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</si>
  <si>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</si>
  <si>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</si>
  <si>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</si>
  <si>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</si>
  <si>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</si>
  <si>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</si>
  <si>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</si>
  <si>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</si>
  <si>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</si>
  <si>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</si>
  <si>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</si>
  <si>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</si>
  <si>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</si>
  <si>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</si>
  <si>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</si>
  <si>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</si>
  <si>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</si>
  <si>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</si>
  <si>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</si>
  <si>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</si>
  <si>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</si>
  <si>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</si>
  <si>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</si>
  <si>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</si>
  <si>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</si>
  <si>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</si>
  <si>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</si>
  <si>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</si>
  <si>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</si>
  <si>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</si>
  <si>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</si>
  <si>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</si>
  <si>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</si>
  <si>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</si>
  <si>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</si>
  <si>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</si>
  <si>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</si>
  <si>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</si>
  <si>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</si>
  <si>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</si>
  <si>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</si>
  <si>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</si>
  <si>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</si>
  <si>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</si>
  <si>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</si>
  <si>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</si>
  <si>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</si>
  <si>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</si>
  <si>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</si>
  <si>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</si>
  <si>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</si>
  <si>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</si>
  <si>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</si>
  <si>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</si>
  <si>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</si>
  <si>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</si>
  <si>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</si>
  <si>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</si>
  <si>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</si>
  <si>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</si>
  <si>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</si>
  <si>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</si>
  <si>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</si>
  <si>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</si>
  <si>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</si>
  <si>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</si>
  <si>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</si>
  <si>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</si>
  <si>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</si>
  <si>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</si>
  <si>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</si>
  <si>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</si>
  <si>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</si>
  <si>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</si>
  <si>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</si>
  <si>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</si>
  <si>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</si>
  <si>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</si>
  <si>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</si>
  <si>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</si>
  <si>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</si>
  <si>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</si>
  <si>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</si>
  <si>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</si>
  <si>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</si>
  <si>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</si>
  <si>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</si>
  <si>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</si>
  <si>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</si>
  <si>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</si>
  <si>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</si>
  <si>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</si>
  <si>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</si>
  <si>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</si>
  <si>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</si>
  <si>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</si>
  <si>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</si>
  <si>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</si>
  <si>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</si>
  <si>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</si>
  <si>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</si>
  <si>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</si>
  <si>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</si>
  <si>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</si>
  <si>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</si>
  <si>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</si>
  <si>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</si>
  <si>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</si>
  <si>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</si>
  <si>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</si>
  <si>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</si>
  <si>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</si>
  <si>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</si>
  <si>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</si>
  <si>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</si>
  <si>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</si>
  <si>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</si>
  <si>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</si>
  <si>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</si>
  <si>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</si>
  <si>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</si>
  <si>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</si>
  <si>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</si>
  <si>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</si>
  <si>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</si>
  <si>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</si>
  <si>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</si>
  <si>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</si>
  <si>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</si>
  <si>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</si>
  <si>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</si>
  <si>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</si>
  <si>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</si>
  <si>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</si>
  <si>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</si>
  <si>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</si>
  <si>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</si>
  <si>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</si>
  <si>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</si>
  <si>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</si>
  <si>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</si>
  <si>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</si>
  <si>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</si>
  <si>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</si>
  <si>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</si>
  <si>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</si>
  <si>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</si>
  <si>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</si>
  <si>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</si>
  <si>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</si>
  <si>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</si>
  <si>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</si>
  <si>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</si>
  <si>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</si>
  <si>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</si>
  <si>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</si>
  <si>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</si>
  <si>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</si>
  <si>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</si>
  <si>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</si>
  <si>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</si>
  <si>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</si>
  <si>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</si>
  <si>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</si>
  <si>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</si>
  <si>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</si>
  <si>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</si>
  <si>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</si>
  <si>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</si>
  <si>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</si>
  <si>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</si>
  <si>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</si>
  <si>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</si>
  <si>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</si>
  <si>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</si>
  <si>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</si>
  <si>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</si>
  <si>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</si>
  <si>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</si>
  <si>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</si>
  <si>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</si>
  <si>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</si>
  <si>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</si>
  <si>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</si>
  <si>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</si>
  <si>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</si>
  <si>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</si>
  <si>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</si>
  <si>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</si>
  <si>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</si>
  <si>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</si>
  <si>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</si>
  <si>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</si>
  <si>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</si>
  <si>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</si>
  <si>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</si>
  <si>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</si>
  <si>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</si>
  <si>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</si>
  <si>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</si>
  <si>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</si>
  <si>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</si>
  <si>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</si>
  <si>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</si>
  <si>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</si>
  <si>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</si>
  <si>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</si>
  <si>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</si>
  <si>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</si>
  <si>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</si>
  <si>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</si>
  <si>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</si>
  <si>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</si>
  <si>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</si>
  <si>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</si>
  <si>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</si>
  <si>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</si>
  <si>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</si>
  <si>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</si>
  <si>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</si>
  <si>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</si>
  <si>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</si>
  <si>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</si>
  <si>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</si>
  <si>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</si>
  <si>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</si>
  <si>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</si>
  <si>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</si>
  <si>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</si>
  <si>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</si>
  <si>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</si>
  <si>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</si>
  <si>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</si>
  <si>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</si>
  <si>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</si>
  <si>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</si>
  <si>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</si>
  <si>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</si>
  <si>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</si>
  <si>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</si>
  <si>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</si>
  <si>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</si>
  <si>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</si>
  <si>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</si>
  <si>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</si>
  <si>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</si>
  <si>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</si>
  <si>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</si>
  <si>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</si>
  <si>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</si>
  <si>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</si>
  <si>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</si>
  <si>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</si>
  <si>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</si>
  <si>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</si>
  <si>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</si>
  <si>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</si>
  <si>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</si>
  <si>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</si>
  <si>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</si>
  <si>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</si>
  <si>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</si>
  <si>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</si>
  <si>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</si>
  <si>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</si>
  <si>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</si>
  <si>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</si>
  <si>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</si>
  <si>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</si>
  <si>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</si>
  <si>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</si>
  <si>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</si>
  <si>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</si>
  <si>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</si>
  <si>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</si>
  <si>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</si>
  <si>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</si>
  <si>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</si>
  <si>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</si>
  <si>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</si>
  <si>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</si>
  <si>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</si>
  <si>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</si>
  <si>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</si>
  <si>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</si>
  <si>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</si>
  <si>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</si>
  <si>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</si>
  <si>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</si>
  <si>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</si>
  <si>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</si>
  <si>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</si>
  <si>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</si>
  <si>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</si>
  <si>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</si>
  <si>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</si>
  <si>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</si>
  <si>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</si>
  <si>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</si>
  <si>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</si>
  <si>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</si>
  <si>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</si>
  <si>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</si>
  <si>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</si>
  <si>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</si>
  <si>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</si>
  <si>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</si>
  <si>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</si>
  <si>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</si>
  <si>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</si>
  <si>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</si>
  <si>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</si>
  <si>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</si>
  <si>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</si>
  <si>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</si>
  <si>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</si>
  <si>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</si>
  <si>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</si>
  <si>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</si>
  <si>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</si>
  <si>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</si>
  <si>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</si>
  <si>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</si>
  <si>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</si>
  <si>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</si>
  <si>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</si>
  <si>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</si>
  <si>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</si>
  <si>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</si>
  <si>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</si>
  <si>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</si>
  <si>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</si>
  <si>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</si>
  <si>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</si>
  <si>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</si>
  <si>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</si>
  <si>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</si>
  <si>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</si>
  <si>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</si>
  <si>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</si>
  <si>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</si>
  <si>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</si>
  <si>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</si>
  <si>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</si>
  <si>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</si>
  <si>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</si>
  <si>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</si>
  <si>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</si>
  <si>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</si>
  <si>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</si>
  <si>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</si>
  <si>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</si>
  <si>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</si>
  <si>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</si>
  <si>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</si>
  <si>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</si>
  <si>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</si>
  <si>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</si>
  <si>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</si>
  <si>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</si>
  <si>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</si>
  <si>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</si>
  <si>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</si>
  <si>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</si>
  <si>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</si>
  <si>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</si>
  <si>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</si>
  <si>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</si>
  <si>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</si>
  <si>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</si>
  <si>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</si>
  <si>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</si>
  <si>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</si>
  <si>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</si>
  <si>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</si>
  <si>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</si>
  <si>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</si>
  <si>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</si>
  <si>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</si>
  <si>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</si>
  <si>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</si>
  <si>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</si>
  <si>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</si>
  <si>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</si>
  <si>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</si>
  <si>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</si>
  <si>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</si>
  <si>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</si>
  <si>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</si>
  <si>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</si>
  <si>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</si>
  <si>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</si>
  <si>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</si>
  <si>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</si>
  <si>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</si>
  <si>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</si>
  <si>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</si>
  <si>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</si>
  <si>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</si>
  <si>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</si>
  <si>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</si>
  <si>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</si>
  <si>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</si>
  <si>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</si>
  <si>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</si>
  <si>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</si>
  <si>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</si>
  <si>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</si>
  <si>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</si>
  <si>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</si>
  <si>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</si>
  <si>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</si>
  <si>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</si>
  <si>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</si>
  <si>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</si>
  <si>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</si>
  <si>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</si>
  <si>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</si>
  <si>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</si>
  <si>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</si>
  <si>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</si>
  <si>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</si>
  <si>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</si>
  <si>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</si>
  <si>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</si>
  <si>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</si>
  <si>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</si>
  <si>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</si>
  <si>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</si>
  <si>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</si>
  <si>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</si>
  <si>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</si>
  <si>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</si>
  <si>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</si>
  <si>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</si>
  <si>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</si>
  <si>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</si>
  <si>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</si>
  <si>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</si>
  <si>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</si>
  <si>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</si>
  <si>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</si>
  <si>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</si>
  <si>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</si>
  <si>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</si>
  <si>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</si>
  <si>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</si>
  <si>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</si>
  <si>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</si>
  <si>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</si>
  <si>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</si>
  <si>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</si>
  <si>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</si>
  <si>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</si>
  <si>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</si>
  <si>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</si>
  <si>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</si>
  <si>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</si>
  <si>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</si>
  <si>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</si>
  <si>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</si>
  <si>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</si>
  <si>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</si>
  <si>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</si>
  <si>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</si>
  <si>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</si>
  <si>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</si>
  <si>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</si>
  <si>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</si>
  <si>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</si>
  <si>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</si>
  <si>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</si>
  <si>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</si>
  <si>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</si>
  <si>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</si>
  <si>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</si>
  <si>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</si>
  <si>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</si>
  <si>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</si>
  <si>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</si>
  <si>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</si>
  <si>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</si>
  <si>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</si>
  <si>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</si>
  <si>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</si>
  <si>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</si>
  <si>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</si>
  <si>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</si>
  <si>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</si>
  <si>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</si>
  <si>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</si>
  <si>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</si>
  <si>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</si>
  <si>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</si>
  <si>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</si>
  <si>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</si>
  <si>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</si>
  <si>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</si>
  <si>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</si>
  <si>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</si>
  <si>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</si>
  <si>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</si>
  <si>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</si>
  <si>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</si>
  <si>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</si>
  <si>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</si>
  <si>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</si>
  <si>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</si>
  <si>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</si>
  <si>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</si>
  <si>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</si>
  <si>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</si>
  <si>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</si>
  <si>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</si>
  <si>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</si>
  <si>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</si>
  <si>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</si>
  <si>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</si>
  <si>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</si>
  <si>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</si>
  <si>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</si>
  <si>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</si>
  <si>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</si>
  <si>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</si>
  <si>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</si>
  <si>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</si>
  <si>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</si>
  <si>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</si>
  <si>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</si>
  <si>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</si>
  <si>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</si>
  <si>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</si>
  <si>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</si>
  <si>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</si>
  <si>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</si>
  <si>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</si>
  <si>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</si>
  <si>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</si>
  <si>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</si>
  <si>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</si>
  <si>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</si>
  <si>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</si>
  <si>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</si>
  <si>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</si>
  <si>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</si>
  <si>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</si>
  <si>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</si>
  <si>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</si>
  <si>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</si>
  <si>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</si>
  <si>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</si>
  <si>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</si>
  <si>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</si>
  <si>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</si>
  <si>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</si>
  <si>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</si>
  <si>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</si>
  <si>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</si>
  <si>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</si>
  <si>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</si>
  <si>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</si>
  <si>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</si>
  <si>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</si>
  <si>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</si>
  <si>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</si>
  <si>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</si>
  <si>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</si>
  <si>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</si>
  <si>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</si>
  <si>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</si>
  <si>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</si>
  <si>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</si>
  <si>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</si>
  <si>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</si>
  <si>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</si>
  <si>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</si>
  <si>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</si>
  <si>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</si>
  <si>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</si>
  <si>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</si>
  <si>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</si>
  <si>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</si>
  <si>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</si>
  <si>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</si>
  <si>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</si>
  <si>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</si>
  <si>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</si>
  <si>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</si>
  <si>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</si>
  <si>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</si>
  <si>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</si>
  <si>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</si>
  <si>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</si>
  <si>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</si>
  <si>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</si>
  <si>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</si>
  <si>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</si>
  <si>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</si>
  <si>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</si>
  <si>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</si>
  <si>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</si>
  <si>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</si>
  <si>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</si>
  <si>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</si>
  <si>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</si>
  <si>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</si>
  <si>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</si>
  <si>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</si>
  <si>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</si>
  <si>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</si>
  <si>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</si>
  <si>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</si>
  <si>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</si>
  <si>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</si>
  <si>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</si>
  <si>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</si>
  <si>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</si>
  <si>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</si>
  <si>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</si>
  <si>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</si>
  <si>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</si>
  <si>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</si>
  <si>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</si>
  <si>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</si>
  <si>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</si>
  <si>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</si>
  <si>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</si>
  <si>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</si>
  <si>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</si>
  <si>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</si>
  <si>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</si>
  <si>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</si>
  <si>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</si>
  <si>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</si>
  <si>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</si>
  <si>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</si>
  <si>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</si>
  <si>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</si>
  <si>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</si>
  <si>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</si>
  <si>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</si>
  <si>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</si>
  <si>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</si>
  <si>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</si>
  <si>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</si>
  <si>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</si>
  <si>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</si>
  <si>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</si>
  <si>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</si>
  <si>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</si>
  <si>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</si>
  <si>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</si>
  <si>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</si>
  <si>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</si>
  <si>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</si>
  <si>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</si>
  <si>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</si>
  <si>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</si>
  <si>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</si>
  <si>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</si>
  <si>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</si>
  <si>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</si>
  <si>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</si>
  <si>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</si>
  <si>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</si>
  <si>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</si>
  <si>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</si>
  <si>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</si>
  <si>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</si>
  <si>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</si>
  <si>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</si>
  <si>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</si>
  <si>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</si>
  <si>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</si>
  <si>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</si>
  <si>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</si>
  <si>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</si>
  <si>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</si>
  <si>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</si>
  <si>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</si>
  <si>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</si>
  <si>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</si>
  <si>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</si>
  <si>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</si>
  <si>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</si>
  <si>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</si>
  <si>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</si>
  <si>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</si>
  <si>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</si>
  <si>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</si>
  <si>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</si>
  <si>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</si>
  <si>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</si>
  <si>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</si>
  <si>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</si>
  <si>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</si>
  <si>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</si>
  <si>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</si>
  <si>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</si>
  <si>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</si>
  <si>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</si>
  <si>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</si>
  <si>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</si>
  <si>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</si>
  <si>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</si>
  <si>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</si>
  <si>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</si>
  <si>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</si>
  <si>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</si>
  <si>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</si>
  <si>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</si>
  <si>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</si>
  <si>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</si>
  <si>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</si>
  <si>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</si>
  <si>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</si>
  <si>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</si>
  <si>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</si>
  <si>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</si>
  <si>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</si>
  <si>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</si>
  <si>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</si>
  <si>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</si>
  <si>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</si>
  <si>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</si>
  <si>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</si>
  <si>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</si>
  <si>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</si>
  <si>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</si>
  <si>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</si>
  <si>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</si>
  <si>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</si>
  <si>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</si>
  <si>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</si>
  <si>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</si>
  <si>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</si>
  <si>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</si>
  <si>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</si>
  <si>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</si>
  <si>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</si>
  <si>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</si>
  <si>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</si>
  <si>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</si>
  <si>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</si>
  <si>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</si>
  <si>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</si>
  <si>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</si>
  <si>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</si>
  <si>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</si>
  <si>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</si>
  <si>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</si>
  <si>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</si>
  <si>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</si>
  <si>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</si>
  <si>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</si>
  <si>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</si>
  <si>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</si>
  <si>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</si>
  <si>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</si>
  <si>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</si>
  <si>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</si>
  <si>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</si>
  <si>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</si>
  <si>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</si>
  <si>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</si>
  <si>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</si>
  <si>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</si>
  <si>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</si>
  <si>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</si>
  <si>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</si>
  <si>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</si>
  <si>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</si>
  <si>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</si>
  <si>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</si>
  <si>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</si>
  <si>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</si>
  <si>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</si>
  <si>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</si>
  <si>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</si>
  <si>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</si>
  <si>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</si>
  <si>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</si>
  <si>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</si>
  <si>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</si>
  <si>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</si>
  <si>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</si>
  <si>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</si>
  <si>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</si>
  <si>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</si>
  <si>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</si>
  <si>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</si>
  <si>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</si>
  <si>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</si>
  <si>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</si>
  <si>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</si>
  <si>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</si>
  <si>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</si>
  <si>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</si>
  <si>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</si>
  <si>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</si>
  <si>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</si>
  <si>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</si>
  <si>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</si>
  <si>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</si>
  <si>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</si>
  <si>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</si>
  <si>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</si>
  <si>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</si>
  <si>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</si>
  <si>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</si>
  <si>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</si>
  <si>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</si>
  <si>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</si>
  <si>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</si>
  <si>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</si>
  <si>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</si>
  <si>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</si>
  <si>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</si>
  <si>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</si>
  <si>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</si>
  <si>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</si>
  <si>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</si>
  <si>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</si>
  <si>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</si>
  <si>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</si>
  <si>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</si>
  <si>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</si>
  <si>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</si>
  <si>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</si>
  <si>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</si>
  <si>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</si>
  <si>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</si>
  <si>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</si>
  <si>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</si>
  <si>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</si>
  <si>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</si>
  <si>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</si>
  <si>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</si>
  <si>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</si>
  <si>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</si>
  <si>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</si>
  <si>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</si>
  <si>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</si>
  <si>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</si>
  <si>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</si>
  <si>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</si>
  <si>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</si>
  <si>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</si>
  <si>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</si>
  <si>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</si>
  <si>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</si>
  <si>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</si>
  <si>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</si>
  <si>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</si>
  <si>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</si>
  <si>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</si>
  <si>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</si>
  <si>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</si>
  <si>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</si>
  <si>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</si>
  <si>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</si>
  <si>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</si>
  <si>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</si>
  <si>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</si>
  <si>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</si>
  <si>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</si>
  <si>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</si>
  <si>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</si>
  <si>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</si>
  <si>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</si>
  <si>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</si>
  <si>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</si>
  <si>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</si>
  <si>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</si>
  <si>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</si>
  <si>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</si>
  <si>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</si>
  <si>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</si>
  <si>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</si>
  <si>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</si>
  <si>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</si>
  <si>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</si>
  <si>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</si>
  <si>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</si>
  <si>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</si>
  <si>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</si>
  <si>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</si>
  <si>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</si>
  <si>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</si>
  <si>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</si>
  <si>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</si>
  <si>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</si>
  <si>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</si>
  <si>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</si>
  <si>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</si>
  <si>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</si>
  <si>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</si>
  <si>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</si>
  <si>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</si>
  <si>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</si>
  <si>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</si>
  <si>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</si>
  <si>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</si>
  <si>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</si>
  <si>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</si>
  <si>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</si>
  <si>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</si>
  <si>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</si>
  <si>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</si>
  <si>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</si>
  <si>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</si>
  <si>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</si>
  <si>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</si>
  <si>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</si>
  <si>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</si>
  <si>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</si>
  <si>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</si>
  <si>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</si>
  <si>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</si>
  <si>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</si>
  <si>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</si>
  <si>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</si>
  <si>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</si>
  <si>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</si>
  <si>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</si>
  <si>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</si>
  <si>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</si>
  <si>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</si>
  <si>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</si>
  <si>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</si>
  <si>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</si>
  <si>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</si>
  <si>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</si>
  <si>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</si>
  <si>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</si>
  <si>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</si>
  <si>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</si>
  <si>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</si>
  <si>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</si>
  <si>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</si>
  <si>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</si>
  <si>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</si>
  <si>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</si>
  <si>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</si>
  <si>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</si>
  <si>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</si>
  <si>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</si>
  <si>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</si>
  <si>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</si>
  <si>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</si>
  <si>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</si>
  <si>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</si>
  <si>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</si>
  <si>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</si>
  <si>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</si>
  <si>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</si>
  <si>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</si>
  <si>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</si>
  <si>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</si>
  <si>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</si>
  <si>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</si>
  <si>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</si>
  <si>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</si>
  <si>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</si>
  <si>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</si>
  <si>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</si>
  <si>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</si>
  <si>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</si>
  <si>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</si>
  <si>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</si>
  <si>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</si>
  <si>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</si>
  <si>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</si>
  <si>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</si>
  <si>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</si>
  <si>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</si>
  <si>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</si>
  <si>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</si>
  <si>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</si>
  <si>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</si>
  <si>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</si>
  <si>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</si>
  <si>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</si>
  <si>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</si>
  <si>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</si>
  <si>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</si>
  <si>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</si>
  <si>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</si>
  <si>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</si>
  <si>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</si>
  <si>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</si>
  <si>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</si>
  <si>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</si>
  <si>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</si>
  <si>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</si>
  <si>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</si>
  <si>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</si>
  <si>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</si>
  <si>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</si>
  <si>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</si>
  <si>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</si>
  <si>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</si>
  <si>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</si>
  <si>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</si>
  <si>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</si>
  <si>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</si>
  <si>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</si>
  <si>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</si>
  <si>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</si>
  <si>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</si>
  <si>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</si>
  <si>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</si>
  <si>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</si>
  <si>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</si>
  <si>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</si>
  <si>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</si>
  <si>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</si>
  <si>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</si>
  <si>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</si>
  <si>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</si>
  <si>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</si>
  <si>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</si>
  <si>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</si>
  <si>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</si>
  <si>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</si>
  <si>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</si>
  <si>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</si>
  <si>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</si>
  <si>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</si>
  <si>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</si>
  <si>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</si>
  <si>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</si>
  <si>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</si>
  <si>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</si>
  <si>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</si>
  <si>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</si>
  <si>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</si>
  <si>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</si>
  <si>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</si>
  <si>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</si>
  <si>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</si>
  <si>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</si>
  <si>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</si>
  <si>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</si>
  <si>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</si>
  <si>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</si>
  <si>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</si>
  <si>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</si>
  <si>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</si>
  <si>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</si>
  <si>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</si>
  <si>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</si>
  <si>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</si>
  <si>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</si>
  <si>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</si>
  <si>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</si>
  <si>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</si>
  <si>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</si>
  <si>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</si>
  <si>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</si>
  <si>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</si>
  <si>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</si>
  <si>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</si>
  <si>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</si>
  <si>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</si>
  <si>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</si>
  <si>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</si>
  <si>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</si>
  <si>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</si>
  <si>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</si>
  <si>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</si>
  <si>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</si>
  <si>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</si>
  <si>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</si>
  <si>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</si>
  <si>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</si>
  <si>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</si>
  <si>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</si>
  <si>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</si>
  <si>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</si>
  <si>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</si>
  <si>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</si>
  <si>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</si>
  <si>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</si>
  <si>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</si>
  <si>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</si>
  <si>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</si>
  <si>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</si>
  <si>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</si>
  <si>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</si>
  <si>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</si>
  <si>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</si>
  <si>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</si>
  <si>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</si>
  <si>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</si>
  <si>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</si>
  <si>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</si>
  <si>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</si>
  <si>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</si>
  <si>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</si>
  <si>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</si>
  <si>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</si>
  <si>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</si>
  <si>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</si>
  <si>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</si>
  <si>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</si>
  <si>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</si>
  <si>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</si>
  <si>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</si>
  <si>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</si>
  <si>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</si>
  <si>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</si>
  <si>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</si>
  <si>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</si>
  <si>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</si>
  <si>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</si>
  <si>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</si>
  <si>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</si>
  <si>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</si>
  <si>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</si>
  <si>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</si>
  <si>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</si>
  <si>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</si>
  <si>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</si>
  <si>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</si>
  <si>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</si>
  <si>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</si>
  <si>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</si>
  <si>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</si>
  <si>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</si>
  <si>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</si>
  <si>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</si>
  <si>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</si>
  <si>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</si>
  <si>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</si>
  <si>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</si>
  <si>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</si>
  <si>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</si>
  <si>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</si>
  <si>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</si>
  <si>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</si>
  <si>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</si>
  <si>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</si>
  <si>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</si>
  <si>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</si>
  <si>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</si>
  <si>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</si>
  <si>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</si>
  <si>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</si>
  <si>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</si>
  <si>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</si>
  <si>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</si>
  <si>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</si>
  <si>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</si>
  <si>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</si>
  <si>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</si>
  <si>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</si>
  <si>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</si>
  <si>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</si>
  <si>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</si>
  <si>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</si>
  <si>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</si>
  <si>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</si>
  <si>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</si>
  <si>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</si>
  <si>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</si>
  <si>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</si>
  <si>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</si>
  <si>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</si>
  <si>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</si>
  <si>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</si>
  <si>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</si>
  <si>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</si>
  <si>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</si>
  <si>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</si>
  <si>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</si>
  <si>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</si>
  <si>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</si>
  <si>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</si>
  <si>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</si>
  <si>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</si>
  <si>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</si>
  <si>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</si>
  <si>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</si>
  <si>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</si>
  <si>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</si>
  <si>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</si>
  <si>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</si>
  <si>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</si>
  <si>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</si>
  <si>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</si>
  <si>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</si>
  <si>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</si>
  <si>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</si>
  <si>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</si>
  <si>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</si>
  <si>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</si>
  <si>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</si>
  <si>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</si>
  <si>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</si>
  <si>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</si>
  <si>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</si>
  <si>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</si>
  <si>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</si>
  <si>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</si>
  <si>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</si>
  <si>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</si>
  <si>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</si>
  <si>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</si>
  <si>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</si>
  <si>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</si>
  <si>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</si>
  <si>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</si>
  <si>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</si>
  <si>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</si>
  <si>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</si>
  <si>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</si>
  <si>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</si>
  <si>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</si>
  <si>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</si>
  <si>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</si>
  <si>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</si>
  <si>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</si>
  <si>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</si>
  <si>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</si>
  <si>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</si>
  <si>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</si>
  <si>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</si>
  <si>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</si>
  <si>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</si>
  <si>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</si>
  <si>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</si>
  <si>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</si>
  <si>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</si>
  <si>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</si>
  <si>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</si>
  <si>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</si>
  <si>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</si>
  <si>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</si>
  <si>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</si>
  <si>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</si>
  <si>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</si>
  <si>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</si>
  <si>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</si>
  <si>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</si>
  <si>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</si>
  <si>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</si>
  <si>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</si>
  <si>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</si>
  <si>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</si>
  <si>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</si>
  <si>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</si>
  <si>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</si>
  <si>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</si>
  <si>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</si>
  <si>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</si>
  <si>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</si>
  <si>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</si>
  <si>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</si>
  <si>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</si>
  <si>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</si>
  <si>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</si>
  <si>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</si>
  <si>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</si>
  <si>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</si>
  <si>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</si>
  <si>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</si>
  <si>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</si>
  <si>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</si>
  <si>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</si>
  <si>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</si>
  <si>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</si>
  <si>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</si>
  <si>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</si>
  <si>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</si>
  <si>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</si>
  <si>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</si>
  <si>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</si>
  <si>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</si>
  <si>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</si>
  <si>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</si>
  <si>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</si>
  <si>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</si>
  <si>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</si>
  <si>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</si>
  <si>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</si>
  <si>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</si>
  <si>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</si>
  <si>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</si>
  <si>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</si>
  <si>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</si>
  <si>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</si>
  <si>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</si>
  <si>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</si>
  <si>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</si>
  <si>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</si>
  <si>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</si>
  <si>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</si>
  <si>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</si>
  <si>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</si>
  <si>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</si>
  <si>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</si>
  <si>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</si>
  <si>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</si>
  <si>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</si>
  <si>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</si>
  <si>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</si>
  <si>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</si>
  <si>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</si>
  <si>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</si>
  <si>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</si>
  <si>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</si>
  <si>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</si>
  <si>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</si>
  <si>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</si>
  <si>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</si>
  <si>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</si>
  <si>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</si>
  <si>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</si>
  <si>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</si>
  <si>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</si>
  <si>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</si>
  <si>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</si>
  <si>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</si>
  <si>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</si>
  <si>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</si>
  <si>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</si>
  <si>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</si>
  <si>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</si>
  <si>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</si>
  <si>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</si>
  <si>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</si>
  <si>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</si>
  <si>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</si>
  <si>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</si>
  <si>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</si>
  <si>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</si>
  <si>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</si>
  <si>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</si>
  <si>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</si>
  <si>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</si>
  <si>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</si>
  <si>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</si>
  <si>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</si>
  <si>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</si>
  <si>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</si>
  <si>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</si>
  <si>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</si>
  <si>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</si>
  <si>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</si>
  <si>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</si>
  <si>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</si>
  <si>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</si>
  <si>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</si>
  <si>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</si>
  <si>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</si>
  <si>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</si>
  <si>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</si>
  <si>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</si>
  <si>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</si>
  <si>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</si>
  <si>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</si>
  <si>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</si>
  <si>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</si>
  <si>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</si>
  <si>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</si>
  <si>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</si>
  <si>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</si>
  <si>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</si>
  <si>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</si>
  <si>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</si>
  <si>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</si>
  <si>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</si>
  <si>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</si>
  <si>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</si>
  <si>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</si>
  <si>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</si>
  <si>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</si>
  <si>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</si>
  <si>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</si>
  <si>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</si>
  <si>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</si>
  <si>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</si>
  <si>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</si>
  <si>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</si>
  <si>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</si>
  <si>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</si>
  <si>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</si>
  <si>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</si>
  <si>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</si>
  <si>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</si>
  <si>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</si>
  <si>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</si>
  <si>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</si>
  <si>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</si>
  <si>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</si>
  <si>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</si>
  <si>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</si>
  <si>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</si>
  <si>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</si>
  <si>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</si>
  <si>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</si>
  <si>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</si>
  <si>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</si>
  <si>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</si>
  <si>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</si>
  <si>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</si>
  <si>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</si>
  <si>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</si>
  <si>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</si>
  <si>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</si>
  <si>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</si>
  <si>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</si>
  <si>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</si>
  <si>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</si>
  <si>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</si>
  <si>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</si>
  <si>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</si>
  <si>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</si>
  <si>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</si>
  <si>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</si>
  <si>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</si>
  <si>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</si>
  <si>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</si>
  <si>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</si>
  <si>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</si>
  <si>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</si>
  <si>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</si>
  <si>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</si>
  <si>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</si>
  <si>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</si>
  <si>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</si>
  <si>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</si>
  <si>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</si>
  <si>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</si>
  <si>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</si>
  <si>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</si>
  <si>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</si>
  <si>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</si>
  <si>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</si>
  <si>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</si>
  <si>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</si>
  <si>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</si>
  <si>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</si>
  <si>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</si>
  <si>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</si>
  <si>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</si>
  <si>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</si>
  <si>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</si>
  <si>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</si>
  <si>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</si>
  <si>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</si>
  <si>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</si>
  <si>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</si>
  <si>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</si>
  <si>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</si>
  <si>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</si>
  <si>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</si>
  <si>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</si>
  <si>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</si>
  <si>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</si>
  <si>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</si>
  <si>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</si>
  <si>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</si>
  <si>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</si>
  <si>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</si>
  <si>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</si>
  <si>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</si>
  <si>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</si>
  <si>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</si>
  <si>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</si>
  <si>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</si>
  <si>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</si>
  <si>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</si>
  <si>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</si>
  <si>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</si>
  <si>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</si>
  <si>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</si>
  <si>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</si>
  <si>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</si>
  <si>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</si>
  <si>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</si>
  <si>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</si>
  <si>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</si>
  <si>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</si>
  <si>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</si>
  <si>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</si>
  <si>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</si>
  <si>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</si>
  <si>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</si>
  <si>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</si>
  <si>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</si>
  <si>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</si>
  <si>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</si>
  <si>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</si>
  <si>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</si>
  <si>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</si>
  <si>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</si>
  <si>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</si>
  <si>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</si>
  <si>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</si>
  <si>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</si>
  <si>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</si>
  <si>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</si>
  <si>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</si>
  <si>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</si>
  <si>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</si>
  <si>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</si>
  <si>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</si>
  <si>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</si>
  <si>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</si>
  <si>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</si>
  <si>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</si>
  <si>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</si>
  <si>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</si>
  <si>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</si>
  <si>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</si>
  <si>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</si>
  <si>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</si>
  <si>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</si>
  <si>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</si>
  <si>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</si>
  <si>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</si>
  <si>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</si>
  <si>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</si>
  <si>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</si>
  <si>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</si>
  <si>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</si>
  <si>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</si>
  <si>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</si>
  <si>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</si>
  <si>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</si>
  <si>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</si>
  <si>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</si>
  <si>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</si>
  <si>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</si>
  <si>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</si>
  <si>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</si>
  <si>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</si>
  <si>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</si>
  <si>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</si>
  <si>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</si>
  <si>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</si>
  <si>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</si>
  <si>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</si>
  <si>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</si>
  <si>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</si>
  <si>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</si>
  <si>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</si>
  <si>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</si>
  <si>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</si>
  <si>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</si>
  <si>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</si>
  <si>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</si>
  <si>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</si>
  <si>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</si>
  <si>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</si>
  <si>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</si>
  <si>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</si>
  <si>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</si>
  <si>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</si>
  <si>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</si>
  <si>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</si>
  <si>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</si>
  <si>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</si>
  <si>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</si>
  <si>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</si>
  <si>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</si>
  <si>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</si>
  <si>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</si>
  <si>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</si>
  <si>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</si>
  <si>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</si>
  <si>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</si>
  <si>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</si>
  <si>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</si>
  <si>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</si>
  <si>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</si>
  <si>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</si>
  <si>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</si>
  <si>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</si>
  <si>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</si>
  <si>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</si>
  <si>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</si>
  <si>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</si>
  <si>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</si>
  <si>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</si>
  <si>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</si>
  <si>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</si>
  <si>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</si>
  <si>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</si>
  <si>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</si>
  <si>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</si>
  <si>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</si>
  <si>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</si>
  <si>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</si>
  <si>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</si>
  <si>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</si>
  <si>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</si>
  <si>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</si>
  <si>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</si>
  <si>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</si>
  <si>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</si>
  <si>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</si>
  <si>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</si>
  <si>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</si>
  <si>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</si>
  <si>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</si>
  <si>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</si>
  <si>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</si>
  <si>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</si>
  <si>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</si>
  <si>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</si>
  <si>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</si>
  <si>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</si>
  <si>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</si>
  <si>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</si>
  <si>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</si>
  <si>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</si>
  <si>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</si>
  <si>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</si>
  <si>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</si>
  <si>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</si>
  <si>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</si>
  <si>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</si>
  <si>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</si>
  <si>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</si>
  <si>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</si>
  <si>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</si>
  <si>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</si>
  <si>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</si>
  <si>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</si>
  <si>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</si>
  <si>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</si>
  <si>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</si>
  <si>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</si>
  <si>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</si>
  <si>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</si>
  <si>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</si>
  <si>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</si>
  <si>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</si>
  <si>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</si>
  <si>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</si>
  <si>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</si>
  <si>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</si>
  <si>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</si>
  <si>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</si>
  <si>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</si>
  <si>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</si>
  <si>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</si>
  <si>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</si>
  <si>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</si>
  <si>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</si>
  <si>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</si>
  <si>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</si>
  <si>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</si>
  <si>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</si>
  <si>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</si>
  <si>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</si>
  <si>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</si>
  <si>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</si>
  <si>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</si>
  <si>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</si>
  <si>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</si>
  <si>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</si>
  <si>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</si>
  <si>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</si>
  <si>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</si>
  <si>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</si>
  <si>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</si>
  <si>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</si>
  <si>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</si>
  <si>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</si>
  <si>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</si>
  <si>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</si>
  <si>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</si>
  <si>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</si>
  <si>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</si>
  <si>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</si>
  <si>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</si>
  <si>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</si>
  <si>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</si>
  <si>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</si>
  <si>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</si>
  <si>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</si>
  <si>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</si>
  <si>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</si>
  <si>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</si>
  <si>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</si>
  <si>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</si>
  <si>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</si>
  <si>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</si>
  <si>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</si>
  <si>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</si>
  <si>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</si>
  <si>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</si>
  <si>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</si>
  <si>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</si>
  <si>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</si>
  <si>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</si>
  <si>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</si>
  <si>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</si>
  <si>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</si>
  <si>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</si>
  <si>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</si>
  <si>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</si>
  <si>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</si>
  <si>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</si>
  <si>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</si>
  <si>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</si>
  <si>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</si>
  <si>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</si>
  <si>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</si>
  <si>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</si>
  <si>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</si>
  <si>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</si>
  <si>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</si>
  <si>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</si>
  <si>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</si>
  <si>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</si>
  <si>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</si>
  <si>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</si>
  <si>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</si>
  <si>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</si>
  <si>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</si>
  <si>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</si>
  <si>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</si>
  <si>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</si>
  <si>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</si>
  <si>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</si>
  <si>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</si>
  <si>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</si>
  <si>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</si>
  <si>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</si>
  <si>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</si>
  <si>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</si>
  <si>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</si>
  <si>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</si>
  <si>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</si>
  <si>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</si>
  <si>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</si>
  <si>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</si>
  <si>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</si>
  <si>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</si>
  <si>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</si>
  <si>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</si>
  <si>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</si>
  <si>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</si>
  <si>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</si>
  <si>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</si>
  <si>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</si>
  <si>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</si>
  <si>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</si>
  <si>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</si>
  <si>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</si>
  <si>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</si>
  <si>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</si>
  <si>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</si>
  <si>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</si>
  <si>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</si>
  <si>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</si>
  <si>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</si>
  <si>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</si>
  <si>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</si>
  <si>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</si>
  <si>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</si>
  <si>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</si>
  <si>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</si>
  <si>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</si>
  <si>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</si>
  <si>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</si>
  <si>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</si>
  <si>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</si>
  <si>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</si>
  <si>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</si>
  <si>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</si>
  <si>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</si>
  <si>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</si>
  <si>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</si>
  <si>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</si>
  <si>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</si>
  <si>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</si>
  <si>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</si>
  <si>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</si>
  <si>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</si>
  <si>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</si>
  <si>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</si>
  <si>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</si>
  <si>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</si>
  <si>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</si>
  <si>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</si>
  <si>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</si>
  <si>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</si>
  <si>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</si>
  <si>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</si>
  <si>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</si>
  <si>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</si>
  <si>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</si>
  <si>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</si>
  <si>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</si>
  <si>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</si>
  <si>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</si>
  <si>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</si>
  <si>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</si>
  <si>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</si>
  <si>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</si>
  <si>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</si>
  <si>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</si>
  <si>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</si>
  <si>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</si>
  <si>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</si>
  <si>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</si>
  <si>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</si>
  <si>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</si>
  <si>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</si>
  <si>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</si>
  <si>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</si>
  <si>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</si>
  <si>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</si>
  <si>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</si>
  <si>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</si>
  <si>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</si>
  <si>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</si>
  <si>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</si>
  <si>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</si>
  <si>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</si>
  <si>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</si>
  <si>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</si>
  <si>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</si>
  <si>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</si>
  <si>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</si>
  <si>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</si>
  <si>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</si>
  <si>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</si>
  <si>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</si>
  <si>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</si>
  <si>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</si>
  <si>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</si>
  <si>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</si>
  <si>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</si>
  <si>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</si>
  <si>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</si>
  <si>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</si>
  <si>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</si>
  <si>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</si>
  <si>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</si>
  <si>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</si>
  <si>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</si>
  <si>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</si>
  <si>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</si>
  <si>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</si>
  <si>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</si>
  <si>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</si>
  <si>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</si>
  <si>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</si>
  <si>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</si>
  <si>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</si>
  <si>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</si>
  <si>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</si>
  <si>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</si>
  <si>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</si>
  <si>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</si>
  <si>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</si>
  <si>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</si>
  <si>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</si>
  <si>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</si>
  <si>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</si>
  <si>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</si>
  <si>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</si>
  <si>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</si>
  <si>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</si>
  <si>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</si>
  <si>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</si>
  <si>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</si>
  <si>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</si>
  <si>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</si>
  <si>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</si>
  <si>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</si>
  <si>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</si>
  <si>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</si>
  <si>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</si>
  <si>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</si>
  <si>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</si>
  <si>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</si>
  <si>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</si>
  <si>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</si>
  <si>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</si>
  <si>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</si>
  <si>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</si>
  <si>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</si>
  <si>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</si>
  <si>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</si>
  <si>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</si>
  <si>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</si>
  <si>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</si>
  <si>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</si>
  <si>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</si>
  <si>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</si>
  <si>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</si>
  <si>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</si>
  <si>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</si>
  <si>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</si>
  <si>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</si>
  <si>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</si>
  <si>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</si>
  <si>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</si>
  <si>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</si>
  <si>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</si>
  <si>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</si>
  <si>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</si>
  <si>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</si>
  <si>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</si>
  <si>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</si>
  <si>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</si>
  <si>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</si>
  <si>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</si>
  <si>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</si>
  <si>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</si>
  <si>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</si>
  <si>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</si>
  <si>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</si>
  <si>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</si>
  <si>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</si>
  <si>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</si>
  <si>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</si>
  <si>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</si>
  <si>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</si>
  <si>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</si>
  <si>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</si>
  <si>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</si>
  <si>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</si>
  <si>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</si>
  <si>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</si>
  <si>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</si>
  <si>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</si>
  <si>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</si>
  <si>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</si>
  <si>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</si>
  <si>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</si>
  <si>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</si>
  <si>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</si>
  <si>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</si>
  <si>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</si>
  <si>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</si>
  <si>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</si>
  <si>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</si>
  <si>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</si>
  <si>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</si>
  <si>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</si>
  <si>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</si>
  <si>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</si>
  <si>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</si>
  <si>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</si>
  <si>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</si>
  <si>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</si>
  <si>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</si>
  <si>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</si>
  <si>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</si>
  <si>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</si>
  <si>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</si>
  <si>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</si>
  <si>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</si>
  <si>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</si>
  <si>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</si>
  <si>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</si>
  <si>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</si>
  <si>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</si>
  <si>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</si>
  <si>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</si>
  <si>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</si>
  <si>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</si>
  <si>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</si>
  <si>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</si>
  <si>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</si>
  <si>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</si>
  <si>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</si>
  <si>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</si>
  <si>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</si>
  <si>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</si>
  <si>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</si>
  <si>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</si>
  <si>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</si>
  <si>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</si>
  <si>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</si>
  <si>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</si>
  <si>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</si>
  <si>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</si>
  <si>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</si>
  <si>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</si>
  <si>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</si>
  <si>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</si>
  <si>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</si>
  <si>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</si>
  <si>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</si>
  <si>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</si>
  <si>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</si>
  <si>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</si>
  <si>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</si>
  <si>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</si>
  <si>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</si>
  <si>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</si>
  <si>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</si>
  <si>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</si>
  <si>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</si>
  <si>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</si>
  <si>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</si>
  <si>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</si>
  <si>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</si>
  <si>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</si>
  <si>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</si>
  <si>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</si>
  <si>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</si>
  <si>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</si>
  <si>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</si>
  <si>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</si>
  <si>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</si>
  <si>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</si>
  <si>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</si>
  <si>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</si>
  <si>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</si>
  <si>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</si>
  <si>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</si>
  <si>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</si>
  <si>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</si>
  <si>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</si>
  <si>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</si>
  <si>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</si>
  <si>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</si>
  <si>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</si>
  <si>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</si>
  <si>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</si>
  <si>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</si>
  <si>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</si>
  <si>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</si>
  <si>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</si>
  <si>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</si>
  <si>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</si>
  <si>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</si>
  <si>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</si>
  <si>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</si>
  <si>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</si>
  <si>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</si>
  <si>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</si>
  <si>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</si>
  <si>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</si>
  <si>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</si>
  <si>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</si>
  <si>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</si>
  <si>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</si>
  <si>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</si>
  <si>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</si>
  <si>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</si>
  <si>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</si>
  <si>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</si>
  <si>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</si>
  <si>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</si>
  <si>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</si>
  <si>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</si>
  <si>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</si>
  <si>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</si>
  <si>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</si>
  <si>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</si>
  <si>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</si>
  <si>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</si>
  <si>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</si>
  <si>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</si>
  <si>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</si>
  <si>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</si>
  <si>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</si>
  <si>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</si>
  <si>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</si>
  <si>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</si>
  <si>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</si>
  <si>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</si>
  <si>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</si>
  <si>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</si>
  <si>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</si>
  <si>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</si>
  <si>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</si>
  <si>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</si>
  <si>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</si>
  <si>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</si>
  <si>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</si>
  <si>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</si>
  <si>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</si>
  <si>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</si>
  <si>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</si>
  <si>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</si>
  <si>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</si>
  <si>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</si>
  <si>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</si>
  <si>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</si>
  <si>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</si>
  <si>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</si>
  <si>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</si>
  <si>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</si>
  <si>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</si>
  <si>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</si>
  <si>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</si>
  <si>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</si>
  <si>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</si>
  <si>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</si>
  <si>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</si>
  <si>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</si>
  <si>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</si>
  <si>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</si>
  <si>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</si>
  <si>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</si>
  <si>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</si>
  <si>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</si>
  <si>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</si>
  <si>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</si>
  <si>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</si>
  <si>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</si>
  <si>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</si>
  <si>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</si>
  <si>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</si>
  <si>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</si>
  <si>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</si>
  <si>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</si>
  <si>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</si>
  <si>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</si>
  <si>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</si>
  <si>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</si>
  <si>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</si>
  <si>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</si>
  <si>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</si>
  <si>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</si>
  <si>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</si>
  <si>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</si>
  <si>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</si>
  <si>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</si>
  <si>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</si>
  <si>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</si>
  <si>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</si>
  <si>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</si>
  <si>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</si>
  <si>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</si>
  <si>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</si>
  <si>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</si>
  <si>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</si>
  <si>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</si>
  <si>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</si>
  <si>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</si>
  <si>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</si>
  <si>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</si>
  <si>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</si>
  <si>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</si>
  <si>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</si>
  <si>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</si>
  <si>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</si>
  <si>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</si>
  <si>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</si>
  <si>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</si>
  <si>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</si>
  <si>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</si>
  <si>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</si>
  <si>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</si>
  <si>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</si>
  <si>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</si>
  <si>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</si>
  <si>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</si>
  <si>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</si>
  <si>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</si>
  <si>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</si>
  <si>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</si>
  <si>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</si>
  <si>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</si>
  <si>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</si>
  <si>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</si>
  <si>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</si>
  <si>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</si>
  <si>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</si>
  <si>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</si>
  <si>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</si>
  <si>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</si>
  <si>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</si>
  <si>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</si>
  <si>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</si>
  <si>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</si>
  <si>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</si>
  <si>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</si>
  <si>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</si>
  <si>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</si>
  <si>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</si>
  <si>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</si>
  <si>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</si>
  <si>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</si>
  <si>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</si>
  <si>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</si>
  <si>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</si>
  <si>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</si>
  <si>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</si>
  <si>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</si>
  <si>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</si>
  <si>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</si>
  <si>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</si>
  <si>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</si>
  <si>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</si>
  <si>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</si>
  <si>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</si>
  <si>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</si>
  <si>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</si>
  <si>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</si>
  <si>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</si>
  <si>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</si>
  <si>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</si>
  <si>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</si>
  <si>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</si>
  <si>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</si>
  <si>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</si>
  <si>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</si>
  <si>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</si>
  <si>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</si>
  <si>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</si>
  <si>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</si>
  <si>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</si>
  <si>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</si>
  <si>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</si>
  <si>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</si>
  <si>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</si>
  <si>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</si>
  <si>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</si>
  <si>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</si>
  <si>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</si>
  <si>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</si>
  <si>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</si>
  <si>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</si>
  <si>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</si>
  <si>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</si>
  <si>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</si>
  <si>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</si>
  <si>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</si>
  <si>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</si>
  <si>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</si>
  <si>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</si>
  <si>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</si>
  <si>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</si>
  <si>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</si>
  <si>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</si>
  <si>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</si>
  <si>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</si>
  <si>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</si>
  <si>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</si>
  <si>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</si>
  <si>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</si>
  <si>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</si>
  <si>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</si>
  <si>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</si>
  <si>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</si>
  <si>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</si>
  <si>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</si>
  <si>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</si>
  <si>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</si>
  <si>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</si>
  <si>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</si>
  <si>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</si>
  <si>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</si>
  <si>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</si>
  <si>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</si>
  <si>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</si>
  <si>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</si>
  <si>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</si>
  <si>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</si>
  <si>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</si>
  <si>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</si>
  <si>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</si>
  <si>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</si>
  <si>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</si>
  <si>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</si>
  <si>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</si>
  <si>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</si>
  <si>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</si>
  <si>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</si>
  <si>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</si>
  <si>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</si>
  <si>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</si>
  <si>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</si>
  <si>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</si>
  <si>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</si>
  <si>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</si>
  <si>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</si>
  <si>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</si>
  <si>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</si>
  <si>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</si>
  <si>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</si>
  <si>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</si>
  <si>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</si>
  <si>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</si>
  <si>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</si>
  <si>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</si>
  <si>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</si>
  <si>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</si>
  <si>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</si>
  <si>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</si>
  <si>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</si>
  <si>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</si>
  <si>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</si>
  <si>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</si>
  <si>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</si>
  <si>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</si>
  <si>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</si>
  <si>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</si>
  <si>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</si>
  <si>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</si>
  <si>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</si>
  <si>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</si>
  <si>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</si>
  <si>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</si>
  <si>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</si>
  <si>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</si>
  <si>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</si>
  <si>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</si>
  <si>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</si>
  <si>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</si>
  <si>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</si>
  <si>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</si>
  <si>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</si>
  <si>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</si>
  <si>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</si>
  <si>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</si>
  <si>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</si>
  <si>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</si>
  <si>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</si>
  <si>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</si>
  <si>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</si>
  <si>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</si>
  <si>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</si>
  <si>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</si>
  <si>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</si>
  <si>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</si>
  <si>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</si>
  <si>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</si>
  <si>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</si>
  <si>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</si>
  <si>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</si>
  <si>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</si>
  <si>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</si>
  <si>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</si>
  <si>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</si>
  <si>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</si>
  <si>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</si>
  <si>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</si>
  <si>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</si>
  <si>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</si>
  <si>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</si>
  <si>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</si>
  <si>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</si>
  <si>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</si>
  <si>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</si>
  <si>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</si>
  <si>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</si>
  <si>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王鹏</t>
  </si>
  <si>
    <t>郑燚</t>
  </si>
  <si>
    <t>抵押</t>
  </si>
  <si>
    <t>房地产抵押价值</t>
  </si>
  <si>
    <t>其他：</t>
  </si>
  <si>
    <t>企业</t>
  </si>
  <si>
    <t>出让</t>
  </si>
  <si>
    <r>
      <t>2层</t>
    </r>
    <r>
      <rPr>
        <sz val="11"/>
        <color theme="1"/>
        <rFont val="宋体"/>
        <family val="3"/>
        <charset val="134"/>
        <scheme val="minor"/>
      </rPr>
      <t>201</t>
    </r>
    <phoneticPr fontId="140" type="noConversion"/>
  </si>
  <si>
    <t>坐落</t>
    <phoneticPr fontId="140" type="noConversion"/>
  </si>
  <si>
    <t>面积</t>
    <phoneticPr fontId="140" type="noConversion"/>
  </si>
  <si>
    <r>
      <t>2层</t>
    </r>
    <r>
      <rPr>
        <sz val="11"/>
        <color theme="1"/>
        <rFont val="宋体"/>
        <family val="3"/>
        <charset val="134"/>
        <scheme val="minor"/>
      </rPr>
      <t>209</t>
    </r>
    <phoneticPr fontId="140" type="noConversion"/>
  </si>
  <si>
    <t>2层215</t>
    <phoneticPr fontId="140" type="noConversion"/>
  </si>
  <si>
    <t>2层221</t>
    <phoneticPr fontId="140" type="noConversion"/>
  </si>
  <si>
    <t>负一层</t>
    <phoneticPr fontId="140" type="noConversion"/>
  </si>
  <si>
    <t>6层</t>
  </si>
  <si>
    <t>6层</t>
    <phoneticPr fontId="140" type="noConversion"/>
  </si>
  <si>
    <t>3层301</t>
    <phoneticPr fontId="140" type="noConversion"/>
  </si>
  <si>
    <t>3层309</t>
    <phoneticPr fontId="140" type="noConversion"/>
  </si>
  <si>
    <t>3层315</t>
    <phoneticPr fontId="140" type="noConversion"/>
  </si>
  <si>
    <t>3层321</t>
    <phoneticPr fontId="140" type="noConversion"/>
  </si>
  <si>
    <t>4层401</t>
    <phoneticPr fontId="140" type="noConversion"/>
  </si>
  <si>
    <t>4层409</t>
    <phoneticPr fontId="140" type="noConversion"/>
  </si>
  <si>
    <t>4层415</t>
    <phoneticPr fontId="140" type="noConversion"/>
  </si>
  <si>
    <t>4层221</t>
    <phoneticPr fontId="140" type="noConversion"/>
  </si>
  <si>
    <t>5层501</t>
    <phoneticPr fontId="140" type="noConversion"/>
  </si>
  <si>
    <t>5层509</t>
    <phoneticPr fontId="140" type="noConversion"/>
  </si>
  <si>
    <t>5层</t>
  </si>
  <si>
    <t>5层515</t>
    <phoneticPr fontId="140" type="noConversion"/>
  </si>
  <si>
    <t>5层521</t>
    <phoneticPr fontId="140" type="noConversion"/>
  </si>
  <si>
    <t>1层101</t>
    <phoneticPr fontId="140" type="noConversion"/>
  </si>
  <si>
    <t>1层109</t>
    <phoneticPr fontId="140" type="noConversion"/>
  </si>
  <si>
    <t>1层115</t>
    <phoneticPr fontId="140" type="noConversion"/>
  </si>
  <si>
    <t>1层121</t>
    <phoneticPr fontId="140" type="noConversion"/>
  </si>
  <si>
    <t>1层</t>
  </si>
  <si>
    <t>1层</t>
    <phoneticPr fontId="140" type="noConversion"/>
  </si>
  <si>
    <t>2层</t>
  </si>
  <si>
    <t>2层</t>
    <phoneticPr fontId="140" type="noConversion"/>
  </si>
  <si>
    <t>3层</t>
  </si>
  <si>
    <t>4层</t>
  </si>
  <si>
    <t>—1层</t>
  </si>
  <si>
    <t>—1层</t>
    <phoneticPr fontId="140" type="noConversion"/>
  </si>
  <si>
    <t>6层</t>
    <phoneticPr fontId="140" type="noConversion"/>
  </si>
  <si>
    <t>商业</t>
    <phoneticPr fontId="3" type="noConversion"/>
  </si>
  <si>
    <t>是</t>
  </si>
  <si>
    <t>地上</t>
  </si>
  <si>
    <t>地下</t>
  </si>
  <si>
    <t>成新度</t>
  </si>
  <si>
    <t>楼层</t>
    <phoneticPr fontId="3" type="noConversion"/>
  </si>
  <si>
    <t>面积</t>
    <phoneticPr fontId="3" type="noConversion"/>
  </si>
  <si>
    <t>系数</t>
    <phoneticPr fontId="3" type="noConversion"/>
  </si>
  <si>
    <t>租金</t>
    <phoneticPr fontId="3" type="noConversion"/>
  </si>
  <si>
    <t>收益法</t>
  </si>
  <si>
    <t>未包含在土地购买价格中</t>
  </si>
  <si>
    <t>全部缴纳</t>
  </si>
  <si>
    <t>已包含在土地取得成本中</t>
  </si>
  <si>
    <t>押二</t>
  </si>
  <si>
    <t>按租金收入计税</t>
  </si>
  <si>
    <t>钢混</t>
  </si>
  <si>
    <t>非生产用房</t>
  </si>
  <si>
    <t>否</t>
  </si>
  <si>
    <t>成本法</t>
  </si>
  <si>
    <t>总价</t>
  </si>
  <si>
    <t>成本比率</t>
  </si>
  <si>
    <t>利息：取LPR</t>
  </si>
  <si>
    <t>地块名称</t>
  </si>
  <si>
    <t>城市</t>
  </si>
  <si>
    <t>用地性质</t>
  </si>
  <si>
    <t>建设用地面积(㎡)</t>
  </si>
  <si>
    <t>规划建筑面积(㎡)</t>
  </si>
  <si>
    <t>容积率</t>
  </si>
  <si>
    <t>出让方式</t>
  </si>
  <si>
    <t>详细规划</t>
  </si>
  <si>
    <t>集中供地</t>
  </si>
  <si>
    <t>成交日期</t>
  </si>
  <si>
    <t>成交状态</t>
  </si>
  <si>
    <t>受让单位</t>
  </si>
  <si>
    <t>成交价(万元)</t>
  </si>
  <si>
    <t>成交楼面价(元/㎡)</t>
  </si>
  <si>
    <t>溢价率(%)</t>
  </si>
  <si>
    <t>合肥市</t>
  </si>
  <si>
    <t>肥东县桥头集镇竹塘村</t>
  </si>
  <si>
    <t>商业/办公用地</t>
  </si>
  <si>
    <t>大于1并且小于或等于1.1</t>
  </si>
  <si>
    <t>挂牌</t>
  </si>
  <si>
    <t>其他商服用地</t>
  </si>
  <si>
    <t>2021/6/20:00:43</t>
  </si>
  <si>
    <t>已成交</t>
  </si>
  <si>
    <t>安徽颜雨春卫生科技研发有限公司</t>
  </si>
  <si>
    <t>合肥东部新城核心区得心路与亲水路交口西北角</t>
  </si>
  <si>
    <t>大于1并且小于或等于3.5</t>
  </si>
  <si>
    <t>商务金融用地</t>
  </si>
  <si>
    <t>2020/7/10:00:43</t>
  </si>
  <si>
    <t>合肥市众友建筑安装工程有限公司</t>
  </si>
  <si>
    <t>合肥东部新城核心区山水路与亲水路交口西南角</t>
  </si>
  <si>
    <t>安徽鑫源建设集团有限公司</t>
  </si>
  <si>
    <t>店埠镇包公大道与长山路交口西北侧</t>
  </si>
  <si>
    <t>小于或等于4.5</t>
  </si>
  <si>
    <t>2020/1/100:00:43</t>
  </si>
  <si>
    <t>肥东县恒创置业有限责任公司</t>
  </si>
  <si>
    <t>肥东县桥头集镇龙光村</t>
  </si>
  <si>
    <t>小于或等于1.2</t>
  </si>
  <si>
    <t>餐饮用地</t>
  </si>
  <si>
    <t>2019/9/270:00:43</t>
  </si>
  <si>
    <t>肥东蓝山湾文化旅游发展有限公司</t>
  </si>
  <si>
    <t>牌坊乡牌坊社区境内</t>
  </si>
  <si>
    <t>小于或等于1</t>
  </si>
  <si>
    <t>2019/8/290:00:43</t>
  </si>
  <si>
    <t>安徽肥东农村商业银行股份有限公司</t>
  </si>
  <si>
    <t>马湖乡沙河村境内</t>
  </si>
  <si>
    <t>拍卖</t>
  </si>
  <si>
    <t>2019/8/90:00:43</t>
  </si>
  <si>
    <t>中国石化销售股份有限公司安徽合肥石油分公司</t>
  </si>
  <si>
    <t>众兴乡花灯社区石三路西侧</t>
  </si>
  <si>
    <t>≤1.6</t>
  </si>
  <si>
    <t>2019/5/300:00:43</t>
  </si>
  <si>
    <t>安徽锦天红园林工程有限公司</t>
  </si>
  <si>
    <t>撮镇路与瑶岗路交口东南角</t>
  </si>
  <si>
    <t>&gt;1且≤4.8</t>
  </si>
  <si>
    <t>2019/5/150:00:43</t>
  </si>
  <si>
    <t>肥东县城乡建设投资有限公司</t>
  </si>
  <si>
    <t>肥东县众兴乡花灯社区石三路西侧</t>
  </si>
  <si>
    <t>&gt;1,≤1.6</t>
  </si>
  <si>
    <t>住宿餐饮用地</t>
  </si>
  <si>
    <t>≥1且≤2.2</t>
  </si>
  <si>
    <t>2018/5/110:00:43</t>
  </si>
  <si>
    <t>合肥明豪酒店管理有限公司</t>
  </si>
  <si>
    <t>肥东经开区包公大道与燎原路交口西北侧</t>
  </si>
  <si>
    <t>≤1.1</t>
  </si>
  <si>
    <t>批发零售用地</t>
  </si>
  <si>
    <t>2018/4/120:00:43</t>
  </si>
  <si>
    <t>安徽风之星投资控股有限责任公司</t>
  </si>
  <si>
    <t>长临河镇罗店社区店忠路东侧</t>
  </si>
  <si>
    <t>≤0.3</t>
  </si>
  <si>
    <t>交通服务设施、加油加气站</t>
  </si>
  <si>
    <t>合肥交通投资控股有限公司</t>
  </si>
  <si>
    <t>肥东经开区包公大道与金阳路交口西北侧</t>
  </si>
  <si>
    <t>2018/3/290:00:43</t>
  </si>
  <si>
    <t>合肥远景昊源汽车销售服务有限公司</t>
  </si>
  <si>
    <t>肥东经开区包公大道与燎原路交口东北侧</t>
  </si>
  <si>
    <t>淮南中骏汽车销售服务有限公司</t>
  </si>
  <si>
    <t>店埠镇桥头集路与公园路交口西南侧</t>
  </si>
  <si>
    <t>≤1.5</t>
  </si>
  <si>
    <t>合肥市恒阳置业有限公司</t>
  </si>
  <si>
    <t>店埠镇龙城路与太子山路交口东南角</t>
  </si>
  <si>
    <t>≤1</t>
  </si>
  <si>
    <t>2018/1/120:00:43</t>
  </si>
  <si>
    <t>安徽皖通高速公路股份有限公司</t>
  </si>
  <si>
    <t>肥东经开区新安江路与祥和路交口西南侧</t>
  </si>
  <si>
    <t>≤2.5</t>
  </si>
  <si>
    <t>安徽金煌建设集团有限公司</t>
  </si>
  <si>
    <t>肥东经开区护城路与临泉东路交口西北角</t>
  </si>
  <si>
    <t>≤2</t>
  </si>
  <si>
    <t>安徽皖信人力资源管理有限公司</t>
  </si>
  <si>
    <t>安徽东锦园林股份有限公司</t>
  </si>
  <si>
    <t>肥东县杨店乡向阳村合相路西侧</t>
  </si>
  <si>
    <t>加油加气站用地≤0.3,交通场站用地≤0.4</t>
  </si>
  <si>
    <t>交通场站、加油加气站用地</t>
  </si>
  <si>
    <t>2017/10/160:00:43</t>
  </si>
  <si>
    <t>肥东经开区包公大道与长山路交口东北角</t>
  </si>
  <si>
    <t>≤7.5</t>
  </si>
  <si>
    <t>2017/8/160:00:43</t>
  </si>
  <si>
    <t>文一地产有限公司</t>
  </si>
  <si>
    <t>肥东经开区包公大道与金阳路交口西北角</t>
  </si>
  <si>
    <t>商业(汽车4S店)</t>
  </si>
  <si>
    <t>2017/6/90:00:43</t>
  </si>
  <si>
    <t>安徽省骏迪汽车销售有限公司</t>
  </si>
  <si>
    <t>安徽永林汽车销售有限公司</t>
  </si>
  <si>
    <t>安徽金龙汽车销售有限责任公司</t>
  </si>
  <si>
    <t>中升(大连)集团有限公司</t>
  </si>
  <si>
    <t>撮镇镇裕溪路北侧</t>
  </si>
  <si>
    <t>≤4</t>
  </si>
  <si>
    <t>2017/5/100:00:43</t>
  </si>
  <si>
    <t>安徽省文一投资控股集团肥东置业有限公司</t>
  </si>
  <si>
    <t>正常</t>
  </si>
  <si>
    <t>撮镇大费东风大道与女山湖路交口西南角</t>
    <phoneticPr fontId="140" type="noConversion"/>
  </si>
  <si>
    <t>合肥东部新城核心区得心路与亲水路交口西北角</t>
    <phoneticPr fontId="3" type="noConversion"/>
  </si>
  <si>
    <t>商业</t>
    <phoneticPr fontId="31" type="noConversion"/>
  </si>
  <si>
    <t>自持</t>
    <phoneticPr fontId="31" type="noConversion"/>
  </si>
  <si>
    <t>无</t>
    <phoneticPr fontId="31" type="noConversion"/>
  </si>
  <si>
    <t>一般</t>
  </si>
  <si>
    <t>较好</t>
  </si>
  <si>
    <t>六通</t>
  </si>
  <si>
    <t>较规则</t>
    <phoneticPr fontId="31" type="noConversion"/>
  </si>
  <si>
    <t>较好</t>
    <phoneticPr fontId="31" type="noConversion"/>
  </si>
  <si>
    <t>六通</t>
    <phoneticPr fontId="31" type="noConversion"/>
  </si>
  <si>
    <t>合肥东部新城核心区山水路与亲水路交口西南角</t>
    <phoneticPr fontId="3" type="noConversion"/>
  </si>
  <si>
    <t>撮镇路与瑶岗路交口东南角</t>
    <phoneticPr fontId="3" type="noConversion"/>
  </si>
  <si>
    <r>
      <t>市调华盛广场1层租金</t>
    </r>
    <r>
      <rPr>
        <sz val="11"/>
        <color theme="1"/>
        <rFont val="宋体"/>
        <family val="3"/>
        <charset val="134"/>
        <scheme val="minor"/>
      </rPr>
      <t>70/月</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</si>
</sst>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5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98" fillId="0" borderId="0" xfId="0" applyFont="1">
      <alignment vertical="center"/>
    </xf>
    <xf numFmtId="0" fontId="79" fillId="0" borderId="1" xfId="0" applyFont="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0" fontId="0" fillId="0" borderId="0" xfId="0"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7" applyNumberFormat="1" applyAlignment="1">
      <alignment horizontal="left"/>
    </xf>
    <xf numFmtId="14" fontId="255" fillId="0" borderId="0" xfId="17" applyNumberFormat="1" applyAlignment="1">
      <alignment horizontal="left"/>
    </xf>
    <xf numFmtId="0" fontId="255" fillId="5" borderId="0" xfId="17" applyNumberFormat="1" applyFill="1" applyAlignment="1">
      <alignment horizontal="left"/>
    </xf>
    <xf numFmtId="14" fontId="255" fillId="5" borderId="0" xfId="17" applyNumberFormat="1" applyFill="1" applyAlignment="1">
      <alignment horizontal="left"/>
    </xf>
    <xf numFmtId="0" fontId="0" fillId="5" borderId="0" xfId="0" applyFill="1" applyAlignment="1">
      <alignment horizontal="left" vertical="center"/>
    </xf>
    <xf numFmtId="0" fontId="218" fillId="0" borderId="3" xfId="0"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9</xdr:col>
      <xdr:colOff>836964</xdr:colOff>
      <xdr:row>71</xdr:row>
      <xdr:rowOff>161048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600700"/>
          <a:ext cx="9895239" cy="7019048"/>
        </a:xfrm>
        <a:prstGeom prst="rect">
          <a:avLst/>
        </a:prstGeom>
      </xdr:spPr>
    </xdr:pic>
    <xdr:clientData/>
  </xdr:twoCellAnchor>
  <xdr:twoCellAnchor editAs="oneCell">
    <xdr:from>
      <xdr:col>0</xdr:col>
      <xdr:colOff>0</xdr:colOff>
      <xdr:row>73</xdr:row>
      <xdr:rowOff>0</xdr:rowOff>
    </xdr:from>
    <xdr:to>
      <xdr:col>10</xdr:col>
      <xdr:colOff>532097</xdr:colOff>
      <xdr:row>115</xdr:row>
      <xdr:rowOff>141958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801600"/>
          <a:ext cx="10428572" cy="73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208410</xdr:colOff>
      <xdr:row>9</xdr:row>
      <xdr:rowOff>75998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23810" cy="1619048"/>
        </a:xfrm>
        <a:prstGeom prst="rect">
          <a:avLst/>
        </a:prstGeom>
      </xdr:spPr>
    </xdr:pic>
    <xdr:clientData/>
  </xdr:twoCellAnchor>
  <xdr:twoCellAnchor editAs="oneCell">
    <xdr:from>
      <xdr:col>0</xdr:col>
      <xdr:colOff>0</xdr:colOff>
      <xdr:row>10</xdr:row>
      <xdr:rowOff>0</xdr:rowOff>
    </xdr:from>
    <xdr:to>
      <xdr:col>13</xdr:col>
      <xdr:colOff>227458</xdr:colOff>
      <xdr:row>19</xdr:row>
      <xdr:rowOff>56950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9142858" cy="1600000"/>
        </a:xfrm>
        <a:prstGeom prst="rect">
          <a:avLst/>
        </a:prstGeom>
      </xdr:spPr>
    </xdr:pic>
    <xdr:clientData/>
  </xdr:twoCellAnchor>
  <xdr:twoCellAnchor editAs="oneCell">
    <xdr:from>
      <xdr:col>0</xdr:col>
      <xdr:colOff>0</xdr:colOff>
      <xdr:row>19</xdr:row>
      <xdr:rowOff>123825</xdr:rowOff>
    </xdr:from>
    <xdr:to>
      <xdr:col>13</xdr:col>
      <xdr:colOff>332220</xdr:colOff>
      <xdr:row>28</xdr:row>
      <xdr:rowOff>123632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381375"/>
          <a:ext cx="9247620" cy="1542857"/>
        </a:xfrm>
        <a:prstGeom prst="rect">
          <a:avLst/>
        </a:prstGeom>
      </xdr:spPr>
    </xdr:pic>
    <xdr:clientData/>
  </xdr:twoCellAnchor>
  <xdr:twoCellAnchor editAs="oneCell">
    <xdr:from>
      <xdr:col>0</xdr:col>
      <xdr:colOff>0</xdr:colOff>
      <xdr:row>29</xdr:row>
      <xdr:rowOff>0</xdr:rowOff>
    </xdr:from>
    <xdr:to>
      <xdr:col>13</xdr:col>
      <xdr:colOff>322696</xdr:colOff>
      <xdr:row>37</xdr:row>
      <xdr:rowOff>66495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4972050"/>
          <a:ext cx="9238096" cy="1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房地产抵押价值预评估</v>
      </c>
    </row>
    <row r="3" spans="1:2" s="1336" customFormat="1">
      <c r="A3" s="1334" t="s">
        <v>1129</v>
      </c>
      <c r="B3" s="1335">
        <f>'预评函-封皮'!B40</f>
        <v>0</v>
      </c>
    </row>
    <row r="4" spans="1:2" s="1336" customFormat="1">
      <c r="A4" s="1334" t="s">
        <v>1130</v>
      </c>
      <c r="B4" s="1335" t="str">
        <f ca="1">'预评函-封皮'!B46</f>
        <v>王鹏（注册号：0)、郑燚（注册号：1120070131)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受贵公司委托，我公司对房地产抵押价值进行了预评估。</v>
      </c>
    </row>
    <row r="7" spans="1:2" s="1336" customFormat="1">
      <c r="A7" s="1334" t="s">
        <v>1172</v>
      </c>
      <c r="B7" s="1335" t="str">
        <f>'预评函-1'!A7</f>
        <v>估价对象为房地产，为所有。根据《国有土地使用证》[]，估价对象（分摊）出让国有建设用地使用权面积为57307平方米，建筑面积为171669.99平方米。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估价对象为房地产,属开发建设的，该项目尚在开发建设中。根据《国有土地使用证》[]，估价对象（分摊）出让国有建设用地使用权面积为57307平方米，规划建筑面积为171669.99平方米。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2022年4月11日（评估专业人员实地查勘之日）</v>
      </c>
    </row>
    <row r="13" spans="1:2" s="1336" customFormat="1">
      <c r="A13" s="1334" t="s">
        <v>1135</v>
      </c>
      <c r="B13" s="1335" t="str">
        <f>'预评函-1'!A18</f>
        <v>本次估价的“房地产价值”是指在正常市场情况下，在价值时点2022年4月11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91978</v>
      </c>
    </row>
    <row r="21" spans="1:2" s="1336" customFormat="1">
      <c r="A21" s="1334" t="s">
        <v>1143</v>
      </c>
      <c r="B21" s="1335">
        <f ca="1">'预评函-2'!D7</f>
        <v>5358</v>
      </c>
    </row>
    <row r="22" spans="1:2" s="1336" customFormat="1">
      <c r="A22" s="1334" t="s">
        <v>1144</v>
      </c>
      <c r="B22" s="1335" t="str">
        <f ca="1">'预评函-2'!D6</f>
        <v>玖亿壹仟玖佰柒拾捌万元整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91978</v>
      </c>
    </row>
    <row r="31" spans="1:2" s="1336" customFormat="1">
      <c r="A31" s="1334" t="s">
        <v>1182</v>
      </c>
      <c r="B31" s="1335">
        <f ca="1">'预评函-2'!D15</f>
        <v>5358</v>
      </c>
    </row>
    <row r="32" spans="1:2" s="1336" customFormat="1">
      <c r="A32" s="1334" t="s">
        <v>1149</v>
      </c>
      <c r="B32" s="1335" t="str">
        <f ca="1">'预评函-2'!D14</f>
        <v>玖亿壹仟玖佰柒拾捌万元整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房地产</v>
      </c>
    </row>
    <row r="42" spans="1:2" s="1336" customFormat="1">
      <c r="A42" s="1334" t="s">
        <v>1196</v>
      </c>
      <c r="B42" s="1335" t="str">
        <f>'预评函-3'!B2</f>
        <v>建筑面积</v>
      </c>
    </row>
    <row r="43" spans="1:2" s="1336" customFormat="1">
      <c r="A43" s="1334" t="s">
        <v>1197</v>
      </c>
      <c r="B43" s="1335">
        <f>'预评函-3'!B4</f>
        <v>171669.99</v>
      </c>
    </row>
    <row r="44" spans="1:2" s="1336" customFormat="1">
      <c r="A44" s="1334" t="s">
        <v>1181</v>
      </c>
      <c r="B44" s="1335" t="str">
        <f>'预评函-3'!C2</f>
        <v>(分摊)土地面积</v>
      </c>
    </row>
    <row r="45" spans="1:2" s="1336" customFormat="1">
      <c r="A45" s="1334" t="s">
        <v>1153</v>
      </c>
      <c r="B45" s="1335">
        <f>'预评函-3'!C4</f>
        <v>57307</v>
      </c>
    </row>
    <row r="46" spans="1:2" s="1336" customFormat="1">
      <c r="A46" s="1334" t="s">
        <v>1179</v>
      </c>
      <c r="B46" s="1335" t="str">
        <f>'预评函-3'!D2</f>
        <v>出让国有建设用地使用权价值</v>
      </c>
    </row>
    <row r="47" spans="1:2" s="1336" customFormat="1">
      <c r="A47" s="1334" t="s">
        <v>1154</v>
      </c>
      <c r="B47" s="1335">
        <f ca="1">'预评函-3'!D4</f>
        <v>13429</v>
      </c>
    </row>
    <row r="48" spans="1:2" s="1336" customFormat="1">
      <c r="A48" s="1334" t="s">
        <v>1155</v>
      </c>
      <c r="B48" s="1335">
        <f ca="1">'预评函-3'!E4</f>
        <v>782</v>
      </c>
    </row>
    <row r="49" spans="1:2" s="1336" customFormat="1">
      <c r="A49" s="1334" t="s">
        <v>1156</v>
      </c>
      <c r="B49" s="1335" t="str">
        <f ca="1">'预评函-3'!D5</f>
        <v>壹亿叁仟肆佰贰拾玖万元整</v>
      </c>
    </row>
    <row r="50" spans="1:2" s="1336" customFormat="1">
      <c r="A50" s="1334" t="s">
        <v>1180</v>
      </c>
      <c r="B50" s="1335" t="str">
        <f>'预评函-3'!F2</f>
        <v>在建建筑物价值</v>
      </c>
    </row>
    <row r="51" spans="1:2" s="1336" customFormat="1">
      <c r="A51" s="1334" t="s">
        <v>1157</v>
      </c>
      <c r="B51" s="1335">
        <f ca="1">'预评函-3'!F4</f>
        <v>78549</v>
      </c>
    </row>
    <row r="52" spans="1:2" s="1336" customFormat="1">
      <c r="A52" s="1334" t="s">
        <v>1158</v>
      </c>
      <c r="B52" s="1335">
        <f ca="1">'预评函-3'!G4</f>
        <v>4576</v>
      </c>
    </row>
    <row r="53" spans="1:2" s="1336" customFormat="1">
      <c r="A53" s="1334" t="s">
        <v>1186</v>
      </c>
      <c r="B53" s="1335" t="str">
        <f ca="1">'预评函-3'!F5</f>
        <v>柒亿捌仟伍佰肆拾玖万元整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王鹏</v>
      </c>
    </row>
    <row r="71" spans="1:2">
      <c r="A71" s="1334" t="s">
        <v>1169</v>
      </c>
      <c r="B71" s="1335">
        <f ca="1">'预评函-4'!B4</f>
        <v>0</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2970</v>
      </c>
      <c r="C17" s="1701"/>
    </row>
    <row r="18" spans="1:3">
      <c r="A18" s="1700" t="s">
        <v>1672</v>
      </c>
      <c r="B18" s="1700" t="s">
        <v>3114</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52"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1708" t="s">
        <v>832</v>
      </c>
      <c r="C54" s="1705" t="s">
        <v>1189</v>
      </c>
    </row>
    <row r="55" spans="1:4">
      <c r="A55" s="3252"/>
      <c r="B55" s="1708" t="s">
        <v>833</v>
      </c>
      <c r="C55" s="1705" t="s">
        <v>1190</v>
      </c>
    </row>
    <row r="56" spans="1:4">
      <c r="A56" s="3252"/>
      <c r="B56" s="1708" t="s">
        <v>834</v>
      </c>
      <c r="C56" s="1705" t="s">
        <v>1194</v>
      </c>
    </row>
    <row r="57" spans="1:4">
      <c r="A57" s="3252"/>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1" sqref="G21"/>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2854</v>
      </c>
      <c r="B1" s="3261" t="str">
        <f>IF(B10="北京市","北京市",C10)&amp;F10&amp;IF(结果表!G1="在建","出让国有建设用地使用权及在建建筑物",IF(结果表!G1="土地","出让国有建设用地使用权",))&amp;B9&amp;"预评估"</f>
        <v>房地产抵押价值预评估</v>
      </c>
      <c r="C1" s="3262"/>
      <c r="D1" s="3262"/>
      <c r="E1" s="3262"/>
      <c r="F1" s="3262"/>
      <c r="G1" s="3262"/>
      <c r="H1" s="3262"/>
      <c r="I1" s="3263"/>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房地产抵押价值</v>
      </c>
      <c r="T1" s="1900"/>
      <c r="U1" s="1900"/>
      <c r="V1" s="1900"/>
      <c r="W1" s="1900"/>
      <c r="X1" s="1900"/>
      <c r="Y1" s="1900"/>
      <c r="Z1" s="1900"/>
      <c r="AA1" s="1900"/>
      <c r="AB1" s="1900"/>
    </row>
    <row r="2" spans="1:28">
      <c r="A2" s="2560" t="s">
        <v>2855</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房地产</v>
      </c>
      <c r="T2" s="1900"/>
      <c r="U2" s="1900"/>
      <c r="V2" s="1900"/>
      <c r="W2" s="1900"/>
      <c r="X2" s="1900"/>
      <c r="Y2" s="1900"/>
      <c r="Z2" s="1900"/>
      <c r="AA2" s="1900"/>
      <c r="AB2" s="1900"/>
    </row>
    <row r="3" spans="1:28">
      <c r="A3" s="308" t="s">
        <v>2856</v>
      </c>
      <c r="B3" s="2566">
        <v>44662</v>
      </c>
      <c r="C3" s="2567" t="s">
        <v>2857</v>
      </c>
      <c r="D3" s="2566">
        <v>44662</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2858</v>
      </c>
      <c r="B4" s="2568" t="s">
        <v>3119</v>
      </c>
      <c r="C4" s="2569">
        <f ca="1">SUMIF(注册房地产估价师,B4,估价师及机构信息!B3:B24)</f>
        <v>0</v>
      </c>
      <c r="D4" s="2568" t="s">
        <v>3120</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王鹏（注册号：0)、郑燚（注册号：1120070131)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2859</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2860</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2861</v>
      </c>
      <c r="B7" s="2580"/>
      <c r="C7" s="2578"/>
      <c r="D7" s="2579"/>
      <c r="E7" s="2858"/>
      <c r="F7" s="2860"/>
      <c r="G7" s="2860"/>
      <c r="H7" s="2860"/>
      <c r="I7" s="2860"/>
      <c r="J7" s="2634"/>
      <c r="K7" s="2811"/>
      <c r="L7" s="2808"/>
      <c r="M7" s="2808"/>
      <c r="N7" s="2634"/>
      <c r="O7" s="2645"/>
      <c r="P7" s="2634"/>
      <c r="Q7" s="2634"/>
      <c r="R7" s="2634"/>
    </row>
    <row r="8" spans="1:28">
      <c r="A8" s="2581" t="s">
        <v>2862</v>
      </c>
      <c r="B8" s="2582" t="s">
        <v>3121</v>
      </c>
      <c r="C8" s="2583"/>
      <c r="D8" s="3264" t="s">
        <v>2863</v>
      </c>
      <c r="E8" s="2584" t="s">
        <v>3122</v>
      </c>
      <c r="F8" s="2585"/>
      <c r="G8" s="2859"/>
      <c r="H8" s="2859"/>
      <c r="I8" s="2859"/>
      <c r="J8" s="2634"/>
      <c r="K8" s="2809"/>
      <c r="L8" s="2808"/>
      <c r="M8" s="2808"/>
      <c r="N8" s="2634"/>
      <c r="O8" s="2645"/>
      <c r="P8" s="2634"/>
      <c r="Q8" s="2634"/>
      <c r="R8" s="2634"/>
    </row>
    <row r="9" spans="1:28" ht="13.5" thickBot="1">
      <c r="A9" s="2586" t="s">
        <v>2864</v>
      </c>
      <c r="B9" s="2587" t="s">
        <v>3122</v>
      </c>
      <c r="C9" s="2588"/>
      <c r="D9" s="3265"/>
      <c r="E9" s="2587" t="s">
        <v>70</v>
      </c>
      <c r="F9" s="2589"/>
      <c r="G9" s="2861"/>
      <c r="H9" s="2861"/>
      <c r="I9" s="2861"/>
      <c r="J9" s="2634"/>
      <c r="K9" s="2811"/>
      <c r="L9" s="2808"/>
      <c r="M9" s="2808"/>
      <c r="N9" s="2634"/>
      <c r="O9" s="2645"/>
      <c r="P9" s="2634"/>
      <c r="Q9" s="2634"/>
      <c r="R9" s="2634"/>
    </row>
    <row r="10" spans="1:28" ht="13.5" thickTop="1">
      <c r="A10" s="2590" t="s">
        <v>2865</v>
      </c>
      <c r="B10" s="2591" t="s">
        <v>3123</v>
      </c>
      <c r="C10" s="2592"/>
      <c r="D10" s="2575"/>
      <c r="E10" s="2593" t="s">
        <v>2866</v>
      </c>
      <c r="F10" s="2862"/>
      <c r="G10" s="2863"/>
      <c r="H10" s="2864"/>
      <c r="I10" s="2865"/>
      <c r="J10" s="2634"/>
      <c r="K10" s="2811"/>
      <c r="L10" s="2808"/>
      <c r="M10" s="2808"/>
      <c r="N10" s="2634"/>
      <c r="O10" s="2645"/>
      <c r="P10" s="2634"/>
      <c r="Q10" s="2634"/>
      <c r="R10" s="2634"/>
    </row>
    <row r="11" spans="1:28">
      <c r="A11" s="2594" t="s">
        <v>2867</v>
      </c>
      <c r="B11" s="2595" t="s">
        <v>3124</v>
      </c>
      <c r="C11" s="2596"/>
      <c r="D11" s="2597"/>
      <c r="E11" s="2563"/>
      <c r="F11" s="2563"/>
      <c r="G11" s="2563"/>
      <c r="H11" s="2563"/>
      <c r="I11" s="2563"/>
      <c r="J11" s="2634"/>
      <c r="K11" s="2811"/>
      <c r="L11" s="2808"/>
      <c r="M11" s="2808"/>
      <c r="N11" s="2634"/>
      <c r="O11" s="2645"/>
      <c r="P11" s="2634"/>
      <c r="Q11" s="2634"/>
      <c r="R11" s="2634"/>
    </row>
    <row r="12" spans="1:28">
      <c r="A12" s="2598" t="s">
        <v>2868</v>
      </c>
      <c r="B12" s="2595" t="s">
        <v>3125</v>
      </c>
      <c r="C12" s="329" t="s">
        <v>2869</v>
      </c>
      <c r="D12" s="2599" t="s">
        <v>2870</v>
      </c>
      <c r="E12" s="2599" t="s">
        <v>2871</v>
      </c>
      <c r="F12" s="2599" t="s">
        <v>2872</v>
      </c>
      <c r="G12" s="2599" t="s">
        <v>2873</v>
      </c>
      <c r="H12" s="2599" t="s">
        <v>2874</v>
      </c>
      <c r="I12" s="2599" t="s">
        <v>2875</v>
      </c>
      <c r="J12" s="2634"/>
      <c r="K12" s="2811"/>
      <c r="L12" s="2808"/>
      <c r="M12" s="2808"/>
      <c r="N12" s="2634"/>
      <c r="O12" s="2645"/>
      <c r="P12" s="2634"/>
      <c r="Q12" s="2634"/>
      <c r="R12" s="2634"/>
    </row>
    <row r="13" spans="1:28">
      <c r="A13" s="1213"/>
      <c r="B13" s="2600"/>
      <c r="C13" s="2601" t="s">
        <v>2876</v>
      </c>
      <c r="D13" s="965"/>
      <c r="E13" s="965">
        <v>54980</v>
      </c>
      <c r="F13" s="965"/>
      <c r="G13" s="965"/>
      <c r="H13" s="965"/>
      <c r="I13" s="965"/>
      <c r="J13" s="2634"/>
      <c r="K13" s="2811"/>
      <c r="L13" s="2808"/>
      <c r="M13" s="2808"/>
      <c r="N13" s="2634"/>
      <c r="O13" s="2645"/>
      <c r="P13" s="2634"/>
      <c r="Q13" s="2634"/>
      <c r="R13" s="2634"/>
    </row>
    <row r="14" spans="1:28">
      <c r="A14" s="1213"/>
      <c r="B14" s="2600"/>
      <c r="C14" s="2601" t="s">
        <v>2877</v>
      </c>
      <c r="D14" s="2602"/>
      <c r="E14" s="2602">
        <v>40</v>
      </c>
      <c r="F14" s="2602"/>
      <c r="G14" s="2602"/>
      <c r="H14" s="2602"/>
      <c r="I14" s="2602"/>
      <c r="J14" s="2634"/>
      <c r="K14" s="2812"/>
      <c r="L14" s="2808"/>
      <c r="M14" s="2808"/>
      <c r="N14" s="2634"/>
      <c r="O14" s="2645"/>
      <c r="P14" s="2634"/>
      <c r="Q14" s="2634"/>
      <c r="R14" s="2634"/>
    </row>
    <row r="15" spans="1:28">
      <c r="A15" s="326"/>
      <c r="B15" s="2603"/>
      <c r="C15" s="2604" t="s">
        <v>2878</v>
      </c>
      <c r="D15" s="2605" t="str">
        <f>IF(B12="出让",IF(D13="","",ROUNDDOWN(MIN((D13-$D$3)/365,D14),2)),D14)</f>
        <v/>
      </c>
      <c r="E15" s="2605">
        <f>IF(B12="出让",IF(E13="","",ROUNDDOWN(MIN((E13-$D$3)/365,E14),2)),E14)</f>
        <v>28.26</v>
      </c>
      <c r="F15" s="2605" t="str">
        <f>IF(B12="出让",IF(F13="","",ROUNDDOWN(MIN((F13-$D$3)/365,F14),2)),F14)</f>
        <v/>
      </c>
      <c r="G15" s="2605" t="str">
        <f>IF(B12="出让",IF(G13="","",ROUNDDOWN(MIN((G13-$D$3)/365,G14),2)),G14)</f>
        <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2879</v>
      </c>
      <c r="B16" s="3271"/>
      <c r="C16" s="3272"/>
      <c r="D16" s="3273"/>
      <c r="E16" s="2608" t="s">
        <v>2880</v>
      </c>
      <c r="F16" s="3274"/>
      <c r="G16" s="3275"/>
      <c r="H16" s="3275"/>
      <c r="I16" s="3276"/>
      <c r="J16" s="2634"/>
      <c r="K16" s="2813"/>
      <c r="L16" s="2646"/>
      <c r="M16" s="2646"/>
      <c r="N16" s="2704"/>
      <c r="O16" s="2646"/>
      <c r="P16" s="2704"/>
      <c r="Q16" s="2634"/>
      <c r="R16" s="2634"/>
    </row>
    <row r="17" spans="1:28">
      <c r="A17" s="319" t="s">
        <v>2881</v>
      </c>
      <c r="B17" s="308" t="s">
        <v>2882</v>
      </c>
      <c r="C17" s="11">
        <f>'数据-汇总表'!E3</f>
        <v>171669.99</v>
      </c>
      <c r="D17" s="2514" t="s">
        <v>2883</v>
      </c>
      <c r="E17" s="3277" t="s">
        <v>2884</v>
      </c>
      <c r="F17" s="3278"/>
      <c r="G17" s="3278"/>
      <c r="H17" s="3278"/>
      <c r="I17" s="3279"/>
      <c r="J17" s="2634"/>
      <c r="K17" s="2814"/>
      <c r="L17" s="2646"/>
      <c r="M17" s="2646"/>
      <c r="N17" s="2704"/>
      <c r="O17" s="2646"/>
      <c r="P17" s="2704"/>
      <c r="Q17" s="2634"/>
      <c r="R17" s="2634"/>
      <c r="S17" s="2634"/>
      <c r="T17" s="2634"/>
      <c r="U17" s="2634"/>
      <c r="V17" s="2634"/>
    </row>
    <row r="18" spans="1:28" ht="24.75" thickBot="1">
      <c r="A18" s="2609" t="s">
        <v>2885</v>
      </c>
      <c r="B18" s="1222" t="s">
        <v>2886</v>
      </c>
      <c r="C18" s="2610">
        <f>'数据-汇总表'!D3</f>
        <v>57307</v>
      </c>
      <c r="D18" s="1224" t="s">
        <v>2887</v>
      </c>
      <c r="E18" s="3280" t="s">
        <v>2888</v>
      </c>
      <c r="F18" s="3281"/>
      <c r="G18" s="3281"/>
      <c r="H18" s="3281"/>
      <c r="I18" s="3282"/>
      <c r="J18" s="2634"/>
      <c r="K18" s="2814"/>
      <c r="L18" s="2646"/>
      <c r="M18" s="2646"/>
      <c r="N18" s="2704"/>
      <c r="O18" s="2646"/>
      <c r="P18" s="2704"/>
      <c r="Q18" s="2634"/>
      <c r="R18" s="2634"/>
      <c r="S18" s="2634"/>
      <c r="T18" s="2634"/>
      <c r="U18" s="2634"/>
      <c r="V18" s="2634"/>
    </row>
    <row r="19" spans="1:28" ht="37.5" thickTop="1" thickBot="1">
      <c r="A19" s="333" t="s">
        <v>1681</v>
      </c>
      <c r="B19" s="313" t="s">
        <v>2889</v>
      </c>
      <c r="C19" s="1717"/>
      <c r="D19" s="1718" t="s">
        <v>2890</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2891</v>
      </c>
      <c r="B20" s="3267" t="s">
        <v>2892</v>
      </c>
      <c r="C20" s="3268"/>
      <c r="D20" s="3269" t="s">
        <v>2893</v>
      </c>
      <c r="E20" s="3270"/>
      <c r="F20" s="2843" t="s">
        <v>1682</v>
      </c>
      <c r="G20" s="2860"/>
      <c r="H20" s="2860"/>
      <c r="I20" s="2860"/>
      <c r="J20" s="2634"/>
      <c r="K20" s="3266"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2895</v>
      </c>
      <c r="C21" s="2830" t="s">
        <v>1683</v>
      </c>
      <c r="D21" s="1722" t="s">
        <v>2896</v>
      </c>
      <c r="E21" s="2831" t="s">
        <v>1683</v>
      </c>
      <c r="F21" s="2844"/>
      <c r="G21" s="2860"/>
      <c r="H21" s="2860"/>
      <c r="I21" s="2860"/>
      <c r="J21" s="2634"/>
      <c r="K21" s="326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2897</v>
      </c>
      <c r="C22" s="2830" t="s">
        <v>1684</v>
      </c>
      <c r="D22" s="2859"/>
      <c r="E22" s="2859"/>
      <c r="F22" s="2859"/>
      <c r="G22" s="2860"/>
      <c r="H22" s="2860"/>
      <c r="I22" s="2860"/>
      <c r="J22" s="2634"/>
      <c r="K22" s="326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2898</v>
      </c>
      <c r="B23" s="2697" t="s">
        <v>2899</v>
      </c>
      <c r="C23" s="2834"/>
      <c r="D23" s="2835" t="s">
        <v>2899</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54" t="s">
        <v>2900</v>
      </c>
      <c r="B27" s="326" t="s">
        <v>2901</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54"/>
      <c r="B28" s="308" t="s">
        <v>2902</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54"/>
      <c r="B29" s="308" t="s">
        <v>2903</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55"/>
      <c r="B30" s="308" t="s">
        <v>2904</v>
      </c>
      <c r="C30" s="3256"/>
      <c r="D30" s="3257"/>
      <c r="E30" s="2860"/>
      <c r="F30" s="2860"/>
      <c r="G30" s="2860"/>
      <c r="H30" s="2860"/>
      <c r="I30" s="2860"/>
      <c r="J30" s="2634"/>
      <c r="K30" s="2811"/>
      <c r="L30" s="2808"/>
      <c r="M30" s="2808"/>
      <c r="N30" s="2634"/>
      <c r="O30" s="2645"/>
      <c r="P30" s="2634"/>
      <c r="Q30" s="2634"/>
      <c r="R30" s="2634"/>
      <c r="S30" s="2634"/>
      <c r="T30" s="2634"/>
      <c r="U30" s="2634"/>
      <c r="V30" s="2634"/>
    </row>
    <row r="31" spans="1:28">
      <c r="A31" s="3258" t="s">
        <v>2905</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259"/>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259"/>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2906</v>
      </c>
      <c r="B34" s="2183"/>
      <c r="C34" s="2183"/>
      <c r="D34" s="2183"/>
      <c r="E34" s="2183"/>
      <c r="F34" s="2183"/>
      <c r="G34" s="2183"/>
      <c r="H34" s="2183"/>
      <c r="I34" s="2860"/>
      <c r="J34" s="2634"/>
      <c r="K34" s="2622">
        <f>COUNTIF(B34:H34,"——")</f>
        <v>0</v>
      </c>
      <c r="L34" s="329" t="s">
        <v>2907</v>
      </c>
      <c r="M34" s="329" t="s">
        <v>2908</v>
      </c>
      <c r="N34" s="329" t="s">
        <v>2909</v>
      </c>
      <c r="O34" s="329" t="s">
        <v>2910</v>
      </c>
      <c r="P34" s="329" t="s">
        <v>2911</v>
      </c>
      <c r="Q34" s="329" t="s">
        <v>2912</v>
      </c>
      <c r="R34" s="329" t="s">
        <v>2913</v>
      </c>
      <c r="S34" s="3253" t="s">
        <v>2914</v>
      </c>
      <c r="T34" s="2623" t="str">
        <f>NUMBERSTRING(7-K34,1)&amp;"通"</f>
        <v>七通</v>
      </c>
      <c r="U34" s="2634"/>
      <c r="V34" s="2634"/>
    </row>
    <row r="35" spans="1:30">
      <c r="A35" s="2624"/>
      <c r="B35" s="3260" t="s">
        <v>2915</v>
      </c>
      <c r="C35" s="3260"/>
      <c r="D35" s="3260"/>
      <c r="E35" s="3260"/>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3"/>
      <c r="T35" s="335" t="str">
        <f>IF(T34="一通",L35,IF(T34="二通",M35,IF(T34="三通",N35,IF(T34="四通",O35,IF(T34="五通",P35,IF(T34="六通",Q35,R35))))))</f>
        <v>、、、、、、</v>
      </c>
      <c r="U35" s="2634"/>
      <c r="V35" s="2634"/>
    </row>
    <row r="36" spans="1:30">
      <c r="A36" s="2625"/>
      <c r="B36" s="673" t="s">
        <v>2871</v>
      </c>
      <c r="C36" s="673" t="s">
        <v>2872</v>
      </c>
      <c r="D36" s="673" t="s">
        <v>2870</v>
      </c>
      <c r="E36" s="673" t="s">
        <v>2875</v>
      </c>
      <c r="F36" s="2866"/>
      <c r="G36" s="2860"/>
      <c r="H36" s="2860"/>
      <c r="I36" s="2860"/>
      <c r="J36" s="2634"/>
      <c r="K36" s="2811"/>
      <c r="L36" s="2808"/>
      <c r="M36" s="2808"/>
      <c r="N36" s="2634"/>
      <c r="O36" s="2645"/>
      <c r="P36" s="2634"/>
      <c r="Q36" s="2634"/>
      <c r="R36" s="2634"/>
      <c r="S36" s="2634"/>
      <c r="T36" s="2634"/>
      <c r="U36" s="2634"/>
      <c r="V36" s="2634"/>
    </row>
    <row r="37" spans="1:30">
      <c r="A37" s="2826" t="s">
        <v>2916</v>
      </c>
      <c r="B37" s="2626"/>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2917</v>
      </c>
      <c r="B38" s="2627"/>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2918</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2919</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2920</v>
      </c>
      <c r="B42" s="11" t="s">
        <v>2921</v>
      </c>
      <c r="C42" s="11" t="s">
        <v>2922</v>
      </c>
      <c r="D42" s="11" t="s">
        <v>2923</v>
      </c>
      <c r="E42" s="11" t="s">
        <v>2924</v>
      </c>
      <c r="F42" s="11" t="s">
        <v>2925</v>
      </c>
      <c r="G42" s="11" t="s">
        <v>2926</v>
      </c>
      <c r="H42" s="11" t="s">
        <v>2927</v>
      </c>
      <c r="I42" s="11" t="s">
        <v>2928</v>
      </c>
      <c r="J42" s="2822" t="s">
        <v>2929</v>
      </c>
      <c r="K42" s="2823" t="s">
        <v>2930</v>
      </c>
      <c r="L42" s="2823" t="s">
        <v>2931</v>
      </c>
      <c r="M42" s="2823" t="s">
        <v>2932</v>
      </c>
      <c r="N42" s="2816" t="s">
        <v>2933</v>
      </c>
      <c r="O42" s="2816" t="s">
        <v>2934</v>
      </c>
      <c r="P42" s="2816" t="s">
        <v>2935</v>
      </c>
      <c r="Q42" s="2817" t="s">
        <v>2936</v>
      </c>
      <c r="R42" s="2817" t="s">
        <v>2937</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57307</v>
      </c>
      <c r="B3" s="14">
        <f>IF(C3="否",G5-AT5,G5)</f>
        <v>171669.99</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171669.99</v>
      </c>
      <c r="H5" s="16">
        <f t="shared" ref="H5:AT5" si="0">SUM(H13:H656)</f>
        <v>171669.99</v>
      </c>
      <c r="I5" s="16">
        <f t="shared" si="0"/>
        <v>142992.4</v>
      </c>
      <c r="J5" s="16">
        <f t="shared" si="0"/>
        <v>0</v>
      </c>
      <c r="K5" s="16">
        <f t="shared" si="0"/>
        <v>28677.59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171669.99</v>
      </c>
      <c r="BA5" s="18">
        <f t="shared" si="1"/>
        <v>171669.99</v>
      </c>
      <c r="BB5" s="18">
        <f t="shared" si="1"/>
        <v>142992.4</v>
      </c>
      <c r="BC5" s="18">
        <f t="shared" si="1"/>
        <v>28677.59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57307</v>
      </c>
      <c r="F6" s="16" t="s">
        <v>1</v>
      </c>
      <c r="G6" s="16" t="s">
        <v>2</v>
      </c>
      <c r="H6" s="20">
        <f>SUMIF(I$12:AB$12,"总值",I6:AB6)</f>
        <v>57307</v>
      </c>
      <c r="I6" s="16">
        <f t="shared" ref="I6:AB6" si="2">ROUND($A$3*I5/$B$3,2)</f>
        <v>47733.83</v>
      </c>
      <c r="J6" s="16">
        <f t="shared" si="2"/>
        <v>0</v>
      </c>
      <c r="K6" s="16">
        <f t="shared" si="2"/>
        <v>9573.17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57307</v>
      </c>
      <c r="AZ6" s="16" t="s">
        <v>3</v>
      </c>
      <c r="BA6" s="16">
        <f>ROUND($AY$6*BA5/$AZ$5,2)</f>
        <v>57307</v>
      </c>
      <c r="BB6" s="16">
        <f>ROUND($AY$6*BB5/$AZ$5,2)</f>
        <v>47733.83</v>
      </c>
      <c r="BC6" s="16">
        <f t="shared" ref="BC6:BH6" si="4">ROUND($AY$6*BC5/$AZ$5,2)</f>
        <v>9573.17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3163</v>
      </c>
      <c r="J9" s="918"/>
      <c r="K9" s="1757" t="s">
        <v>3164</v>
      </c>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1283</v>
      </c>
      <c r="J10" s="918"/>
      <c r="K10" s="1763" t="s">
        <v>1283</v>
      </c>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商业</v>
      </c>
      <c r="BC11" s="1753" t="str">
        <f>K10</f>
        <v>商业</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3207" t="s">
        <v>3161</v>
      </c>
      <c r="D13" s="1779" t="s">
        <v>3162</v>
      </c>
      <c r="E13" s="16">
        <f>IF($C$3="是",ROUND($A$3*G13/$B$3,2),ROUND($A$3*(G13-AT13)/$B$3,2))</f>
        <v>57307</v>
      </c>
      <c r="F13" s="32"/>
      <c r="G13" s="33">
        <f>H13+AC13+AT13</f>
        <v>171669.99</v>
      </c>
      <c r="H13" s="20">
        <f>SUMIF(I$12:AB$12,"总值",I13:AB13)</f>
        <v>171669.99</v>
      </c>
      <c r="I13" s="1780">
        <f>SUM(面积!F2:F7)</f>
        <v>142992.4</v>
      </c>
      <c r="J13" s="1780"/>
      <c r="K13" s="1780">
        <f>面积!F8</f>
        <v>28677.59</v>
      </c>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t="str">
        <f t="shared" si="6"/>
        <v>商业</v>
      </c>
      <c r="AY13" s="1502">
        <f>ROUND($AY$6*AZ13/$AZ$5,2)</f>
        <v>57307</v>
      </c>
      <c r="AZ13" s="16">
        <f>BA13+BL13</f>
        <v>171669.99</v>
      </c>
      <c r="BA13" s="16">
        <f>SUM(BB13:BK13)</f>
        <v>171669.99</v>
      </c>
      <c r="BB13" s="16">
        <f>IF($D13="是",I13-J13,0)</f>
        <v>142992.4</v>
      </c>
      <c r="BC13" s="16">
        <f>IF($D13="是",K13-L13,0)</f>
        <v>28677.59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3" t="s">
        <v>0</v>
      </c>
      <c r="B1" s="3283" t="s">
        <v>4</v>
      </c>
      <c r="C1" s="3283" t="s">
        <v>5</v>
      </c>
      <c r="D1" s="3284" t="s">
        <v>53</v>
      </c>
      <c r="E1" s="3284" t="s">
        <v>54</v>
      </c>
      <c r="F1" s="3284"/>
      <c r="G1" s="3284"/>
      <c r="H1" s="3284"/>
      <c r="I1" s="3284"/>
      <c r="J1" s="3284"/>
      <c r="K1" s="3284"/>
      <c r="L1" s="3284"/>
      <c r="M1" s="3284"/>
    </row>
    <row r="2" spans="1:13" ht="27" customHeight="1">
      <c r="A2" s="3283"/>
      <c r="B2" s="3283"/>
      <c r="C2" s="3283"/>
      <c r="D2" s="3284"/>
      <c r="E2" s="3284" t="s">
        <v>37</v>
      </c>
      <c r="F2" s="3284" t="s">
        <v>38</v>
      </c>
      <c r="G2" s="3284"/>
      <c r="H2" s="3284"/>
      <c r="I2" s="3284"/>
      <c r="J2" s="3284" t="s">
        <v>39</v>
      </c>
      <c r="K2" s="3284"/>
      <c r="L2" s="3284"/>
      <c r="M2" s="3284"/>
    </row>
    <row r="3" spans="1:13" ht="28.5">
      <c r="A3" s="3283"/>
      <c r="B3" s="3283"/>
      <c r="C3" s="3283"/>
      <c r="D3" s="3284"/>
      <c r="E3" s="32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4" t="s">
        <v>55</v>
      </c>
      <c r="B9" s="3284"/>
      <c r="C9" s="32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4"/>
  <sheetViews>
    <sheetView workbookViewId="0">
      <selection activeCell="E2" sqref="E2:F9"/>
    </sheetView>
  </sheetViews>
  <sheetFormatPr defaultRowHeight="13.5"/>
  <cols>
    <col min="3" max="3" width="10.5" bestFit="1" customWidth="1"/>
    <col min="6" max="6" width="10.5" bestFit="1" customWidth="1"/>
  </cols>
  <sheetData>
    <row r="1" spans="2:6">
      <c r="B1" s="3206" t="s">
        <v>3127</v>
      </c>
      <c r="C1" s="3206" t="s">
        <v>3128</v>
      </c>
    </row>
    <row r="2" spans="2:6">
      <c r="B2" s="3206" t="s">
        <v>3126</v>
      </c>
      <c r="C2">
        <v>5662.16</v>
      </c>
      <c r="E2" s="3206" t="s">
        <v>3153</v>
      </c>
      <c r="F2">
        <f>SUM(C20:C23)</f>
        <v>13938.26</v>
      </c>
    </row>
    <row r="3" spans="2:6">
      <c r="B3" s="3206" t="s">
        <v>3129</v>
      </c>
      <c r="C3">
        <v>7433.36</v>
      </c>
      <c r="E3" s="3206" t="s">
        <v>3155</v>
      </c>
      <c r="F3">
        <f>SUM(C2:C5)</f>
        <v>25564.059999999998</v>
      </c>
    </row>
    <row r="4" spans="2:6">
      <c r="B4" s="3206" t="s">
        <v>3130</v>
      </c>
      <c r="C4">
        <v>6502.78</v>
      </c>
      <c r="E4" s="3206" t="s">
        <v>3156</v>
      </c>
      <c r="F4">
        <f>SUM(C8:C11)</f>
        <v>25872.52</v>
      </c>
    </row>
    <row r="5" spans="2:6">
      <c r="B5" s="3206" t="s">
        <v>3131</v>
      </c>
      <c r="C5">
        <v>5965.76</v>
      </c>
      <c r="E5" s="3206" t="s">
        <v>3157</v>
      </c>
      <c r="F5">
        <f>SUM(C12:C15)</f>
        <v>25872.52</v>
      </c>
    </row>
    <row r="6" spans="2:6">
      <c r="B6" s="3206" t="s">
        <v>3132</v>
      </c>
      <c r="C6">
        <v>28677.59</v>
      </c>
      <c r="E6" s="3206" t="s">
        <v>3145</v>
      </c>
      <c r="F6">
        <f>SUM(C16:C19)</f>
        <v>25872.52</v>
      </c>
    </row>
    <row r="7" spans="2:6">
      <c r="B7" s="3206" t="s">
        <v>3134</v>
      </c>
      <c r="C7">
        <v>25872.52</v>
      </c>
      <c r="E7" s="3206" t="s">
        <v>3160</v>
      </c>
      <c r="F7">
        <f>C7</f>
        <v>25872.52</v>
      </c>
    </row>
    <row r="8" spans="2:6">
      <c r="B8" s="3206" t="s">
        <v>3135</v>
      </c>
      <c r="C8">
        <v>5698.81</v>
      </c>
      <c r="E8" s="3206" t="s">
        <v>3159</v>
      </c>
      <c r="F8">
        <f>C6</f>
        <v>28677.59</v>
      </c>
    </row>
    <row r="9" spans="2:6">
      <c r="B9" s="3206" t="s">
        <v>3136</v>
      </c>
      <c r="C9">
        <v>8261.58</v>
      </c>
      <c r="F9">
        <f>SUM(F2:F8)</f>
        <v>171669.99</v>
      </c>
    </row>
    <row r="10" spans="2:6">
      <c r="B10" s="3206" t="s">
        <v>3137</v>
      </c>
      <c r="C10">
        <v>5764.72</v>
      </c>
    </row>
    <row r="11" spans="2:6">
      <c r="B11" s="3206" t="s">
        <v>3138</v>
      </c>
      <c r="C11">
        <v>6147.41</v>
      </c>
    </row>
    <row r="12" spans="2:6">
      <c r="B12" s="3206" t="s">
        <v>3139</v>
      </c>
      <c r="C12">
        <v>5698.81</v>
      </c>
    </row>
    <row r="13" spans="2:6">
      <c r="B13" s="3206" t="s">
        <v>3140</v>
      </c>
      <c r="C13">
        <v>8261.58</v>
      </c>
    </row>
    <row r="14" spans="2:6">
      <c r="B14" s="3206" t="s">
        <v>3141</v>
      </c>
      <c r="C14">
        <v>5764.72</v>
      </c>
    </row>
    <row r="15" spans="2:6">
      <c r="B15" s="3206" t="s">
        <v>3142</v>
      </c>
      <c r="C15">
        <v>6147.41</v>
      </c>
    </row>
    <row r="16" spans="2:6">
      <c r="B16" s="3206" t="s">
        <v>3143</v>
      </c>
      <c r="C16">
        <v>5698.81</v>
      </c>
    </row>
    <row r="17" spans="2:3">
      <c r="B17" s="3206" t="s">
        <v>3144</v>
      </c>
      <c r="C17">
        <v>8261.58</v>
      </c>
    </row>
    <row r="18" spans="2:3">
      <c r="B18" s="3206" t="s">
        <v>3146</v>
      </c>
      <c r="C18">
        <v>5764.72</v>
      </c>
    </row>
    <row r="19" spans="2:3">
      <c r="B19" s="3206" t="s">
        <v>3147</v>
      </c>
      <c r="C19">
        <v>6147.41</v>
      </c>
    </row>
    <row r="20" spans="2:3">
      <c r="B20" s="3206" t="s">
        <v>3148</v>
      </c>
      <c r="C20">
        <v>3960.92</v>
      </c>
    </row>
    <row r="21" spans="2:3">
      <c r="B21" s="3206" t="s">
        <v>3149</v>
      </c>
      <c r="C21">
        <v>3257.63</v>
      </c>
    </row>
    <row r="22" spans="2:3">
      <c r="B22" s="3206" t="s">
        <v>3150</v>
      </c>
      <c r="C22">
        <v>3135.02</v>
      </c>
    </row>
    <row r="23" spans="2:3">
      <c r="B23" s="3206" t="s">
        <v>3151</v>
      </c>
      <c r="C23">
        <v>3584.69</v>
      </c>
    </row>
    <row r="24" spans="2:3">
      <c r="C24">
        <f>SUM(C2:C23)</f>
        <v>171669.99</v>
      </c>
    </row>
  </sheetData>
  <phoneticPr fontId="140"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5" sqref="F25"/>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294" t="s">
        <v>1757</v>
      </c>
      <c r="B2" s="3294"/>
      <c r="C2" s="3294"/>
      <c r="D2" s="904" t="s">
        <v>1733</v>
      </c>
      <c r="E2" s="1793" t="s">
        <v>1734</v>
      </c>
      <c r="F2" s="2855"/>
      <c r="G2" s="2846"/>
      <c r="H2" s="2847"/>
      <c r="I2" s="2517" t="s">
        <v>1758</v>
      </c>
      <c r="J2" s="2855"/>
      <c r="K2" s="2855"/>
      <c r="L2" s="2855"/>
      <c r="M2" s="2855"/>
      <c r="N2" s="2857"/>
      <c r="O2" s="2855"/>
      <c r="P2" s="2855"/>
    </row>
    <row r="3" spans="1:16" ht="15.75" thickBot="1">
      <c r="A3" s="3295" t="s">
        <v>1731</v>
      </c>
      <c r="B3" s="3295"/>
      <c r="C3" s="3295"/>
      <c r="D3" s="46">
        <f>'数据-基础表'!AY6</f>
        <v>57307</v>
      </c>
      <c r="E3" s="46">
        <f>'数据-基础表'!AZ5</f>
        <v>171669.99</v>
      </c>
      <c r="F3" s="2855"/>
      <c r="G3" s="1279"/>
      <c r="H3" s="1157" t="s">
        <v>1732</v>
      </c>
      <c r="I3" s="964">
        <f>ROUND('数据-基础表'!B3/'数据-基础表'!A3,2)</f>
        <v>3</v>
      </c>
      <c r="J3" s="2855"/>
      <c r="K3" s="2855"/>
      <c r="L3" s="2855"/>
      <c r="M3" s="2855"/>
      <c r="N3" s="2857"/>
      <c r="O3" s="2855"/>
      <c r="P3" s="2855"/>
    </row>
    <row r="4" spans="1:16" ht="15">
      <c r="A4" s="3296"/>
      <c r="B4" s="3297"/>
      <c r="C4" s="3298"/>
      <c r="D4" s="1795" t="s">
        <v>1733</v>
      </c>
      <c r="E4" s="1796" t="s">
        <v>1734</v>
      </c>
      <c r="F4" s="2855"/>
      <c r="G4" s="2848" t="s">
        <v>1759</v>
      </c>
      <c r="H4" s="1157" t="s">
        <v>1739</v>
      </c>
      <c r="I4" s="964">
        <f>ROUND(SUMIF('数据-基础表'!I9:AS9,"地上",'数据-基础表'!I5:AS5)/'数据-基础表'!A3,2)</f>
        <v>2.5</v>
      </c>
      <c r="J4" s="2855"/>
      <c r="K4" s="2855"/>
      <c r="L4" s="2855"/>
      <c r="M4" s="2855"/>
      <c r="N4" s="2857"/>
      <c r="O4" s="2855"/>
      <c r="P4" s="2855"/>
    </row>
    <row r="5" spans="1:16">
      <c r="A5" s="47" t="s">
        <v>1735</v>
      </c>
      <c r="B5" s="3299" t="s">
        <v>1736</v>
      </c>
      <c r="C5" s="3299"/>
      <c r="D5" s="48">
        <f>ROUND($D$3*E5/$E$3,2)</f>
        <v>0</v>
      </c>
      <c r="E5" s="49">
        <f>SUMIF('数据-基础表'!$11:$11,"住宅",'数据-基础表'!$5:$5)</f>
        <v>0</v>
      </c>
      <c r="F5" s="2855"/>
      <c r="G5" s="1279"/>
      <c r="H5" s="1157" t="s">
        <v>1732</v>
      </c>
      <c r="I5" s="964">
        <f>ROUND(E31/D31,2)</f>
        <v>3</v>
      </c>
      <c r="J5" s="2855"/>
      <c r="K5" s="2855"/>
      <c r="L5" s="2855"/>
      <c r="M5" s="2855"/>
      <c r="N5" s="2855"/>
      <c r="O5" s="2855"/>
      <c r="P5" s="2855"/>
    </row>
    <row r="6" spans="1:16" ht="15" thickBot="1">
      <c r="A6" s="1798"/>
      <c r="B6" s="3299" t="s">
        <v>1737</v>
      </c>
      <c r="C6" s="3299"/>
      <c r="D6" s="48">
        <f>ROUND($D$3*E6/$E$3,2)</f>
        <v>57307</v>
      </c>
      <c r="E6" s="49">
        <f>E3-E5</f>
        <v>171669.99</v>
      </c>
      <c r="F6" s="2855"/>
      <c r="G6" s="2849" t="s">
        <v>1738</v>
      </c>
      <c r="H6" s="1280" t="s">
        <v>1739</v>
      </c>
      <c r="I6" s="2850">
        <f>ROUND(F31/D31,2)</f>
        <v>2.5</v>
      </c>
      <c r="J6" s="2855"/>
      <c r="K6" s="2855"/>
      <c r="L6" s="2855"/>
      <c r="M6" s="2855"/>
      <c r="N6" s="2855"/>
      <c r="O6" s="2855"/>
      <c r="P6" s="2855"/>
    </row>
    <row r="7" spans="1:16" ht="15.75" thickBot="1">
      <c r="A7" s="3291"/>
      <c r="B7" s="3292"/>
      <c r="C7" s="3293"/>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47733.83</v>
      </c>
      <c r="E8" s="51">
        <f>SUMIF('数据-基础表'!BB10:BK10,"地上",'数据-基础表'!BB5:BK5)</f>
        <v>142992.4</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9573.17</v>
      </c>
      <c r="E10" s="51">
        <f>SUMPRODUCT(('数据-基础表'!BB10:BK10="地下")*('数据-基础表'!BB11:BK11="商业")*('数据-基础表'!BB5:BK5))</f>
        <v>28677.59</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57307</v>
      </c>
      <c r="E16" s="53">
        <f>SUM(E8:E15)</f>
        <v>171669.99</v>
      </c>
      <c r="F16" s="2855"/>
      <c r="G16" s="2856"/>
      <c r="H16" s="1802" t="s">
        <v>1761</v>
      </c>
      <c r="I16" s="1803"/>
      <c r="J16" s="1273"/>
      <c r="K16" s="3288" t="s">
        <v>1761</v>
      </c>
      <c r="L16" s="3289"/>
      <c r="M16" s="3289"/>
      <c r="N16" s="3289"/>
      <c r="O16" s="3289"/>
      <c r="P16" s="3290"/>
    </row>
    <row r="17" spans="1:19" ht="15">
      <c r="A17" s="1804" t="s">
        <v>1762</v>
      </c>
      <c r="B17" s="1805" t="s">
        <v>1763</v>
      </c>
      <c r="C17" s="1806" t="s">
        <v>1764</v>
      </c>
      <c r="D17" s="1807" t="s">
        <v>1752</v>
      </c>
      <c r="E17" s="1808" t="s">
        <v>1753</v>
      </c>
      <c r="F17" s="1809"/>
      <c r="G17" s="1810"/>
      <c r="H17" s="1811" t="s">
        <v>1765</v>
      </c>
      <c r="I17" s="1812" t="s">
        <v>1750</v>
      </c>
      <c r="J17" s="1273"/>
      <c r="K17" s="3285" t="s">
        <v>1766</v>
      </c>
      <c r="L17" s="3286"/>
      <c r="M17" s="3287"/>
      <c r="N17" s="3285" t="s">
        <v>1767</v>
      </c>
      <c r="O17" s="3286"/>
      <c r="P17" s="3287"/>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1822" t="str">
        <f>'数据-基础表'!C13</f>
        <v>商业</v>
      </c>
      <c r="D19" s="48">
        <f>ROUND($D$3*E19/$E$3,2)</f>
        <v>57307</v>
      </c>
      <c r="E19" s="56">
        <f t="shared" ref="E19:E26" si="1">SUM(F19:G19)</f>
        <v>171669.99</v>
      </c>
      <c r="F19" s="2995">
        <f>'数据-基础表'!I13</f>
        <v>142992.4</v>
      </c>
      <c r="G19" s="2996">
        <f>'数据-基础表'!K13</f>
        <v>28677.59</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57307</v>
      </c>
      <c r="S19" s="1158">
        <f t="shared" si="5"/>
        <v>171669.99</v>
      </c>
    </row>
    <row r="20" spans="1:19">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57307</v>
      </c>
      <c r="E27" s="1275">
        <f>IF(SUM(E19:E26)='数据-基础表'!BA5,SUM(E19:E26),IF(F27="地上面积有误","面积有误","地下面积有误"))</f>
        <v>171669.99</v>
      </c>
      <c r="F27" s="1274">
        <f>IF(SUM(F19:F26)=E8,SUM(F19:F26),"地上面积有误")</f>
        <v>142992.4</v>
      </c>
      <c r="G27" s="1276">
        <f>SUM(G19:G26)</f>
        <v>28677.59</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57307</v>
      </c>
      <c r="S27" s="1157">
        <f>IF(SUM(S19:S26)=$E$3,SUM(S19:S26),SUM(S19:S26)&amp;"误差"&amp;ROUND(SUM(S19:S26)-E3,2))</f>
        <v>171669.99</v>
      </c>
    </row>
    <row r="28" spans="1:19">
      <c r="A28" s="1825"/>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1"/>
      <c r="B31" s="1832"/>
      <c r="C31" s="944" t="s">
        <v>1784</v>
      </c>
      <c r="D31" s="685">
        <f>D27+D30</f>
        <v>57307</v>
      </c>
      <c r="E31" s="685">
        <f>E27+E30</f>
        <v>171669.99</v>
      </c>
      <c r="F31" s="686">
        <f>F27+F30</f>
        <v>142992.4</v>
      </c>
      <c r="G31" s="687">
        <f>G27+G30</f>
        <v>28677.59</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T34" sqref="T34"/>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9.375" style="1837" bestFit="1" customWidth="1"/>
    <col min="23" max="23" width="6.75" style="1837" customWidth="1"/>
    <col min="24" max="24" width="9.375" style="1837" bestFit="1" customWidth="1"/>
    <col min="25"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44662</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3165</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商业</v>
      </c>
      <c r="B6" s="1868" t="str">
        <f>IF(A6=0,"","经营性")</f>
        <v>经营性</v>
      </c>
      <c r="C6" s="1869" t="s">
        <v>1283</v>
      </c>
      <c r="D6" s="967">
        <f>SUMIF(项目基本情况!D$12:I$12,C6,项目基本情况!D$14:I$14)</f>
        <v>40</v>
      </c>
      <c r="E6" s="966">
        <f>IF(B6="","",SUMIF(项目基本情况!D$12:I$12,C6,项目基本情况!D$13:I$13))</f>
        <v>54980</v>
      </c>
      <c r="F6" s="68">
        <f>SUMIF(项目基本情况!D$12:I$12,C6,项目基本情况!D$15:I$15)</f>
        <v>28.26</v>
      </c>
      <c r="G6" s="69">
        <f>IF(ISERROR(ROUND(POWER(1+H6,D6-F6)*(POWER(1+H6,F6)-1)/(POWER(1+H6,D6)-1),3)),0,ROUND(POWER(1+H6,D6-F6)*(POWER(1+H6,F6)-1)/(POWER(1+H6,D6)-1),3))</f>
        <v>0.872</v>
      </c>
      <c r="H6" s="741">
        <v>0.05</v>
      </c>
      <c r="I6" s="741">
        <v>5.5E-2</v>
      </c>
      <c r="J6" s="70">
        <v>7.0000000000000007E-2</v>
      </c>
      <c r="K6" s="1161">
        <f>SUMIF('数据-汇总表'!C$19:C$33,A6,'数据-汇总表'!E$19:E$33)</f>
        <v>171669.99</v>
      </c>
      <c r="L6" s="742">
        <v>4500</v>
      </c>
      <c r="M6" s="71">
        <f t="shared" ref="M6:M14" si="0">ROUND(K6*L6/10000,0)</f>
        <v>77251</v>
      </c>
      <c r="N6" s="740">
        <f>ROUND((1-(2022-2014)/60+90%)/2,2)</f>
        <v>0.88</v>
      </c>
      <c r="O6" s="71" t="str">
        <f>IF($N$5="成新度","——",ROUND(M6*N6,0))</f>
        <v>——</v>
      </c>
      <c r="P6" s="72" t="str">
        <f>IF($N$5="成新度","——",M6-O6)</f>
        <v>——</v>
      </c>
      <c r="Q6" s="743">
        <v>0.15</v>
      </c>
      <c r="R6" s="73">
        <f ca="1">SUMIF('数据-汇总表'!C$19:C$33,A6,'数据-汇总表'!R$19:R$27)</f>
        <v>57307</v>
      </c>
      <c r="S6" s="54">
        <f>IF('数据-汇总表'!$I$17="按面积比例",SUMIF('数据-汇总表'!C$19:C$33,A6,'数据-汇总表'!K$19:K$33),SUMIF('数据-汇总表'!C$19:C$33,A6,'数据-汇总表'!N$19:N$33))</f>
        <v>0</v>
      </c>
      <c r="T6" s="1306">
        <f>ROUND($L$14*S6/10000,0)</f>
        <v>0</v>
      </c>
      <c r="U6" s="74">
        <f>X28</f>
        <v>1.42</v>
      </c>
      <c r="V6" s="75">
        <v>0.03</v>
      </c>
      <c r="W6" s="75">
        <v>0.1</v>
      </c>
      <c r="X6" s="1171"/>
      <c r="Y6" s="76">
        <f>N6</f>
        <v>0.88</v>
      </c>
      <c r="Z6" s="77"/>
      <c r="AA6" s="70"/>
      <c r="AB6" s="70"/>
      <c r="AC6" s="1171"/>
      <c r="AD6" s="78"/>
      <c r="AE6" s="1172">
        <f ca="1">IF(AN6="",0,SUMIF(INDIRECT("'"&amp;AN6&amp;"'"&amp;"!E:E"),$AE$5,INDIRECT("'"&amp;AN6&amp;"'"&amp;"!F:F")))</f>
        <v>28.26</v>
      </c>
      <c r="AF6" s="1501"/>
      <c r="AG6" s="143">
        <f>IF(AF6="",0,AE6-AF6)</f>
        <v>0</v>
      </c>
      <c r="AH6" s="79"/>
      <c r="AI6" s="81">
        <v>365</v>
      </c>
      <c r="AJ6" s="82"/>
      <c r="AK6" s="83">
        <v>1.4999999999999999E-2</v>
      </c>
      <c r="AL6" s="84">
        <v>1.5E-3</v>
      </c>
      <c r="AM6" s="85">
        <v>0.03</v>
      </c>
      <c r="AN6" s="1870" t="s">
        <v>3170</v>
      </c>
      <c r="AO6" s="55">
        <f ca="1">SUMIF(INDIRECT("'"&amp;AN6&amp;"'"&amp;"!A:A"),"总价",INDIRECT("'"&amp;AN6&amp;"'"&amp;"!B:B"))</f>
        <v>95786</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hidden="1">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hidden="1">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hidden="1">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hidden="1">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hidden="1">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hidden="1">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hidden="1">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0.872</v>
      </c>
      <c r="H16" s="95">
        <f>ROUND(SUMPRODUCT(H6:H13,K6:K13)/SUMPRODUCT((H6:H13&gt;0)*(K6:K13)),3)</f>
        <v>0.05</v>
      </c>
      <c r="I16" s="96"/>
      <c r="J16" s="96"/>
      <c r="K16" s="97">
        <f>SUM(K6:K15)</f>
        <v>171669.99</v>
      </c>
      <c r="L16" s="98">
        <f>ROUND(M16*10000/SUM(K6:K14),0)</f>
        <v>4500</v>
      </c>
      <c r="M16" s="98">
        <f>SUM(M6:M14)</f>
        <v>77251</v>
      </c>
      <c r="N16" s="99">
        <f>ROUND(SUMPRODUCT(M6:M14,N6:N14)/M16,3)</f>
        <v>0.88</v>
      </c>
      <c r="O16" s="98">
        <f>SUM(O6:O14)</f>
        <v>0</v>
      </c>
      <c r="P16" s="98">
        <f>SUM(P6:P14)</f>
        <v>0</v>
      </c>
      <c r="Q16" s="100">
        <f>ROUND(SUMPRODUCT(Q6:Q13,K6:K13)/SUMPRODUCT((Q6:Q13&gt;0)*(K6:K13)),2)</f>
        <v>0.15</v>
      </c>
      <c r="R16" s="1165">
        <f ca="1">SUM(R6:R13)</f>
        <v>57307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2982</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2.5</v>
      </c>
      <c r="C20" s="3000" t="s">
        <v>2980</v>
      </c>
      <c r="D20" s="2874"/>
      <c r="E20" s="2871"/>
      <c r="F20" s="2871"/>
      <c r="G20" s="2871"/>
      <c r="H20" s="2871"/>
      <c r="I20" s="2871"/>
      <c r="J20" s="2871"/>
      <c r="K20" s="2870"/>
      <c r="L20" s="2870"/>
      <c r="M20" s="2869"/>
      <c r="N20" s="2869"/>
      <c r="O20" s="2869"/>
      <c r="P20" s="2869"/>
      <c r="Q20" s="2869"/>
      <c r="R20" s="2869"/>
      <c r="S20" s="2869"/>
      <c r="T20" s="2869"/>
      <c r="U20" s="3208" t="s">
        <v>3166</v>
      </c>
      <c r="V20" s="3208" t="s">
        <v>3167</v>
      </c>
      <c r="W20" s="3208" t="s">
        <v>3168</v>
      </c>
      <c r="X20" s="3208" t="s">
        <v>3169</v>
      </c>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2.5</v>
      </c>
      <c r="C21" s="2871"/>
      <c r="D21" s="2874"/>
      <c r="E21" s="2871"/>
      <c r="F21" s="2871"/>
      <c r="G21" s="2871"/>
      <c r="H21" s="2871"/>
      <c r="I21" s="2871"/>
      <c r="J21" s="2871"/>
      <c r="K21" s="2870"/>
      <c r="L21" s="2870"/>
      <c r="M21" s="2869"/>
      <c r="N21" s="2869"/>
      <c r="O21" s="2869"/>
      <c r="P21" s="2869"/>
      <c r="Q21" s="2869"/>
      <c r="R21" s="2869"/>
      <c r="S21" s="2869"/>
      <c r="T21" s="2869"/>
      <c r="U21" s="2869" t="s">
        <v>3152</v>
      </c>
      <c r="V21" s="2869">
        <v>13938.26</v>
      </c>
      <c r="W21" s="2869">
        <v>1</v>
      </c>
      <c r="X21" s="2869">
        <v>2.5</v>
      </c>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2.5</v>
      </c>
      <c r="C22" s="2871"/>
      <c r="D22" s="2874"/>
      <c r="E22" s="2871"/>
      <c r="F22" s="2871"/>
      <c r="G22" s="2871"/>
      <c r="H22" s="2871"/>
      <c r="I22" s="2871"/>
      <c r="J22" s="2871"/>
      <c r="K22" s="2870"/>
      <c r="L22" s="2870"/>
      <c r="M22" s="2869"/>
      <c r="N22" s="2869"/>
      <c r="O22" s="2869"/>
      <c r="P22" s="2869"/>
      <c r="Q22" s="2869"/>
      <c r="R22" s="2869"/>
      <c r="S22" s="2869"/>
      <c r="T22" s="2869"/>
      <c r="U22" s="2869" t="s">
        <v>3154</v>
      </c>
      <c r="V22" s="2869">
        <v>25564.059999999998</v>
      </c>
      <c r="W22" s="2869">
        <v>0.7</v>
      </c>
      <c r="X22" s="2869">
        <f>$X$21*W22</f>
        <v>1.75</v>
      </c>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2.5</v>
      </c>
      <c r="C23" s="2871"/>
      <c r="D23" s="2874"/>
      <c r="E23" s="2871"/>
      <c r="F23" s="2871"/>
      <c r="G23" s="2871"/>
      <c r="H23" s="2871"/>
      <c r="I23" s="2871"/>
      <c r="J23" s="2871"/>
      <c r="K23" s="2870"/>
      <c r="L23" s="2870"/>
      <c r="M23" s="2869"/>
      <c r="N23" s="2869"/>
      <c r="O23" s="2869"/>
      <c r="P23" s="2869"/>
      <c r="Q23" s="2869"/>
      <c r="R23" s="2869"/>
      <c r="S23" s="2869"/>
      <c r="T23" s="2869"/>
      <c r="U23" s="2869" t="s">
        <v>3156</v>
      </c>
      <c r="V23" s="2869">
        <v>25872.52</v>
      </c>
      <c r="W23" s="2869">
        <v>0.6</v>
      </c>
      <c r="X23" s="2869">
        <f t="shared" ref="X23:X27" si="12">$X$21*W23</f>
        <v>1.5</v>
      </c>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t="s">
        <v>3157</v>
      </c>
      <c r="V24" s="2869">
        <v>25872.52</v>
      </c>
      <c r="W24" s="2869">
        <v>0.5</v>
      </c>
      <c r="X24" s="2869">
        <f t="shared" si="12"/>
        <v>1.25</v>
      </c>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t="s">
        <v>3145</v>
      </c>
      <c r="V25" s="2869">
        <v>25872.52</v>
      </c>
      <c r="W25" s="2869">
        <v>0.5</v>
      </c>
      <c r="X25" s="2869">
        <f t="shared" si="12"/>
        <v>1.25</v>
      </c>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t="s">
        <v>3133</v>
      </c>
      <c r="V26" s="2869">
        <v>25872.52</v>
      </c>
      <c r="W26" s="2869">
        <v>0.5</v>
      </c>
      <c r="X26" s="2869">
        <f t="shared" si="12"/>
        <v>1.25</v>
      </c>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c r="C27" s="3001" t="s">
        <v>2984</v>
      </c>
      <c r="D27" s="2877"/>
      <c r="E27" s="2857"/>
      <c r="F27" s="2857"/>
      <c r="G27" s="2871"/>
      <c r="H27" s="2871"/>
      <c r="I27" s="2871"/>
      <c r="J27" s="2871"/>
      <c r="K27" s="2870"/>
      <c r="L27" s="2870"/>
      <c r="M27" s="2869"/>
      <c r="N27" s="2869"/>
      <c r="O27" s="2869"/>
      <c r="P27" s="2869"/>
      <c r="Q27" s="2869"/>
      <c r="R27" s="2869"/>
      <c r="S27" s="2869"/>
      <c r="T27" s="2869"/>
      <c r="U27" s="2869" t="s">
        <v>3158</v>
      </c>
      <c r="V27" s="2869">
        <v>28677.59</v>
      </c>
      <c r="W27" s="2869">
        <v>0.4</v>
      </c>
      <c r="X27" s="2869">
        <f t="shared" si="12"/>
        <v>1</v>
      </c>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110</v>
      </c>
      <c r="C28" s="2878"/>
      <c r="D28" s="2877"/>
      <c r="E28" s="2857"/>
      <c r="F28" s="2857"/>
      <c r="G28" s="2871"/>
      <c r="H28" s="2871"/>
      <c r="I28" s="2871"/>
      <c r="J28" s="2871"/>
      <c r="K28" s="2870"/>
      <c r="L28" s="2870"/>
      <c r="M28" s="2869"/>
      <c r="N28" s="2869"/>
      <c r="O28" s="2869"/>
      <c r="P28" s="2869"/>
      <c r="Q28" s="2869"/>
      <c r="R28" s="2869"/>
      <c r="S28" s="2869"/>
      <c r="T28" s="2869"/>
      <c r="U28" s="2869"/>
      <c r="V28" s="2869">
        <v>171669.99</v>
      </c>
      <c r="W28" s="2869"/>
      <c r="X28" s="2869">
        <f>ROUND((V21*X21+V22*X22+V23*X23+V24*X24+V25*X25+V26*X26+V27*X27)/V28,2)</f>
        <v>1.42</v>
      </c>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1888</v>
      </c>
      <c r="C29" s="3002" t="s">
        <v>2971</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0.05</v>
      </c>
      <c r="C33" s="3003" t="s">
        <v>2972</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2973</v>
      </c>
      <c r="D34" s="2882" t="s">
        <v>2981</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2974</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2975</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2976</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0.03</v>
      </c>
      <c r="C38" s="3003" t="s">
        <v>2976</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15" thickBot="1">
      <c r="A40" s="3015" t="s">
        <v>3182</v>
      </c>
      <c r="B40" s="1210">
        <f ca="1">IF(A40="利息：取LPR",存贷款利率!G1,存贷款利率!G1+C40)</f>
        <v>3.7000000000000005E-2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2985</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2977</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2978</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v>0</v>
      </c>
      <c r="C47" s="3005" t="s">
        <v>2986</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2977</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2979</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3</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212</v>
      </c>
      <c r="C53" s="2857" t="s">
        <v>1872</v>
      </c>
      <c r="D53" s="3004" t="s">
        <v>2983</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v>3</v>
      </c>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00" t="s">
        <v>2963</v>
      </c>
      <c r="B1" s="3301"/>
      <c r="C1" s="3301"/>
      <c r="D1" s="3301"/>
      <c r="E1" s="3301"/>
      <c r="F1" s="3301"/>
      <c r="G1" s="3301"/>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2960</v>
      </c>
      <c r="D2" s="2656"/>
      <c r="E2" s="2653"/>
      <c r="F2" s="2657"/>
      <c r="G2" s="2655" t="s">
        <v>2961</v>
      </c>
      <c r="H2" s="907"/>
      <c r="I2" s="907"/>
      <c r="J2" s="907"/>
      <c r="K2" s="907"/>
      <c r="L2" s="907"/>
      <c r="M2" s="907"/>
      <c r="N2" s="907"/>
      <c r="O2" s="907"/>
      <c r="P2" s="907"/>
      <c r="Q2" s="907"/>
      <c r="R2" s="907"/>
    </row>
    <row r="3" spans="1:29" ht="24">
      <c r="A3" s="2636" t="s">
        <v>2962</v>
      </c>
      <c r="B3" s="2658" t="s">
        <v>2938</v>
      </c>
      <c r="C3" s="2659"/>
      <c r="D3" s="2660"/>
      <c r="E3" s="2637" t="s">
        <v>2962</v>
      </c>
      <c r="F3" s="2661" t="s">
        <v>2939</v>
      </c>
      <c r="G3" s="2662"/>
      <c r="H3" s="907"/>
      <c r="I3" s="907"/>
      <c r="J3" s="907"/>
      <c r="K3" s="907"/>
      <c r="L3" s="907"/>
      <c r="M3" s="907"/>
      <c r="N3" s="907"/>
      <c r="O3" s="907"/>
      <c r="P3" s="907"/>
      <c r="Q3" s="907"/>
      <c r="R3" s="907"/>
    </row>
    <row r="4" spans="1:29">
      <c r="A4" s="2637"/>
      <c r="B4" s="329" t="s">
        <v>2940</v>
      </c>
      <c r="C4" s="2663"/>
      <c r="D4" s="2660"/>
      <c r="E4" s="2664"/>
      <c r="F4" s="1526" t="s">
        <v>2941</v>
      </c>
      <c r="G4" s="2665"/>
      <c r="H4" s="907"/>
      <c r="I4" s="907"/>
      <c r="J4" s="907"/>
      <c r="K4" s="907"/>
      <c r="L4" s="907"/>
      <c r="M4" s="907"/>
      <c r="N4" s="907"/>
      <c r="O4" s="907"/>
      <c r="P4" s="907"/>
      <c r="Q4" s="907"/>
      <c r="R4" s="907"/>
    </row>
    <row r="5" spans="1:29">
      <c r="A5" s="2637"/>
      <c r="B5" s="329" t="s">
        <v>2942</v>
      </c>
      <c r="C5" s="2663"/>
      <c r="D5" s="2660"/>
      <c r="E5" s="2664"/>
      <c r="F5" s="329" t="s">
        <v>2943</v>
      </c>
      <c r="G5" s="2665"/>
      <c r="H5" s="907"/>
      <c r="I5" s="907"/>
      <c r="J5" s="907"/>
      <c r="K5" s="907"/>
      <c r="L5" s="907"/>
      <c r="M5" s="907"/>
      <c r="N5" s="907"/>
      <c r="O5" s="907"/>
      <c r="P5" s="907"/>
      <c r="Q5" s="907"/>
      <c r="R5" s="907"/>
    </row>
    <row r="6" spans="1:29">
      <c r="A6" s="2637"/>
      <c r="B6" s="329" t="s">
        <v>2944</v>
      </c>
      <c r="C6" s="2665"/>
      <c r="D6" s="2660"/>
      <c r="E6" s="2664"/>
      <c r="F6" s="329" t="s">
        <v>2945</v>
      </c>
      <c r="G6" s="2665"/>
      <c r="H6" s="907"/>
      <c r="I6" s="907"/>
      <c r="J6" s="907"/>
      <c r="K6" s="907"/>
      <c r="L6" s="907"/>
      <c r="M6" s="907"/>
      <c r="N6" s="907"/>
      <c r="O6" s="907"/>
      <c r="P6" s="907"/>
      <c r="Q6" s="907"/>
      <c r="R6" s="907"/>
    </row>
    <row r="7" spans="1:29" ht="15" thickBot="1">
      <c r="A7" s="2637"/>
      <c r="B7" s="329" t="s">
        <v>2943</v>
      </c>
      <c r="C7" s="2665"/>
      <c r="D7" s="2666"/>
      <c r="E7" s="2667"/>
      <c r="F7" s="2668" t="s">
        <v>2946</v>
      </c>
      <c r="G7" s="2669"/>
      <c r="H7" s="907"/>
      <c r="I7" s="907"/>
      <c r="J7" s="907"/>
      <c r="K7" s="907"/>
      <c r="L7" s="907"/>
      <c r="M7" s="907"/>
      <c r="N7" s="907"/>
      <c r="O7" s="907"/>
      <c r="P7" s="907"/>
      <c r="Q7" s="907"/>
      <c r="R7" s="907"/>
    </row>
    <row r="8" spans="1:29">
      <c r="A8" s="2637"/>
      <c r="B8" s="329" t="s">
        <v>2945</v>
      </c>
      <c r="C8" s="2665"/>
      <c r="D8" s="2666"/>
      <c r="E8" s="2666"/>
      <c r="F8" s="2670"/>
      <c r="G8" s="2670"/>
      <c r="H8" s="907"/>
      <c r="I8" s="907"/>
      <c r="J8" s="907"/>
      <c r="K8" s="907"/>
      <c r="L8" s="907"/>
      <c r="M8" s="907"/>
      <c r="N8" s="907"/>
      <c r="O8" s="907"/>
      <c r="P8" s="907"/>
      <c r="Q8" s="907"/>
      <c r="R8" s="907"/>
    </row>
    <row r="9" spans="1:29">
      <c r="A9" s="2637"/>
      <c r="B9" s="329" t="s">
        <v>2947</v>
      </c>
      <c r="C9" s="2663"/>
      <c r="D9" s="2660"/>
      <c r="E9" s="2666"/>
      <c r="F9" s="2670"/>
      <c r="G9" s="2670"/>
      <c r="H9" s="907"/>
      <c r="I9" s="907"/>
      <c r="J9" s="907"/>
      <c r="K9" s="907"/>
      <c r="L9" s="907"/>
      <c r="M9" s="907"/>
      <c r="N9" s="907"/>
      <c r="O9" s="907"/>
      <c r="P9" s="907"/>
      <c r="Q9" s="907"/>
      <c r="R9" s="907"/>
    </row>
    <row r="10" spans="1:29" s="2676" customFormat="1" ht="15" thickBot="1">
      <c r="A10" s="2638"/>
      <c r="B10" s="2671" t="s">
        <v>2948</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2964</v>
      </c>
      <c r="B13" s="2679"/>
      <c r="C13" s="2679"/>
      <c r="D13" s="2677"/>
      <c r="E13" s="2679"/>
      <c r="F13" s="2679"/>
      <c r="G13" s="2679"/>
    </row>
    <row r="14" spans="1:29" ht="15" thickBot="1">
      <c r="A14" s="2689"/>
      <c r="B14" s="2689"/>
      <c r="C14" s="2690" t="s">
        <v>2949</v>
      </c>
      <c r="D14" s="2660"/>
      <c r="E14" s="2691"/>
      <c r="F14" s="2691"/>
      <c r="G14" s="2655" t="s">
        <v>2950</v>
      </c>
    </row>
    <row r="15" spans="1:29" ht="24">
      <c r="A15" s="2639" t="s">
        <v>2951</v>
      </c>
      <c r="B15" s="2692" t="s">
        <v>2938</v>
      </c>
      <c r="C15" s="2693">
        <f>C3</f>
        <v>0</v>
      </c>
      <c r="D15" s="2660"/>
      <c r="E15" s="2640" t="s">
        <v>2952</v>
      </c>
      <c r="F15" s="2692" t="s">
        <v>2953</v>
      </c>
      <c r="G15" s="2694">
        <f>G3</f>
        <v>0</v>
      </c>
    </row>
    <row r="16" spans="1:29">
      <c r="A16" s="2641"/>
      <c r="B16" s="2695" t="s">
        <v>2940</v>
      </c>
      <c r="C16" s="2696">
        <f>C4</f>
        <v>0</v>
      </c>
      <c r="D16" s="2660"/>
      <c r="E16" s="2642"/>
      <c r="F16" s="2697" t="s">
        <v>2941</v>
      </c>
      <c r="G16" s="2698">
        <f>G4</f>
        <v>0</v>
      </c>
    </row>
    <row r="17" spans="1:18">
      <c r="A17" s="2641"/>
      <c r="B17" s="2695" t="s">
        <v>2942</v>
      </c>
      <c r="C17" s="2696">
        <f>C5</f>
        <v>0</v>
      </c>
      <c r="D17" s="2666"/>
      <c r="E17" s="2642"/>
      <c r="F17" s="2697" t="s">
        <v>2954</v>
      </c>
      <c r="G17" s="2699"/>
    </row>
    <row r="18" spans="1:18">
      <c r="A18" s="2641"/>
      <c r="B18" s="2697" t="s">
        <v>2944</v>
      </c>
      <c r="C18" s="2698">
        <f>C6</f>
        <v>0</v>
      </c>
      <c r="D18" s="2666"/>
      <c r="E18" s="2642"/>
      <c r="F18" s="2697" t="s">
        <v>2946</v>
      </c>
      <c r="G18" s="2698">
        <f>G7</f>
        <v>0</v>
      </c>
    </row>
    <row r="19" spans="1:18">
      <c r="A19" s="2641"/>
      <c r="B19" s="2697" t="s">
        <v>2955</v>
      </c>
      <c r="C19" s="2699"/>
      <c r="D19" s="2660"/>
      <c r="E19" s="2642"/>
      <c r="F19" s="329" t="s">
        <v>2943</v>
      </c>
      <c r="G19" s="2698">
        <f>G5</f>
        <v>0</v>
      </c>
    </row>
    <row r="20" spans="1:18">
      <c r="A20" s="2641"/>
      <c r="B20" s="2697" t="s">
        <v>2956</v>
      </c>
      <c r="C20" s="2696">
        <f>C9</f>
        <v>0</v>
      </c>
      <c r="D20" s="2666"/>
      <c r="E20" s="2642"/>
      <c r="F20" s="329" t="s">
        <v>2945</v>
      </c>
      <c r="G20" s="2698">
        <f>G6</f>
        <v>0</v>
      </c>
    </row>
    <row r="21" spans="1:18">
      <c r="A21" s="2641"/>
      <c r="B21" s="329" t="s">
        <v>2943</v>
      </c>
      <c r="C21" s="2698">
        <f>C7</f>
        <v>0</v>
      </c>
      <c r="D21" s="2660"/>
      <c r="E21" s="2642"/>
      <c r="F21" s="2697" t="s">
        <v>2957</v>
      </c>
      <c r="G21" s="2700"/>
    </row>
    <row r="22" spans="1:18" ht="13.5" customHeight="1">
      <c r="A22" s="2641"/>
      <c r="B22" s="329" t="s">
        <v>2945</v>
      </c>
      <c r="C22" s="2698">
        <f>C8</f>
        <v>0</v>
      </c>
      <c r="D22" s="2660"/>
      <c r="E22" s="2642"/>
      <c r="F22" s="2697" t="s">
        <v>2948</v>
      </c>
      <c r="G22" s="2699"/>
    </row>
    <row r="23" spans="1:18" s="907" customFormat="1" ht="15" thickBot="1">
      <c r="A23" s="2641"/>
      <c r="B23" s="2697" t="s">
        <v>2957</v>
      </c>
      <c r="C23" s="2700"/>
      <c r="D23" s="1896"/>
      <c r="E23" s="2643"/>
      <c r="F23" s="2701" t="s">
        <v>2958</v>
      </c>
      <c r="G23" s="2702"/>
      <c r="H23" s="2686"/>
      <c r="I23" s="2687"/>
      <c r="J23" s="2686"/>
      <c r="K23" s="2686"/>
      <c r="L23" s="2687"/>
      <c r="M23" s="2686"/>
      <c r="N23" s="2686"/>
      <c r="O23" s="2687"/>
      <c r="P23" s="2686"/>
      <c r="Q23" s="2686"/>
      <c r="R23" s="2688"/>
    </row>
    <row r="24" spans="1:18" s="907" customFormat="1" ht="15" thickBot="1">
      <c r="A24" s="2644"/>
      <c r="B24" s="2701" t="s">
        <v>2959</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171669.99</v>
      </c>
      <c r="C1" s="2884"/>
      <c r="D1" s="2884"/>
      <c r="E1" s="2884"/>
      <c r="F1" s="2884"/>
      <c r="G1" s="2885"/>
      <c r="H1" s="2886"/>
      <c r="I1" s="2886"/>
      <c r="J1" s="2886"/>
      <c r="K1" s="2886"/>
    </row>
    <row r="2" spans="1:11" ht="16.5">
      <c r="A2" s="2707" t="s">
        <v>1259</v>
      </c>
      <c r="B2" s="2707">
        <f>SUM(C14:C23)</f>
        <v>57307</v>
      </c>
      <c r="C2" s="2884"/>
      <c r="D2" s="2884"/>
      <c r="E2" s="2884"/>
      <c r="F2" s="2884"/>
      <c r="G2" s="2885"/>
      <c r="H2" s="2886"/>
      <c r="I2" s="2886"/>
      <c r="J2" s="2886"/>
      <c r="K2" s="2886"/>
    </row>
    <row r="3" spans="1:11" ht="16.5">
      <c r="A3" s="2707" t="s">
        <v>1268</v>
      </c>
      <c r="B3" s="2709">
        <f>项目基本情况!D3</f>
        <v>44662</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91978</v>
      </c>
      <c r="C5" s="2707">
        <f ca="1">ROUND(B5*10000/$B$1,0)</f>
        <v>5358</v>
      </c>
      <c r="D5" s="2707">
        <f ca="1">ROUND(B5*10000/$B$2,0)</f>
        <v>16050</v>
      </c>
      <c r="E5" s="2884"/>
      <c r="F5" s="2885"/>
      <c r="G5" s="2885"/>
      <c r="H5" s="2886"/>
      <c r="I5" s="2886"/>
      <c r="J5" s="2886"/>
      <c r="K5" s="2886"/>
    </row>
    <row r="6" spans="1:11" ht="16.5">
      <c r="A6" s="2707" t="s">
        <v>1262</v>
      </c>
      <c r="B6" s="2707">
        <f ca="1">SUM(G14:G23)</f>
        <v>91978</v>
      </c>
      <c r="C6" s="2707">
        <f ca="1">ROUND(B6*10000/$B$1,0)</f>
        <v>5358</v>
      </c>
      <c r="D6" s="2707">
        <f ca="1">ROUND(B6*10000/$B$2,0)</f>
        <v>16050</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171669.99</v>
      </c>
      <c r="C14" s="2713">
        <f>结果表!C118</f>
        <v>57307</v>
      </c>
      <c r="D14" s="2713">
        <f ca="1">结果表!H118</f>
        <v>91978</v>
      </c>
      <c r="E14" s="2713">
        <f ca="1">ROUND(D14*10000/B14,0)</f>
        <v>5358</v>
      </c>
      <c r="F14" s="2713">
        <f ca="1">ROUND(D14*10000/C14,0)</f>
        <v>16050</v>
      </c>
      <c r="G14" s="2713">
        <f ca="1">结果表!D122</f>
        <v>91978</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I108" sqref="I108"/>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336" t="str">
        <f>项目基本情况!S2</f>
        <v>房地产</v>
      </c>
      <c r="B2" s="3337"/>
      <c r="C2" s="3337"/>
      <c r="D2" s="3337"/>
      <c r="E2" s="3337"/>
      <c r="F2" s="3337"/>
      <c r="G2" s="3337"/>
      <c r="H2" s="3337"/>
      <c r="I2" s="3338"/>
    </row>
    <row r="3" spans="1:12" ht="12.75">
      <c r="A3" s="3340" t="s">
        <v>1890</v>
      </c>
      <c r="B3" s="3341"/>
      <c r="C3" s="3341"/>
      <c r="D3" s="3341"/>
      <c r="E3" s="3341"/>
      <c r="F3" s="3341"/>
      <c r="G3" s="3341"/>
      <c r="H3" s="3341"/>
      <c r="I3" s="3341"/>
    </row>
    <row r="4" spans="1:12" ht="14.25">
      <c r="A4" s="1909" t="s">
        <v>1891</v>
      </c>
      <c r="B4" s="1910" t="s">
        <v>1892</v>
      </c>
      <c r="C4" s="1911" t="s">
        <v>3179</v>
      </c>
      <c r="D4" s="1911" t="s">
        <v>3170</v>
      </c>
      <c r="E4" s="3342" t="s">
        <v>1893</v>
      </c>
      <c r="F4" s="3343"/>
      <c r="G4" s="3343"/>
      <c r="H4" s="3343"/>
      <c r="I4" s="334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6" t="s">
        <v>1894</v>
      </c>
      <c r="B5" s="3303">
        <v>25</v>
      </c>
      <c r="C5" s="3319"/>
      <c r="D5" s="3339"/>
      <c r="E5" s="136" t="s">
        <v>1895</v>
      </c>
      <c r="F5" s="1912"/>
      <c r="G5" s="1912"/>
      <c r="H5" s="1912"/>
      <c r="I5" s="1526"/>
    </row>
    <row r="6" spans="1:12" ht="12.75">
      <c r="A6" s="3316"/>
      <c r="B6" s="3303"/>
      <c r="C6" s="3320"/>
      <c r="D6" s="3339"/>
      <c r="E6" s="136" t="s">
        <v>1896</v>
      </c>
      <c r="F6" s="1912"/>
      <c r="G6" s="1912"/>
      <c r="H6" s="1912"/>
      <c r="I6" s="1526"/>
    </row>
    <row r="7" spans="1:12" ht="12.75">
      <c r="A7" s="3316"/>
      <c r="B7" s="3303"/>
      <c r="C7" s="3321"/>
      <c r="D7" s="3339"/>
      <c r="E7" s="136" t="s">
        <v>1897</v>
      </c>
      <c r="F7" s="1912"/>
      <c r="G7" s="1912"/>
      <c r="H7" s="1912"/>
      <c r="I7" s="1526"/>
    </row>
    <row r="8" spans="1:12" ht="12.75">
      <c r="A8" s="3316" t="s">
        <v>1898</v>
      </c>
      <c r="B8" s="3303">
        <v>15</v>
      </c>
      <c r="C8" s="3319"/>
      <c r="D8" s="3339"/>
      <c r="E8" s="136" t="s">
        <v>1899</v>
      </c>
      <c r="F8" s="1912"/>
      <c r="G8" s="1912"/>
      <c r="H8" s="1912"/>
      <c r="I8" s="1526"/>
    </row>
    <row r="9" spans="1:12" ht="12.75">
      <c r="A9" s="3316"/>
      <c r="B9" s="3303"/>
      <c r="C9" s="3321"/>
      <c r="D9" s="3339"/>
      <c r="E9" s="136" t="s">
        <v>1900</v>
      </c>
      <c r="F9" s="1912"/>
      <c r="G9" s="1912"/>
      <c r="H9" s="1912"/>
      <c r="I9" s="1526"/>
    </row>
    <row r="10" spans="1:12" ht="12.75">
      <c r="A10" s="3316" t="s">
        <v>1901</v>
      </c>
      <c r="B10" s="3303">
        <v>15</v>
      </c>
      <c r="C10" s="3319"/>
      <c r="D10" s="3339"/>
      <c r="E10" s="136" t="s">
        <v>1902</v>
      </c>
      <c r="F10" s="1912"/>
      <c r="G10" s="1912"/>
      <c r="H10" s="1912"/>
      <c r="I10" s="1526"/>
    </row>
    <row r="11" spans="1:12" ht="12.75">
      <c r="A11" s="3316"/>
      <c r="B11" s="3303"/>
      <c r="C11" s="3321"/>
      <c r="D11" s="3339"/>
      <c r="E11" s="136" t="s">
        <v>1903</v>
      </c>
      <c r="F11" s="1912"/>
      <c r="G11" s="1912"/>
      <c r="H11" s="1912"/>
      <c r="I11" s="1526"/>
    </row>
    <row r="12" spans="1:12" ht="12.75">
      <c r="A12" s="3316" t="s">
        <v>1904</v>
      </c>
      <c r="B12" s="3303">
        <v>15</v>
      </c>
      <c r="C12" s="3319"/>
      <c r="D12" s="3339"/>
      <c r="E12" s="136" t="s">
        <v>1905</v>
      </c>
      <c r="F12" s="1912"/>
      <c r="G12" s="1912"/>
      <c r="H12" s="1912"/>
      <c r="I12" s="1526"/>
    </row>
    <row r="13" spans="1:12" ht="12.75">
      <c r="A13" s="3316"/>
      <c r="B13" s="3303"/>
      <c r="C13" s="3321"/>
      <c r="D13" s="3339"/>
      <c r="E13" s="136" t="s">
        <v>1906</v>
      </c>
      <c r="F13" s="1912"/>
      <c r="G13" s="1912"/>
      <c r="H13" s="1912"/>
      <c r="I13" s="1526"/>
    </row>
    <row r="14" spans="1:12" ht="12.75">
      <c r="A14" s="3316" t="s">
        <v>1907</v>
      </c>
      <c r="B14" s="3303">
        <v>30</v>
      </c>
      <c r="C14" s="3319">
        <v>5</v>
      </c>
      <c r="D14" s="3339">
        <v>5</v>
      </c>
      <c r="E14" s="136" t="s">
        <v>1908</v>
      </c>
      <c r="F14" s="1912"/>
      <c r="G14" s="1912"/>
      <c r="H14" s="1912"/>
      <c r="I14" s="1526"/>
    </row>
    <row r="15" spans="1:12" ht="12.75">
      <c r="A15" s="3316"/>
      <c r="B15" s="3303"/>
      <c r="C15" s="3320"/>
      <c r="D15" s="3339"/>
      <c r="E15" s="136" t="s">
        <v>1909</v>
      </c>
      <c r="F15" s="1912"/>
      <c r="G15" s="1912"/>
      <c r="H15" s="1912"/>
      <c r="I15" s="1526"/>
    </row>
    <row r="16" spans="1:12" ht="12.75">
      <c r="A16" s="3316"/>
      <c r="B16" s="3303"/>
      <c r="C16" s="3321"/>
      <c r="D16" s="3339"/>
      <c r="E16" s="136" t="s">
        <v>1910</v>
      </c>
      <c r="F16" s="1912"/>
      <c r="G16" s="1912"/>
      <c r="H16" s="1912"/>
      <c r="I16" s="1526"/>
    </row>
    <row r="17" spans="1:36" ht="15">
      <c r="A17" s="1913" t="s">
        <v>1911</v>
      </c>
      <c r="B17" s="60"/>
      <c r="C17" s="137">
        <f>SUM(C5:C16)</f>
        <v>5</v>
      </c>
      <c r="D17" s="137">
        <f>SUM(D5:D16)</f>
        <v>5</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326" t="s">
        <v>2813</v>
      </c>
      <c r="F18" s="3327"/>
      <c r="G18" s="3327"/>
      <c r="H18" s="3327"/>
      <c r="I18" s="3327"/>
      <c r="K18" s="308" t="s">
        <v>1915</v>
      </c>
      <c r="L18" s="308">
        <f>IF(C1="",'数据-汇总表'!E3,SUMIF(项目类型,C1,'数据-汇总表'!E17:E26)+SUMIF(项目类型,C1,'数据-汇总表'!I17:I26))</f>
        <v>171669.99</v>
      </c>
      <c r="M18" s="308">
        <f>IF(C1="",'数据-汇总表'!E3,SUMIF(项目类型,C1,'数据-汇总表'!E17:E26))</f>
        <v>171669.99</v>
      </c>
    </row>
    <row r="19" spans="1:36" ht="15">
      <c r="A19" s="1916" t="s">
        <v>1916</v>
      </c>
      <c r="B19" s="1917" t="s">
        <v>1917</v>
      </c>
      <c r="C19" s="139">
        <f ca="1">SUMIF(INDIRECT("'"&amp;C4&amp;"'"&amp;"!A:A"),结果表!B19,INDIRECT("'"&amp;C4&amp;"'"&amp;"!B:B"))</f>
        <v>118169</v>
      </c>
      <c r="D19" s="140">
        <f ca="1">SUMIF(INDIRECT("'"&amp;D4&amp;"'"&amp;"!A:A"),结果表!B19,INDIRECT("'"&amp;D4&amp;"'"&amp;"!B:B"))</f>
        <v>95786</v>
      </c>
      <c r="E19" s="1916" t="s">
        <v>1918</v>
      </c>
      <c r="F19" s="1917" t="s">
        <v>1917</v>
      </c>
      <c r="G19" s="141">
        <f ca="1">ROUND(C19*$C$18+D19*$D$18,0)</f>
        <v>106978</v>
      </c>
      <c r="H19" s="1918" t="s">
        <v>1919</v>
      </c>
      <c r="I19" s="134"/>
      <c r="K19" s="308" t="s">
        <v>1920</v>
      </c>
      <c r="L19" s="308">
        <f>IF(C1="",'数据-汇总表'!D3,SUMIF(项目类型,C1,'数据-汇总表'!D17:D26)+SUMIF(项目类型,C1,'数据-汇总表'!H17:H27))</f>
        <v>57307</v>
      </c>
      <c r="M19" s="308">
        <f>IF(C1="",'数据-汇总表'!D3,SUMIF(项目类型,C1,'数据-汇总表'!D17:D26))</f>
        <v>57307</v>
      </c>
    </row>
    <row r="20" spans="1:36" ht="15">
      <c r="A20" s="1919"/>
      <c r="B20" s="1157" t="s">
        <v>1921</v>
      </c>
      <c r="C20" s="142">
        <f ca="1">SUMIF(INDIRECT("'"&amp;C4&amp;"'"&amp;"!A:A"),结果表!B20,INDIRECT("'"&amp;C4&amp;"'"&amp;"!B:B"))</f>
        <v>6883</v>
      </c>
      <c r="D20" s="143">
        <f ca="1">SUMIF(INDIRECT("'"&amp;D4&amp;"'"&amp;"!A:A"),结果表!B20,INDIRECT("'"&amp;D4&amp;"'"&amp;"!B:B"))</f>
        <v>5580</v>
      </c>
      <c r="E20" s="1919"/>
      <c r="F20" s="1157" t="s">
        <v>1921</v>
      </c>
      <c r="G20" s="144">
        <f ca="1">ROUND(C20*$C$18+D20*$D$18,0)</f>
        <v>6232</v>
      </c>
      <c r="H20" s="917" t="s">
        <v>1922</v>
      </c>
      <c r="I20" s="134"/>
    </row>
    <row r="21" spans="1:36" ht="15" customHeight="1" thickBot="1">
      <c r="A21" s="937"/>
      <c r="B21" s="1920" t="s">
        <v>1923</v>
      </c>
      <c r="C21" s="728">
        <f ca="1">ROUND(C19*10000/L19,0)</f>
        <v>20620</v>
      </c>
      <c r="D21" s="729">
        <f ca="1">ROUND(D19*10000/L19,0)</f>
        <v>16715</v>
      </c>
      <c r="E21" s="937"/>
      <c r="F21" s="1920" t="s">
        <v>1923</v>
      </c>
      <c r="G21" s="145">
        <f ca="1">ROUND(G19*10000/L19,0)</f>
        <v>18668</v>
      </c>
      <c r="H21" s="1921" t="s">
        <v>1922</v>
      </c>
      <c r="I21" s="134"/>
    </row>
    <row r="22" spans="1:36" ht="15" thickBot="1">
      <c r="A22" s="1843" t="s">
        <v>1924</v>
      </c>
      <c r="B22" s="1922"/>
      <c r="C22" s="1923"/>
      <c r="D22" s="730">
        <f ca="1">IF(C19&lt;D19,D19/C19-1,C19/D19-1)</f>
        <v>0.23367715532541289</v>
      </c>
      <c r="E22" s="134"/>
      <c r="F22" s="134"/>
      <c r="G22" s="134"/>
      <c r="H22" s="134"/>
      <c r="I22" s="134"/>
    </row>
    <row r="23" spans="1:36" ht="13.5" thickBot="1">
      <c r="A23" s="1902"/>
      <c r="B23" s="1902"/>
      <c r="C23" s="1902"/>
      <c r="D23" s="1902"/>
      <c r="E23" s="134"/>
      <c r="F23" s="134"/>
      <c r="G23" s="134"/>
      <c r="H23" s="134"/>
      <c r="I23" s="134"/>
    </row>
    <row r="24" spans="1:36" ht="14.25">
      <c r="A24" s="3310" t="s">
        <v>1925</v>
      </c>
      <c r="B24" s="1917" t="s">
        <v>1917</v>
      </c>
      <c r="C24" s="141">
        <f>IF(B30=0,0,D30)</f>
        <v>15000</v>
      </c>
      <c r="D24" s="1924"/>
      <c r="E24" s="134"/>
      <c r="F24" s="134"/>
      <c r="G24" s="134"/>
      <c r="H24" s="134"/>
      <c r="I24" s="134"/>
    </row>
    <row r="25" spans="1:36" ht="14.25">
      <c r="A25" s="3311"/>
      <c r="B25" s="1157" t="s">
        <v>1921</v>
      </c>
      <c r="C25" s="146">
        <f>IF(B30=0,0,C30)</f>
        <v>15000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v>1</v>
      </c>
      <c r="C30" s="147">
        <v>15000</v>
      </c>
      <c r="D30" s="147">
        <v>15000</v>
      </c>
      <c r="E30" s="2490" t="s">
        <v>2814</v>
      </c>
      <c r="F30" s="134"/>
      <c r="G30" s="134"/>
      <c r="H30" s="134"/>
      <c r="I30" s="134"/>
    </row>
    <row r="31" spans="1:36" s="2496" customFormat="1" ht="26.45" customHeight="1" thickTop="1" thickBot="1">
      <c r="A31" s="2491"/>
      <c r="B31" s="2492"/>
      <c r="C31" s="2492"/>
      <c r="D31" s="2492"/>
      <c r="E31" s="2492"/>
      <c r="F31" s="2492"/>
      <c r="G31" s="2492"/>
      <c r="H31" s="2492"/>
      <c r="I31" s="2493" t="s">
        <v>2815</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91978</v>
      </c>
      <c r="D32" s="1930" t="s">
        <v>3180</v>
      </c>
      <c r="E32" s="134"/>
      <c r="F32" s="134"/>
      <c r="G32" s="134"/>
      <c r="H32" s="134"/>
      <c r="I32" s="134"/>
    </row>
    <row r="33" spans="1:15" ht="15">
      <c r="A33" s="894" t="s">
        <v>1932</v>
      </c>
      <c r="B33" s="1931"/>
      <c r="C33" s="1932" t="s">
        <v>3181</v>
      </c>
      <c r="D33" s="1933" t="s">
        <v>3179</v>
      </c>
      <c r="E33" s="1934" t="s">
        <v>1933</v>
      </c>
      <c r="F33" s="1935" t="str">
        <f>IF(D32="楼面单价","取值（单价）","取值（总价）")</f>
        <v>取值（总价）</v>
      </c>
      <c r="G33" s="134"/>
      <c r="H33" s="134"/>
      <c r="I33" s="134"/>
    </row>
    <row r="34" spans="1:15" ht="15">
      <c r="A34" s="1936"/>
      <c r="B34" s="1937" t="s">
        <v>1934</v>
      </c>
      <c r="C34" s="153">
        <f ca="1">IF(C33="自定义",F34,C32-C35)</f>
        <v>13429</v>
      </c>
      <c r="D34" s="970">
        <f ca="1">IF(C33="自定义",ROUND(C34/C32,3),IF(C33="收益比率",SUMIF(INDIRECT("'"&amp;D33&amp;"'"&amp;"!b:b"),"土地收益比率",INDIRECT("'"&amp;D33&amp;"'"&amp;"!c:c")),SUMIF(INDIRECT("'"&amp;D33&amp;"'"&amp;"!b:b"),"土地成本比率",INDIRECT("'"&amp;D33&amp;"'"&amp;"!c:c"))))</f>
        <v>0.14600000000000002</v>
      </c>
      <c r="E34" s="1938" t="s">
        <v>1935</v>
      </c>
      <c r="F34" s="1469"/>
      <c r="G34" s="134"/>
      <c r="H34" s="134"/>
      <c r="I34" s="134"/>
    </row>
    <row r="35" spans="1:15" ht="15.75" thickBot="1">
      <c r="A35" s="1939"/>
      <c r="B35" s="1940" t="s">
        <v>1936</v>
      </c>
      <c r="C35" s="1304">
        <f ca="1">IF(C33="自定义",F35,ROUND(C32*D35,0))</f>
        <v>78549</v>
      </c>
      <c r="D35" s="1305">
        <f ca="1">IF(C33="自定义",ROUND(C35/C32,3),IF(C33="收益比率",SUMIF(INDIRECT("'"&amp;D33&amp;"'"&amp;"!b:b"),"建筑物收益比率",INDIRECT("'"&amp;D33&amp;"'"&amp;"!c:c")),SUMIF(INDIRECT("'"&amp;D33&amp;"'"&amp;"!b:b"),"建筑物成本比率",INDIRECT("'"&amp;D33&amp;"'"&amp;"!c:c"))))</f>
        <v>0.85399999999999998</v>
      </c>
      <c r="E35" s="1941" t="s">
        <v>1937</v>
      </c>
      <c r="F35" s="159"/>
      <c r="G35" s="134"/>
      <c r="H35" s="134"/>
      <c r="I35" s="134"/>
    </row>
    <row r="36" spans="1:15" ht="15.75" thickBot="1">
      <c r="A36" s="3330" t="s">
        <v>1938</v>
      </c>
      <c r="B36" s="1942" t="s">
        <v>1939</v>
      </c>
      <c r="C36" s="150"/>
      <c r="D36" s="1943"/>
      <c r="E36" s="1944"/>
      <c r="F36" s="1945"/>
      <c r="G36" s="134"/>
      <c r="H36" s="134"/>
      <c r="I36" s="134"/>
    </row>
    <row r="37" spans="1:15" ht="15.75" thickBot="1">
      <c r="A37" s="3331"/>
      <c r="B37" s="1829" t="s">
        <v>1940</v>
      </c>
      <c r="C37" s="152"/>
      <c r="D37" s="1273"/>
      <c r="E37" s="1273"/>
      <c r="F37" s="1945"/>
      <c r="G37" s="134"/>
      <c r="H37" s="134"/>
      <c r="I37" s="134"/>
    </row>
    <row r="38" spans="1:15" ht="15.75" thickBot="1">
      <c r="A38" s="3332"/>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07" t="s">
        <v>1952</v>
      </c>
      <c r="B45" s="3308"/>
      <c r="C45" s="3309"/>
      <c r="D45" s="160">
        <f ca="1">ROUND(H101*F45,0)</f>
        <v>91978</v>
      </c>
      <c r="E45" s="161" t="s">
        <v>1953</v>
      </c>
      <c r="F45" s="162">
        <v>1</v>
      </c>
      <c r="G45" s="163" t="s">
        <v>1954</v>
      </c>
      <c r="H45" s="134"/>
      <c r="I45" s="134"/>
      <c r="J45" s="3388" t="s">
        <v>1955</v>
      </c>
      <c r="K45" s="3388"/>
      <c r="L45" s="3388"/>
      <c r="M45" s="3388"/>
      <c r="N45" s="3388"/>
      <c r="O45" s="3388"/>
    </row>
    <row r="46" spans="1:15" ht="14.25" customHeight="1">
      <c r="A46" s="3304" t="s">
        <v>1956</v>
      </c>
      <c r="B46" s="3305"/>
      <c r="C46" s="3305"/>
      <c r="D46" s="3305"/>
      <c r="E46" s="3305"/>
      <c r="F46" s="3305"/>
      <c r="G46" s="3306"/>
      <c r="H46" s="1961"/>
      <c r="I46" s="164"/>
      <c r="J46" s="2718">
        <v>1</v>
      </c>
      <c r="K46" s="3369" t="s">
        <v>1957</v>
      </c>
      <c r="L46" s="3369"/>
      <c r="M46" s="3389"/>
      <c r="N46" s="3389"/>
      <c r="O46" s="3389"/>
    </row>
    <row r="47" spans="1:15" ht="12" customHeight="1">
      <c r="A47" s="165" t="s">
        <v>1958</v>
      </c>
      <c r="B47" s="166"/>
      <c r="C47" s="167"/>
      <c r="D47" s="1219" t="s">
        <v>1959</v>
      </c>
      <c r="E47" s="308" t="s">
        <v>1960</v>
      </c>
      <c r="F47" s="168" t="s">
        <v>1961</v>
      </c>
      <c r="G47" s="2741" t="s">
        <v>1962</v>
      </c>
      <c r="H47" s="2742"/>
      <c r="I47" s="164"/>
      <c r="J47" s="2718">
        <v>2</v>
      </c>
      <c r="K47" s="3369" t="s">
        <v>1963</v>
      </c>
      <c r="L47" s="3369"/>
      <c r="M47" s="3390">
        <f>'数据-取费表'!B2</f>
        <v>44662</v>
      </c>
      <c r="N47" s="3390"/>
      <c r="O47" s="3390"/>
    </row>
    <row r="48" spans="1:15" ht="25.5">
      <c r="A48" s="3335" t="s">
        <v>1964</v>
      </c>
      <c r="B48" s="3318"/>
      <c r="C48" s="3318"/>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69" t="s">
        <v>1966</v>
      </c>
      <c r="L48" s="3369"/>
      <c r="M48" s="3391">
        <f ca="1">H101</f>
        <v>91978</v>
      </c>
      <c r="N48" s="3391"/>
      <c r="O48" s="3391"/>
    </row>
    <row r="49" spans="1:35" ht="25.5" customHeight="1">
      <c r="A49" s="2525" t="s">
        <v>1967</v>
      </c>
      <c r="B49" s="3302" t="s">
        <v>1968</v>
      </c>
      <c r="C49" s="3302"/>
      <c r="D49" s="1744">
        <v>0</v>
      </c>
      <c r="E49" s="330" t="s">
        <v>1969</v>
      </c>
      <c r="F49" s="2619" t="s">
        <v>34</v>
      </c>
      <c r="G49" s="3375"/>
      <c r="H49" s="2497" t="s">
        <v>2816</v>
      </c>
      <c r="I49" s="2498"/>
      <c r="J49" s="2718">
        <v>4</v>
      </c>
      <c r="K49" s="3369" t="str">
        <f>IF(项目基本情况!E8="房地产抵押价值","房地产抵押价值","抵押担保权已注销时的房地产抵押价值")</f>
        <v>房地产抵押价值</v>
      </c>
      <c r="L49" s="3369"/>
      <c r="M49" s="3391">
        <f ca="1">IF(项目基本情况!E8="房地产抵押价值",H107,H109)</f>
        <v>91978</v>
      </c>
      <c r="N49" s="3391"/>
      <c r="O49" s="3391"/>
    </row>
    <row r="50" spans="1:35" ht="25.5" customHeight="1">
      <c r="A50" s="2746"/>
      <c r="B50" s="3302" t="s">
        <v>1970</v>
      </c>
      <c r="C50" s="3302"/>
      <c r="D50" s="2747"/>
      <c r="E50" s="338"/>
      <c r="F50" s="2619"/>
      <c r="G50" s="3376"/>
      <c r="H50" s="2499" t="s">
        <v>2817</v>
      </c>
      <c r="I50" s="2498"/>
      <c r="J50" s="3388" t="s">
        <v>1971</v>
      </c>
      <c r="K50" s="3388"/>
      <c r="L50" s="3388"/>
      <c r="M50" s="3388"/>
      <c r="N50" s="3388"/>
      <c r="O50" s="3388"/>
    </row>
    <row r="51" spans="1:35" ht="20.45" customHeight="1">
      <c r="A51" s="2748"/>
      <c r="B51" s="3302" t="s">
        <v>1972</v>
      </c>
      <c r="C51" s="3302"/>
      <c r="D51" s="1219"/>
      <c r="E51" s="333"/>
      <c r="F51" s="2619"/>
      <c r="G51" s="3377"/>
      <c r="H51" s="2499" t="s">
        <v>2818</v>
      </c>
      <c r="I51" s="2498"/>
      <c r="J51" s="2719" t="s">
        <v>1973</v>
      </c>
      <c r="K51" s="3369" t="s">
        <v>1974</v>
      </c>
      <c r="L51" s="3369"/>
      <c r="M51" s="2719" t="s">
        <v>1975</v>
      </c>
      <c r="N51" s="2719" t="s">
        <v>1976</v>
      </c>
      <c r="O51" s="2719" t="s">
        <v>1977</v>
      </c>
    </row>
    <row r="52" spans="1:35" ht="24" customHeight="1">
      <c r="A52" s="2527" t="s">
        <v>1978</v>
      </c>
      <c r="B52" s="3302" t="s">
        <v>1979</v>
      </c>
      <c r="C52" s="3302"/>
      <c r="D52" s="1219">
        <f ca="1">ROUND(D45*'数据-取费表'!B41/(1+'数据-取费表'!C42),0)</f>
        <v>4818</v>
      </c>
      <c r="E52" s="2526" t="s">
        <v>1980</v>
      </c>
      <c r="F52" s="2749">
        <f>'数据-取费表'!B41</f>
        <v>5.5000000000000007E-2</v>
      </c>
      <c r="G52" s="2750"/>
      <c r="H52" s="2739"/>
      <c r="I52" s="1962"/>
      <c r="J52" s="2718">
        <v>1</v>
      </c>
      <c r="K52" s="3370" t="s">
        <v>1981</v>
      </c>
      <c r="L52" s="3370"/>
      <c r="M52" s="2720" t="b">
        <f>D48</f>
        <v>0</v>
      </c>
      <c r="N52" s="2718" t="str">
        <f>E48</f>
        <v>销售额×税（费）率</v>
      </c>
      <c r="O52" s="2721">
        <f>F48</f>
        <v>5.5000000000000007E-2</v>
      </c>
    </row>
    <row r="53" spans="1:35" ht="12" customHeight="1">
      <c r="A53" s="2527" t="s">
        <v>1982</v>
      </c>
      <c r="B53" s="3328" t="s">
        <v>2968</v>
      </c>
      <c r="C53" s="3329"/>
      <c r="D53" s="1219">
        <f ca="1">ROUND(D45*'数据-取费表'!B41/(1+'数据-取费表'!C42),0)</f>
        <v>4818</v>
      </c>
      <c r="E53" s="2526" t="s">
        <v>1980</v>
      </c>
      <c r="F53" s="2749">
        <f>'数据-取费表'!B41</f>
        <v>5.5000000000000007E-2</v>
      </c>
      <c r="G53" s="2750"/>
      <c r="H53" s="2739"/>
      <c r="I53" s="1962"/>
      <c r="J53" s="2718">
        <v>2</v>
      </c>
      <c r="K53" s="3370" t="s">
        <v>1983</v>
      </c>
      <c r="L53" s="3370"/>
      <c r="M53" s="2720">
        <f t="shared" ref="M53:O54" ca="1" si="0">D55</f>
        <v>46</v>
      </c>
      <c r="N53" s="2718" t="str">
        <f t="shared" si="0"/>
        <v>销售额×税（费）率</v>
      </c>
      <c r="O53" s="2721" t="str">
        <f t="shared" si="0"/>
        <v>免征</v>
      </c>
    </row>
    <row r="54" spans="1:35" ht="12" customHeight="1">
      <c r="A54" s="2527" t="s">
        <v>1984</v>
      </c>
      <c r="B54" s="3328" t="s">
        <v>2969</v>
      </c>
      <c r="C54" s="3329"/>
      <c r="D54" s="1219">
        <f ca="1">C68</f>
        <v>4818</v>
      </c>
      <c r="E54" s="333" t="s">
        <v>1985</v>
      </c>
      <c r="F54" s="2749">
        <f>'数据-取费表'!B41</f>
        <v>5.5000000000000007E-2</v>
      </c>
      <c r="G54" s="2750"/>
      <c r="H54" s="2751"/>
      <c r="I54" s="1962"/>
      <c r="J54" s="2718">
        <v>3</v>
      </c>
      <c r="K54" s="3370" t="s">
        <v>1986</v>
      </c>
      <c r="L54" s="3370"/>
      <c r="M54" s="2720">
        <f t="shared" ca="1" si="0"/>
        <v>52143</v>
      </c>
      <c r="N54" s="2718" t="str">
        <f t="shared" si="0"/>
        <v>增值额×税（费）率</v>
      </c>
      <c r="O54" s="2722" t="str">
        <f t="shared" si="0"/>
        <v>免征</v>
      </c>
    </row>
    <row r="55" spans="1:35" ht="24" customHeight="1">
      <c r="A55" s="3317" t="s">
        <v>1987</v>
      </c>
      <c r="B55" s="3318"/>
      <c r="C55" s="3318"/>
      <c r="D55" s="2516">
        <f ca="1">IF(H55="个人住宅",0,ROUND(D45*I55,0))</f>
        <v>46</v>
      </c>
      <c r="E55" s="2526" t="s">
        <v>1988</v>
      </c>
      <c r="F55" s="2749" t="str">
        <f>IF(H55="正常",I55,"免征")</f>
        <v>免征</v>
      </c>
      <c r="G55" s="2750"/>
      <c r="H55" s="2745"/>
      <c r="I55" s="170">
        <f>'数据-取费表'!B49</f>
        <v>5.0000000000000001E-4</v>
      </c>
      <c r="J55" s="2718">
        <f>IF(H59="非个人房产","",4)</f>
        <v>4</v>
      </c>
      <c r="K55" s="3370" t="str">
        <f>IF(H59="非个人房产","——","个人所得税")</f>
        <v>个人所得税</v>
      </c>
      <c r="L55" s="3370"/>
      <c r="M55" s="2723">
        <f ca="1">D59</f>
        <v>876</v>
      </c>
      <c r="N55" s="2197" t="str">
        <f>E59</f>
        <v>差额计税</v>
      </c>
      <c r="O55" s="2724">
        <f>F59</f>
        <v>0.01</v>
      </c>
    </row>
    <row r="56" spans="1:35" ht="24.75">
      <c r="A56" s="3317" t="s">
        <v>1989</v>
      </c>
      <c r="B56" s="3318"/>
      <c r="C56" s="3318"/>
      <c r="D56" s="2516">
        <f ca="1">IF(H56="个人住宅",D57,D58)</f>
        <v>52143</v>
      </c>
      <c r="E56" s="2526" t="s">
        <v>1990</v>
      </c>
      <c r="F56" s="2749" t="str">
        <f>IF(H56="正常",F58,"免征")</f>
        <v>免征</v>
      </c>
      <c r="G56" s="2752" t="s">
        <v>1991</v>
      </c>
      <c r="H56" s="2753"/>
      <c r="I56" s="1963"/>
      <c r="J56" s="2718" t="str">
        <f>IF(项目基本情况!K6="上海银行",IF(J55="",4,J55+1),"")</f>
        <v/>
      </c>
      <c r="K56" s="3393" t="str">
        <f>IF(项目基本情况!K6="上海银行","其他处置费用","")</f>
        <v/>
      </c>
      <c r="L56" s="3394"/>
      <c r="M56" s="2720" t="str">
        <f>IF(项目基本情况!K6="上海银行",M69,"")</f>
        <v/>
      </c>
      <c r="N56" s="3393" t="str">
        <f>IF(项目基本情况!K6="上海银行","包含处置中涉及的律师、诉讼、拍卖、评估等费用","")</f>
        <v/>
      </c>
      <c r="O56" s="3396"/>
    </row>
    <row r="57" spans="1:35" ht="12.75">
      <c r="A57" s="2527" t="s">
        <v>1967</v>
      </c>
      <c r="B57" s="3328" t="s">
        <v>1992</v>
      </c>
      <c r="C57" s="3329"/>
      <c r="D57" s="1744">
        <v>0</v>
      </c>
      <c r="E57" s="330" t="s">
        <v>1969</v>
      </c>
      <c r="F57" s="308"/>
      <c r="G57" s="2750"/>
      <c r="H57" s="2754"/>
      <c r="I57" s="1963"/>
      <c r="J57" s="3370">
        <f>IF(AND(J55="",J56=""),4,IF(项目基本情况!K6="上海银行",结果表!J56+1,结果表!J55+1))</f>
        <v>5</v>
      </c>
      <c r="K57" s="3370" t="s">
        <v>1993</v>
      </c>
      <c r="L57" s="2725" t="s">
        <v>1994</v>
      </c>
      <c r="M57" s="2726"/>
      <c r="N57" s="2727">
        <f ca="1">SUMIF(M52:M56,"&lt;9e307")</f>
        <v>53065</v>
      </c>
      <c r="O57" s="2728"/>
      <c r="P57" s="2888">
        <f ca="1">N57/M49</f>
        <v>0.57693144012698694</v>
      </c>
    </row>
    <row r="58" spans="1:35" ht="24.75">
      <c r="A58" s="2527" t="s">
        <v>1978</v>
      </c>
      <c r="B58" s="3328" t="s">
        <v>1995</v>
      </c>
      <c r="C58" s="3302"/>
      <c r="D58" s="2516">
        <f ca="1">IF(H58="转让取得",C81,C97)</f>
        <v>52143</v>
      </c>
      <c r="E58" s="2526" t="s">
        <v>1990</v>
      </c>
      <c r="F58" s="308" t="s">
        <v>34</v>
      </c>
      <c r="G58" s="2750"/>
      <c r="H58" s="2753"/>
      <c r="I58" s="1963"/>
      <c r="J58" s="3370"/>
      <c r="K58" s="3370"/>
      <c r="L58" s="2725" t="s">
        <v>1996</v>
      </c>
      <c r="M58" s="2729"/>
      <c r="N58" s="2730" t="str">
        <f ca="1">NUMBERSTRING(INT(N57*10000),2)&amp;"元整"</f>
        <v>伍亿叁仟零陆拾伍万元整</v>
      </c>
      <c r="O58" s="2731"/>
    </row>
    <row r="59" spans="1:35" ht="24.75" thickBot="1">
      <c r="A59" s="3373" t="s">
        <v>1997</v>
      </c>
      <c r="B59" s="3374"/>
      <c r="C59" s="3374"/>
      <c r="D59" s="2755">
        <f ca="1">IF(H59="非个人房产","——",IF(H59="个人住宅（满五唯一有凭证）",0,IF(H59="个人其他（无凭证）",ROUND(D45*F59,0),ROUND(C67*F59,0))))</f>
        <v>876</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2819</v>
      </c>
      <c r="J59" s="3371">
        <f>J57+1</f>
        <v>6</v>
      </c>
      <c r="K59" s="3370" t="s">
        <v>1998</v>
      </c>
      <c r="L59" s="2718" t="s">
        <v>1994</v>
      </c>
      <c r="M59" s="2732"/>
      <c r="N59" s="2733">
        <f ca="1">M49-N57</f>
        <v>38913</v>
      </c>
      <c r="O59" s="2734"/>
    </row>
    <row r="60" spans="1:35" ht="12" customHeight="1">
      <c r="A60" s="1964"/>
      <c r="B60" s="1902"/>
      <c r="C60" s="1902"/>
      <c r="D60" s="1902"/>
      <c r="E60" s="1732"/>
      <c r="F60" s="1963"/>
      <c r="G60" s="1963"/>
      <c r="H60" s="1965"/>
      <c r="I60" s="134"/>
      <c r="J60" s="3372"/>
      <c r="K60" s="3370"/>
      <c r="L60" s="2725" t="s">
        <v>1996</v>
      </c>
      <c r="M60" s="2729"/>
      <c r="N60" s="2730" t="str">
        <f ca="1">NUMBERSTRING(INT(N59*10000),2)&amp;"元整"</f>
        <v>叁亿捌仟玖佰壹拾叁万元整</v>
      </c>
      <c r="O60" s="2731"/>
    </row>
    <row r="61" spans="1:35" ht="13.5" thickBot="1">
      <c r="A61" s="3315" t="s">
        <v>1999</v>
      </c>
      <c r="B61" s="3315"/>
      <c r="C61" s="3315"/>
      <c r="D61" s="3315"/>
      <c r="E61" s="3315"/>
      <c r="F61" s="1963"/>
      <c r="G61" s="1963"/>
      <c r="H61" s="1965"/>
      <c r="I61" s="134"/>
      <c r="J61" s="2718">
        <f>J59+1</f>
        <v>7</v>
      </c>
      <c r="K61" s="3370" t="s">
        <v>2000</v>
      </c>
      <c r="L61" s="3370"/>
      <c r="M61" s="2735"/>
      <c r="N61" s="2736">
        <f ca="1">ROUND(N59*10000/'数据-汇总表'!E3,0)</f>
        <v>2267</v>
      </c>
      <c r="O61" s="2737"/>
    </row>
    <row r="62" spans="1:35" ht="12.75">
      <c r="A62" s="3333" t="s">
        <v>2001</v>
      </c>
      <c r="B62" s="3334"/>
      <c r="C62" s="2178"/>
      <c r="D62" s="2178" t="s">
        <v>2002</v>
      </c>
      <c r="E62" s="171" t="s">
        <v>2003</v>
      </c>
      <c r="F62" s="1963"/>
      <c r="G62" s="1963"/>
      <c r="H62" s="1965"/>
      <c r="I62" s="134"/>
    </row>
    <row r="63" spans="1:35" ht="12.75">
      <c r="A63" s="178" t="s">
        <v>775</v>
      </c>
      <c r="B63" s="172" t="s">
        <v>2004</v>
      </c>
      <c r="C63" s="2759">
        <f ca="1">ROUND((C64+C65)/(1+'数据-取费表'!C42),0)</f>
        <v>87598</v>
      </c>
      <c r="D63" s="172"/>
      <c r="E63" s="173"/>
      <c r="F63" s="1963"/>
      <c r="G63" s="1963"/>
      <c r="H63" s="1965"/>
      <c r="I63" s="134"/>
      <c r="J63" s="3395" t="s">
        <v>2005</v>
      </c>
      <c r="K63" s="1471" t="s">
        <v>2006</v>
      </c>
      <c r="L63" s="1471">
        <f ca="1">IF(M49&gt;10000,M49*0.5%,IF(AND(M49&gt;1000,M49&lt;=10000),M49*1%,IF(AND(M49&gt;100,M49&lt;=1000),M49*3%,IF(AND(M49&gt;10,M49&lt;=100),M49*5%,M49*8%))))</f>
        <v>459.89</v>
      </c>
      <c r="M63" s="308">
        <f ca="1">ROUND(L63,1)</f>
        <v>459.9</v>
      </c>
      <c r="N63" s="2738"/>
      <c r="Z63" s="1907"/>
      <c r="AI63" s="1908"/>
    </row>
    <row r="64" spans="1:35" ht="14.25" customHeight="1">
      <c r="A64" s="174" t="s">
        <v>770</v>
      </c>
      <c r="B64" s="175" t="s">
        <v>2007</v>
      </c>
      <c r="C64" s="2760">
        <f ca="1">D45</f>
        <v>91978</v>
      </c>
      <c r="D64" s="175" t="s">
        <v>32</v>
      </c>
      <c r="E64" s="177"/>
      <c r="F64" s="1963"/>
      <c r="G64" s="1963"/>
      <c r="H64" s="1965"/>
      <c r="I64" s="134"/>
      <c r="J64" s="3395"/>
      <c r="K64" s="1471" t="s">
        <v>2008</v>
      </c>
      <c r="L64" s="1471">
        <f ca="1">IF(M49&gt;2000,M49*0.5%,IF(AND(M49&gt;1000,M49&lt;=2000),M49*0.6%,IF(AND(M49&gt;500,M49&lt;=1000),M49*0.7%,IF(AND(M49&gt;200,M49&lt;=500),M49*0.8%,IF(AND(M49&gt;100,M49&lt;=200),M49*0.9%,IF(AND(M49&gt;50,M49&lt;=100),M49*1%,IF(AND(M49&gt;20,M49&lt;=50),M49*1.5%,IF(AND(M49&gt;10,M49&lt;=20),M49*2%,IF(AND(M49&gt;1,M49&lt;=10),M49*2.5%)))))))))</f>
        <v>459.89</v>
      </c>
      <c r="M64" s="308">
        <f t="shared" ref="M64:M65" ca="1" si="1">ROUND(L64,1)</f>
        <v>459.9</v>
      </c>
      <c r="N64" s="2739" t="s">
        <v>2009</v>
      </c>
      <c r="Z64" s="1907"/>
      <c r="AI64" s="1908"/>
    </row>
    <row r="65" spans="1:35" ht="14.25" customHeight="1">
      <c r="A65" s="174" t="s">
        <v>771</v>
      </c>
      <c r="B65" s="175" t="s">
        <v>2010</v>
      </c>
      <c r="C65" s="2761"/>
      <c r="D65" s="175"/>
      <c r="E65" s="177"/>
      <c r="F65" s="1963"/>
      <c r="G65" s="1963"/>
      <c r="H65" s="1965"/>
      <c r="I65" s="134"/>
      <c r="J65" s="3395"/>
      <c r="K65" s="1471" t="s">
        <v>2011</v>
      </c>
      <c r="L65" s="1471">
        <f ca="1">IF(M49&gt;1000,M49*0.1%,IF(AND(M49&gt;500,M49&lt;=1000),M49*0.5%,IF(AND(M49&gt;50,M49&lt;=500),M49*1%,IF(AND(M49&gt;1,M49&lt;=50),M49*1.5%))))</f>
        <v>91.978000000000009</v>
      </c>
      <c r="M65" s="308">
        <f t="shared" ca="1" si="1"/>
        <v>92</v>
      </c>
      <c r="N65" s="2739" t="s">
        <v>2009</v>
      </c>
      <c r="Z65" s="1907"/>
      <c r="AI65" s="1908"/>
    </row>
    <row r="66" spans="1:35" ht="14.25" customHeight="1">
      <c r="A66" s="178" t="s">
        <v>772</v>
      </c>
      <c r="B66" s="179" t="s">
        <v>2012</v>
      </c>
      <c r="C66" s="2762"/>
      <c r="D66" s="179" t="s">
        <v>32</v>
      </c>
      <c r="E66" s="1478" t="s">
        <v>1277</v>
      </c>
      <c r="F66" s="1963"/>
      <c r="G66" s="1963"/>
      <c r="H66" s="1965"/>
      <c r="I66" s="134"/>
      <c r="J66" s="3395"/>
      <c r="K66" s="1471" t="s">
        <v>2013</v>
      </c>
      <c r="L66" s="1471">
        <f ca="1">M49*0.5%</f>
        <v>459.89</v>
      </c>
      <c r="M66" s="308">
        <f ca="1">IF(L66&gt;0.5,0.5,ROUND(L66,0))</f>
        <v>0.5</v>
      </c>
      <c r="N66" s="2739" t="s">
        <v>2014</v>
      </c>
      <c r="Z66" s="1907"/>
      <c r="AI66" s="1908"/>
    </row>
    <row r="67" spans="1:35" ht="14.25" customHeight="1">
      <c r="A67" s="178" t="s">
        <v>773</v>
      </c>
      <c r="B67" s="179" t="s">
        <v>2015</v>
      </c>
      <c r="C67" s="2763">
        <f ca="1">C63-C66</f>
        <v>87598</v>
      </c>
      <c r="D67" s="175" t="s">
        <v>32</v>
      </c>
      <c r="E67" s="177"/>
      <c r="F67" s="1963"/>
      <c r="G67" s="1963"/>
      <c r="H67" s="1965"/>
      <c r="I67" s="134"/>
      <c r="J67" s="3395"/>
      <c r="K67" s="1471" t="s">
        <v>2016</v>
      </c>
      <c r="L67" s="1471">
        <f ca="1">IF(M49&gt;=10000,(8.25+(M49-10000)*0.01%),IF(AND(M49&gt;=8000,M49&lt;10000),(7.85+(M49-8000)*0.02%),IF(AND(M49&gt;=5000,M49&lt;8000),(6.65+(M49-5000)*0.04%),IF(AND(M49&gt;=2000,M49&lt;5000),(4.25+(PM49-2000)*0.08%),IF(AND(M49&gt;=1000,M49&lt;2000),(2.75+(M49-1000)*0.15%),IF(AND(M49&gt;=100,M49&lt;1000),(0.5+(M49-100)*0.25%),IF(AND(M49&gt;0,M49&lt;100),M49*0.5%)))))))</f>
        <v>16.447800000000001</v>
      </c>
      <c r="M67" s="308">
        <f ca="1">ROUND(L67*0.9,1)</f>
        <v>14.8</v>
      </c>
      <c r="N67" s="2738"/>
      <c r="Z67" s="1907"/>
      <c r="AI67" s="1908"/>
    </row>
    <row r="68" spans="1:35" ht="14.25" customHeight="1" thickBot="1">
      <c r="A68" s="181" t="s">
        <v>774</v>
      </c>
      <c r="B68" s="182" t="s">
        <v>2017</v>
      </c>
      <c r="C68" s="2764">
        <f ca="1">IF(C67&lt;=0,0,ROUND(C67*D68,0))</f>
        <v>4818</v>
      </c>
      <c r="D68" s="2765">
        <f>'数据-取费表'!B41</f>
        <v>5.5000000000000007E-2</v>
      </c>
      <c r="E68" s="184"/>
      <c r="F68" s="1963"/>
      <c r="G68" s="1963"/>
      <c r="H68" s="1965"/>
      <c r="I68" s="134"/>
      <c r="J68" s="3395"/>
      <c r="K68" s="1471" t="s">
        <v>2018</v>
      </c>
      <c r="L68" s="1471">
        <f ca="1">IF(M49&gt;10000,M49*0.5%,IF(AND(M49&gt;5000,M49&lt;=10000),M49*1%,IF(AND(M49&gt;1000,M49&lt;=5000),M49*2%,IF(AND(M49&gt;200,M49&lt;=1000),M49*3%,M49*5%))))</f>
        <v>459.89</v>
      </c>
      <c r="M68" s="308">
        <f ca="1">ROUND(L68,1)</f>
        <v>459.9</v>
      </c>
      <c r="N68" s="2738"/>
      <c r="Z68" s="1907"/>
      <c r="AI68" s="1908"/>
    </row>
    <row r="69" spans="1:35" s="1927" customFormat="1" ht="16.5" customHeight="1">
      <c r="A69" s="1966"/>
      <c r="B69" s="1967"/>
      <c r="C69" s="1968"/>
      <c r="D69" s="1969"/>
      <c r="E69" s="1970"/>
      <c r="F69" s="1732"/>
      <c r="G69" s="1732"/>
      <c r="H69" s="1731"/>
      <c r="I69" s="1902"/>
      <c r="J69" s="3395"/>
      <c r="K69" s="1471" t="s">
        <v>2019</v>
      </c>
      <c r="L69" s="1471"/>
      <c r="M69" s="308">
        <f ca="1">ROUND(SUM(M63:M68),0)</f>
        <v>1487</v>
      </c>
      <c r="N69" s="2740">
        <f ca="1">M69/M49</f>
        <v>1.616690947835352E-2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54" t="s">
        <v>2020</v>
      </c>
      <c r="B70" s="3355"/>
      <c r="C70" s="3355"/>
      <c r="D70" s="3355"/>
      <c r="E70" s="3355"/>
      <c r="F70" s="3355"/>
      <c r="G70" s="3355"/>
      <c r="H70" s="3355"/>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33" t="s">
        <v>2001</v>
      </c>
      <c r="B71" s="3334"/>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87598</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438</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28" t="s">
        <v>2028</v>
      </c>
      <c r="F76" s="3302"/>
      <c r="G76" s="3302"/>
      <c r="H76" s="3353"/>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438</v>
      </c>
      <c r="D78" s="2772">
        <f>'数据-取费表'!B43</f>
        <v>5.000000000000001E-3</v>
      </c>
      <c r="E78" s="3312" t="s">
        <v>2032</v>
      </c>
      <c r="F78" s="3313"/>
      <c r="G78" s="3313"/>
      <c r="H78" s="3322"/>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87160</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198.99543378995435</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52143</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54" t="s">
        <v>2036</v>
      </c>
      <c r="B83" s="3355"/>
      <c r="C83" s="3355"/>
      <c r="D83" s="3355"/>
      <c r="E83" s="3355"/>
      <c r="F83" s="3355"/>
      <c r="G83" s="3355"/>
      <c r="H83" s="3355"/>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33" t="s">
        <v>2001</v>
      </c>
      <c r="B84" s="3334"/>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87598</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438</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2965</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397" t="s">
        <v>2811</v>
      </c>
      <c r="H90" s="3398"/>
      <c r="I90" s="1976"/>
      <c r="J90" s="2716" t="s">
        <v>2966</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12" t="s">
        <v>2045</v>
      </c>
      <c r="F91" s="3313"/>
      <c r="G91" s="3313"/>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12" t="s">
        <v>2048</v>
      </c>
      <c r="F92" s="3313"/>
      <c r="G92" s="3313"/>
      <c r="H92" s="3322"/>
      <c r="I92" s="1976"/>
      <c r="J92" s="2717" t="s">
        <v>2967</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438</v>
      </c>
      <c r="D93" s="2772">
        <f>'数据-取费表'!B43</f>
        <v>5.000000000000001E-3</v>
      </c>
      <c r="E93" s="3312" t="s">
        <v>2032</v>
      </c>
      <c r="F93" s="3313"/>
      <c r="G93" s="3313"/>
      <c r="H93" s="3322"/>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23" t="s">
        <v>2052</v>
      </c>
      <c r="F94" s="3324"/>
      <c r="G94" s="3324"/>
      <c r="H94" s="3325"/>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87160</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198.99543378995435</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52143</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296" t="s">
        <v>2054</v>
      </c>
      <c r="B100" s="3297"/>
      <c r="C100" s="3297"/>
      <c r="D100" s="3314"/>
      <c r="E100" s="3297" t="s">
        <v>2055</v>
      </c>
      <c r="F100" s="3297"/>
      <c r="G100" s="3297"/>
      <c r="H100" s="3314"/>
      <c r="I100" s="134"/>
    </row>
    <row r="101" spans="1:35" ht="18.75" customHeight="1">
      <c r="A101" s="3378" t="s">
        <v>2056</v>
      </c>
      <c r="B101" s="3379"/>
      <c r="C101" s="2780" t="str">
        <f>C4</f>
        <v>成本法</v>
      </c>
      <c r="D101" s="2781" t="str">
        <f>D4</f>
        <v>收益法</v>
      </c>
      <c r="E101" s="3392" t="s">
        <v>2057</v>
      </c>
      <c r="F101" s="3346"/>
      <c r="G101" s="1982" t="s">
        <v>2058</v>
      </c>
      <c r="H101" s="2790">
        <f ca="1">H118</f>
        <v>91978</v>
      </c>
      <c r="I101" s="134"/>
    </row>
    <row r="102" spans="1:35" ht="18.75" customHeight="1">
      <c r="A102" s="3348" t="s">
        <v>2059</v>
      </c>
      <c r="B102" s="2779" t="s">
        <v>2058</v>
      </c>
      <c r="C102" s="2780">
        <f ca="1">C19</f>
        <v>118169</v>
      </c>
      <c r="D102" s="2781">
        <f ca="1">D19</f>
        <v>95786</v>
      </c>
      <c r="E102" s="3392"/>
      <c r="F102" s="3346"/>
      <c r="G102" s="1982" t="s">
        <v>2060</v>
      </c>
      <c r="H102" s="2750">
        <f ca="1">I118</f>
        <v>5358</v>
      </c>
      <c r="I102" s="134"/>
    </row>
    <row r="103" spans="1:35" ht="42.75" customHeight="1">
      <c r="A103" s="3348"/>
      <c r="B103" s="2779" t="s">
        <v>2060</v>
      </c>
      <c r="C103" s="2782">
        <f ca="1">C20</f>
        <v>6883</v>
      </c>
      <c r="D103" s="2783">
        <f ca="1">D20</f>
        <v>5580</v>
      </c>
      <c r="E103" s="3386" t="s">
        <v>2061</v>
      </c>
      <c r="F103" s="3387"/>
      <c r="G103" s="1983" t="s">
        <v>2062</v>
      </c>
      <c r="H103" s="2790">
        <f>IF(D36="正常操作",H104+H105+H106,H105+H106)</f>
        <v>0</v>
      </c>
      <c r="I103" s="134"/>
    </row>
    <row r="104" spans="1:35" ht="18.75" customHeight="1">
      <c r="A104" s="3348" t="s">
        <v>2063</v>
      </c>
      <c r="B104" s="2784" t="s">
        <v>2058</v>
      </c>
      <c r="C104" s="2785">
        <f ca="1">H118</f>
        <v>91978</v>
      </c>
      <c r="D104" s="2786"/>
      <c r="E104" s="1829" t="s">
        <v>2064</v>
      </c>
      <c r="F104" s="1820"/>
      <c r="G104" s="1983" t="s">
        <v>2062</v>
      </c>
      <c r="H104" s="2791">
        <f>IF(D36="同一抵押权人同一抵押物续贷",C36&amp;"（续贷，未扣减，详见特别提示）",C36)</f>
        <v>0</v>
      </c>
      <c r="I104" s="134"/>
    </row>
    <row r="105" spans="1:35" ht="18.75" customHeight="1" thickBot="1">
      <c r="A105" s="3349"/>
      <c r="B105" s="2787" t="s">
        <v>2060</v>
      </c>
      <c r="C105" s="2788">
        <f ca="1">I118</f>
        <v>5358</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45" t="str">
        <f>IF(项目基本情况!E8="已注销","——","3.房地产抵押价值")</f>
        <v>3.房地产抵押价值</v>
      </c>
      <c r="F107" s="3346"/>
      <c r="G107" s="1982" t="s">
        <v>2058</v>
      </c>
      <c r="H107" s="2790">
        <f ca="1">IF(E107="——","——",H101-H103)</f>
        <v>91978</v>
      </c>
      <c r="I107" s="134"/>
    </row>
    <row r="108" spans="1:35" ht="18.75" customHeight="1">
      <c r="A108" s="134"/>
      <c r="B108" s="134"/>
      <c r="C108" s="134"/>
      <c r="D108" s="134"/>
      <c r="E108" s="3345"/>
      <c r="F108" s="3346"/>
      <c r="G108" s="1982" t="s">
        <v>2060</v>
      </c>
      <c r="H108" s="2750">
        <f ca="1">ROUND(H107*10000/'数据-汇总表'!E3,0)</f>
        <v>5358</v>
      </c>
      <c r="I108" s="134"/>
    </row>
    <row r="109" spans="1:35" ht="18.75" customHeight="1">
      <c r="A109" s="134"/>
      <c r="B109" s="134"/>
      <c r="C109" s="134"/>
      <c r="D109" s="134"/>
      <c r="E109" s="3345" t="str">
        <f>IF(项目基本情况!E8="已注销及未注销","4.抵押担保权已注销时的房地产抵押价值",IF(项目基本情况!E8="已注销","3.抵押担保权已注销时的房地产抵押价值","——"))</f>
        <v>——</v>
      </c>
      <c r="F109" s="3346"/>
      <c r="G109" s="1982" t="s">
        <v>2058</v>
      </c>
      <c r="H109" s="2793" t="str">
        <f>IF(E109="——","——",H101-H105-H106)</f>
        <v>——</v>
      </c>
      <c r="I109" s="134"/>
    </row>
    <row r="110" spans="1:35" ht="18.75" customHeight="1">
      <c r="A110" s="134"/>
      <c r="B110" s="134"/>
      <c r="C110" s="134"/>
      <c r="D110" s="134"/>
      <c r="E110" s="3345"/>
      <c r="F110" s="3346"/>
      <c r="G110" s="1982" t="s">
        <v>2060</v>
      </c>
      <c r="H110" s="2750" t="str">
        <f>IF(H109="——","——",ROUND(H109*10000/'数据-汇总表'!E3,0))</f>
        <v>——</v>
      </c>
      <c r="I110" s="134"/>
    </row>
    <row r="111" spans="1:35" ht="18.75" customHeight="1">
      <c r="A111" s="134"/>
      <c r="B111" s="134"/>
      <c r="C111" s="134"/>
      <c r="D111" s="134"/>
      <c r="E111" s="3380" t="str">
        <f>IF(项目基本情况!E9="抵押净值",IF(OR(项目基本情况!E8="已注销",项目基本情况!E8="房地产抵押价值"),"4.抵押净值","5.抵押净值"),"——")</f>
        <v>——</v>
      </c>
      <c r="F111" s="3347"/>
      <c r="G111" s="1982" t="s">
        <v>2058</v>
      </c>
      <c r="H111" s="2790" t="str">
        <f>IF(E111="——","——",N59)</f>
        <v>——</v>
      </c>
      <c r="I111" s="134"/>
    </row>
    <row r="112" spans="1:35" ht="18.75" customHeight="1" thickBot="1">
      <c r="A112" s="134"/>
      <c r="B112" s="134"/>
      <c r="C112" s="134"/>
      <c r="D112" s="134"/>
      <c r="E112" s="3381"/>
      <c r="F112" s="3382"/>
      <c r="G112" s="1985" t="s">
        <v>2060</v>
      </c>
      <c r="H112" s="2794" t="str">
        <f>IF(E111="——","——",N61)</f>
        <v>——</v>
      </c>
      <c r="I112" s="134"/>
    </row>
    <row r="113" spans="1:27" ht="18.75" customHeight="1">
      <c r="A113" s="134"/>
      <c r="B113" s="134"/>
      <c r="C113" s="134"/>
      <c r="D113" s="134"/>
      <c r="E113" s="3350" t="s">
        <v>2066</v>
      </c>
      <c r="F113" s="3350"/>
      <c r="G113" s="3350"/>
      <c r="H113" s="3350"/>
      <c r="I113" s="134"/>
    </row>
    <row r="114" spans="1:27" ht="3.75" customHeight="1">
      <c r="A114" s="1902"/>
      <c r="B114" s="1902"/>
      <c r="C114" s="1902"/>
      <c r="D114" s="1902"/>
      <c r="E114" s="1964"/>
      <c r="F114" s="1964"/>
      <c r="G114" s="1964"/>
      <c r="H114" s="1964"/>
      <c r="I114" s="1902"/>
    </row>
    <row r="115" spans="1:27" ht="18.75" customHeight="1">
      <c r="A115" s="3363" t="s">
        <v>2068</v>
      </c>
      <c r="B115" s="3364"/>
      <c r="C115" s="3364"/>
      <c r="D115" s="3364"/>
      <c r="E115" s="3364"/>
      <c r="F115" s="3364"/>
      <c r="G115" s="3364"/>
      <c r="H115" s="3364"/>
      <c r="I115" s="3365"/>
    </row>
    <row r="116" spans="1:27" ht="27" customHeight="1">
      <c r="A116" s="3316" t="s">
        <v>2069</v>
      </c>
      <c r="B116" s="3351" t="s">
        <v>2070</v>
      </c>
      <c r="C116" s="3351" t="s">
        <v>2071</v>
      </c>
      <c r="D116" s="3367" t="s">
        <v>2072</v>
      </c>
      <c r="E116" s="3368"/>
      <c r="F116" s="3359" t="s">
        <v>2073</v>
      </c>
      <c r="G116" s="3359"/>
      <c r="H116" s="3316" t="s">
        <v>2074</v>
      </c>
      <c r="I116" s="3316"/>
    </row>
    <row r="117" spans="1:27" ht="18.75" customHeight="1">
      <c r="A117" s="3316"/>
      <c r="B117" s="3352"/>
      <c r="C117" s="3352"/>
      <c r="D117" s="2521" t="s">
        <v>2075</v>
      </c>
      <c r="E117" s="2521" t="s">
        <v>2076</v>
      </c>
      <c r="F117" s="2521" t="s">
        <v>2075</v>
      </c>
      <c r="G117" s="2521" t="s">
        <v>2077</v>
      </c>
      <c r="H117" s="2521" t="s">
        <v>2075</v>
      </c>
      <c r="I117" s="2521" t="s">
        <v>2077</v>
      </c>
    </row>
    <row r="118" spans="1:27" ht="24.75" customHeight="1">
      <c r="A118" s="2795" t="str">
        <f>项目基本情况!S2</f>
        <v>房地产</v>
      </c>
      <c r="B118" s="2521">
        <f>M18</f>
        <v>171669.99</v>
      </c>
      <c r="C118" s="2521">
        <f>M19</f>
        <v>57307</v>
      </c>
      <c r="D118" s="2521">
        <f ca="1">ROUND(IF(D32="总价",C34,E118*B118/10000),0)</f>
        <v>13429</v>
      </c>
      <c r="E118" s="2521">
        <f ca="1">ROUND(IF(C33="自定义",IF(D32="楼面单价",C34,D118*10000/B118),I118-G118),0)</f>
        <v>782</v>
      </c>
      <c r="F118" s="2521">
        <f ca="1">ROUND(IF(D32="总价",C35,G118*B118/10000),0)</f>
        <v>78549</v>
      </c>
      <c r="G118" s="2521">
        <f ca="1">ROUND(IF(D32="楼面单价",C35,F118*10000/B118),0)</f>
        <v>4576</v>
      </c>
      <c r="H118" s="2521">
        <f ca="1">ROUND(IF(D32="总价",C32,I118*B118/10000),0)</f>
        <v>91978</v>
      </c>
      <c r="I118" s="2521">
        <f ca="1">ROUND(IF(D32="楼面单价",C32,H118*10000/B118),0)</f>
        <v>5358</v>
      </c>
    </row>
    <row r="119" spans="1:27" ht="18.75" customHeight="1">
      <c r="A119" s="3316" t="s">
        <v>2078</v>
      </c>
      <c r="B119" s="3316"/>
      <c r="C119" s="3316"/>
      <c r="D119" s="3356" t="str">
        <f ca="1">NUMBERSTRING(INT(D118*10000),2)&amp;"元整"</f>
        <v>壹亿叁仟肆佰贰拾玖万元整</v>
      </c>
      <c r="E119" s="3358"/>
      <c r="F119" s="3356" t="str">
        <f ca="1">NUMBERSTRING(INT(F118*10000),2)&amp;"元整"</f>
        <v>柒亿捌仟伍佰肆拾玖万元整</v>
      </c>
      <c r="G119" s="3358"/>
      <c r="H119" s="3356" t="str">
        <f ca="1">NUMBERSTRING(INT(H118*10000),2)&amp;"元整"</f>
        <v>玖亿壹仟玖佰柒拾捌万元整</v>
      </c>
      <c r="I119" s="3358"/>
    </row>
    <row r="120" spans="1:27" ht="18.75" customHeight="1">
      <c r="A120" s="3383" t="str">
        <f>IF(项目基本情况!B9="房地产市场价值","",MID(E103,3,LEN(E103)-2))</f>
        <v>估价师知悉的法定优先受偿款</v>
      </c>
      <c r="B120" s="3384"/>
      <c r="C120" s="3385"/>
      <c r="D120" s="3383">
        <f>H103</f>
        <v>0</v>
      </c>
      <c r="E120" s="3384"/>
      <c r="F120" s="3384"/>
      <c r="G120" s="3384"/>
      <c r="H120" s="3384"/>
      <c r="I120" s="3385"/>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60" t="s">
        <v>2078</v>
      </c>
      <c r="B121" s="3361"/>
      <c r="C121" s="3362"/>
      <c r="D121" s="3356" t="str">
        <f>IF(D120=0,"零元整",NUMBERSTRING(INT(D120*10000),2)&amp;"元整")</f>
        <v>零元整</v>
      </c>
      <c r="E121" s="3357"/>
      <c r="F121" s="3357"/>
      <c r="G121" s="3357"/>
      <c r="H121" s="3357"/>
      <c r="I121" s="3358"/>
      <c r="AA121" s="734"/>
    </row>
    <row r="122" spans="1:27" ht="18.75" customHeight="1">
      <c r="A122" s="3347" t="str">
        <f>IF(项目基本情况!B9="房地产市场价值","",MID(E107,3,LEN(E107)-2))</f>
        <v>房地产抵押价值</v>
      </c>
      <c r="B122" s="3347"/>
      <c r="C122" s="3347"/>
      <c r="D122" s="3383">
        <f ca="1">H107</f>
        <v>91978</v>
      </c>
      <c r="E122" s="3384"/>
      <c r="F122" s="3384"/>
      <c r="G122" s="3384"/>
      <c r="H122" s="3384"/>
      <c r="I122" s="3385"/>
      <c r="AA122" s="734"/>
    </row>
    <row r="123" spans="1:27" ht="18.75" customHeight="1">
      <c r="A123" s="3316" t="s">
        <v>2078</v>
      </c>
      <c r="B123" s="3316"/>
      <c r="C123" s="3316"/>
      <c r="D123" s="3356" t="str">
        <f ca="1">NUMBERSTRING(INT(D122*10000),2)&amp;"元整"</f>
        <v>玖亿壹仟玖佰柒拾捌万元整</v>
      </c>
      <c r="E123" s="3357"/>
      <c r="F123" s="3357"/>
      <c r="G123" s="3357"/>
      <c r="H123" s="3357"/>
      <c r="I123" s="3358"/>
      <c r="AA123" s="734"/>
    </row>
    <row r="124" spans="1:27" ht="18.75" customHeight="1">
      <c r="A124" s="3347" t="str">
        <f>IF(项目基本情况!B9="房地产市场价值","",MID(E109,3,LEN(E109)-2))</f>
        <v/>
      </c>
      <c r="B124" s="3347"/>
      <c r="C124" s="3347"/>
      <c r="D124" s="3383" t="str">
        <f>H109</f>
        <v>——</v>
      </c>
      <c r="E124" s="3384"/>
      <c r="F124" s="3384"/>
      <c r="G124" s="3384"/>
      <c r="H124" s="3384"/>
      <c r="I124" s="3385"/>
      <c r="AA124" s="734"/>
    </row>
    <row r="125" spans="1:27" ht="18.75" customHeight="1">
      <c r="A125" s="3316" t="s">
        <v>2078</v>
      </c>
      <c r="B125" s="3316"/>
      <c r="C125" s="3316"/>
      <c r="D125" s="3356" t="e">
        <f>NUMBERSTRING(INT(D124*10000),2)&amp;"元整"</f>
        <v>#VALUE!</v>
      </c>
      <c r="E125" s="3357"/>
      <c r="F125" s="3357"/>
      <c r="G125" s="3357"/>
      <c r="H125" s="3357"/>
      <c r="I125" s="3358"/>
      <c r="AA125" s="734"/>
    </row>
    <row r="126" spans="1:27" ht="18.75" customHeight="1">
      <c r="A126" s="3347" t="str">
        <f>IF(项目基本情况!B9="房地产市场价值","",MID(E111,3,LEN(E111)-2))</f>
        <v/>
      </c>
      <c r="B126" s="3347"/>
      <c r="C126" s="3347"/>
      <c r="D126" s="3383" t="str">
        <f>H111</f>
        <v>——</v>
      </c>
      <c r="E126" s="3384"/>
      <c r="F126" s="3384"/>
      <c r="G126" s="3384"/>
      <c r="H126" s="3384"/>
      <c r="I126" s="3385"/>
      <c r="AA126" s="734"/>
    </row>
    <row r="127" spans="1:27" ht="18.75" customHeight="1">
      <c r="A127" s="3316" t="s">
        <v>2078</v>
      </c>
      <c r="B127" s="3316"/>
      <c r="C127" s="3316"/>
      <c r="D127" s="3356" t="e">
        <f>NUMBERSTRING(INT(D126*10000),2)&amp;"元整"</f>
        <v>#VALUE!</v>
      </c>
      <c r="E127" s="3357"/>
      <c r="F127" s="3357"/>
      <c r="G127" s="3357"/>
      <c r="H127" s="3357"/>
      <c r="I127" s="3358"/>
      <c r="AA127" s="734"/>
    </row>
    <row r="128" spans="1:27" ht="21.75" customHeight="1">
      <c r="A128" s="3366" t="s">
        <v>2079</v>
      </c>
      <c r="B128" s="3366"/>
      <c r="C128" s="3366"/>
      <c r="D128" s="3366"/>
      <c r="E128" s="3366"/>
      <c r="F128" s="3366"/>
      <c r="G128" s="3366"/>
      <c r="H128" s="3366"/>
      <c r="I128" s="3366"/>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0" t="str">
        <f>项目基本情况!B1</f>
        <v>房地产抵押价值预评估</v>
      </c>
      <c r="C37" s="3210"/>
      <c r="D37" s="3210"/>
      <c r="E37" s="3210"/>
      <c r="F37" s="3210"/>
      <c r="G37" s="3210"/>
      <c r="H37" s="3210"/>
      <c r="I37" s="3210"/>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王鹏（注册号：0)、郑燚（注册号：1120070131)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29" sqref="G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60">
        <f>MATCH(B1,'数据-取费表'!A6:A16,0)+5</f>
        <v>7</v>
      </c>
    </row>
    <row r="2" spans="1:9" s="206" customFormat="1" ht="18" customHeight="1">
      <c r="A2" s="207" t="s">
        <v>2088</v>
      </c>
      <c r="B2" s="208">
        <f ca="1">IF(D2="——",C52,C52-E2)</f>
        <v>118169</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6883</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12365</v>
      </c>
      <c r="D5" s="217" t="s">
        <v>2095</v>
      </c>
      <c r="E5" s="218" t="s">
        <v>2096</v>
      </c>
      <c r="F5" s="218" t="s">
        <v>2097</v>
      </c>
      <c r="G5" s="219"/>
    </row>
    <row r="6" spans="1:9" s="220" customFormat="1" ht="13.5" customHeight="1">
      <c r="A6" s="886" t="s">
        <v>2098</v>
      </c>
      <c r="B6" s="221" t="s">
        <v>2099</v>
      </c>
      <c r="C6" s="222">
        <f>'土地比较法-住宅、综合'!B2</f>
        <v>10167</v>
      </c>
      <c r="D6" s="223"/>
      <c r="E6" s="224"/>
      <c r="F6" s="224"/>
      <c r="G6" s="225"/>
    </row>
    <row r="7" spans="1:9" s="220" customFormat="1" ht="13.5" customHeight="1">
      <c r="A7" s="886" t="s">
        <v>2100</v>
      </c>
      <c r="B7" s="221" t="s">
        <v>2101</v>
      </c>
      <c r="C7" s="226">
        <f>ROUND(C6*F7,0)</f>
        <v>310</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1888</v>
      </c>
      <c r="D8" s="228"/>
      <c r="E8" s="226"/>
      <c r="F8" s="227"/>
      <c r="G8" s="2011" t="s">
        <v>3171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t="s">
        <v>3172</v>
      </c>
      <c r="H9" s="1271"/>
      <c r="I9" s="2013" t="s">
        <v>2105</v>
      </c>
    </row>
    <row r="10" spans="1:9" s="220" customFormat="1" ht="13.5" customHeight="1">
      <c r="A10" s="887" t="s">
        <v>801</v>
      </c>
      <c r="B10" s="230" t="s">
        <v>2106</v>
      </c>
      <c r="C10" s="231">
        <f ca="1">ROUND(D10*E10/10000,0)</f>
        <v>1888</v>
      </c>
      <c r="D10" s="954">
        <f ca="1">IF(B1="",'数据-汇总表'!E6,IF(INDIRECT("'数据-取费表'!c"&amp;$G$1)="住宅",INDIRECT("'数据-取费表'!s"&amp;$G$1),INDIRECT("'数据-取费表'!k"&amp;$G$1)+INDIRECT("'数据-取费表'!s"&amp;$G$1)))</f>
        <v>171669.99</v>
      </c>
      <c r="E10" s="231">
        <f>'数据-取费表'!B28</f>
        <v>110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171669.99</v>
      </c>
      <c r="E19" s="217">
        <f>'数据-取费表'!B31</f>
        <v>200</v>
      </c>
      <c r="F19" s="237"/>
      <c r="G19" s="2011" t="s">
        <v>3173</v>
      </c>
    </row>
    <row r="20" spans="1:7" s="220" customFormat="1" ht="13.5" customHeight="1">
      <c r="A20" s="261" t="s">
        <v>2119</v>
      </c>
      <c r="B20" s="216" t="s">
        <v>2120</v>
      </c>
      <c r="C20" s="238">
        <f ca="1">ROUND((C5+C19)*F20,0)</f>
        <v>247</v>
      </c>
      <c r="D20" s="238"/>
      <c r="E20" s="238"/>
      <c r="F20" s="239">
        <f>'数据-取费表'!B37</f>
        <v>0.02</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6">
        <f ca="1">ROUND(SUM(C23:C25),0)</f>
        <v>1187</v>
      </c>
      <c r="D22" s="241">
        <f ca="1">C26</f>
        <v>1.4E-3</v>
      </c>
      <c r="E22" s="242" t="s">
        <v>2124</v>
      </c>
      <c r="F22" s="243">
        <f ca="1">'数据-取费表'!B40</f>
        <v>3.7000000000000005E-2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1176</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11</v>
      </c>
      <c r="D25" s="244"/>
      <c r="E25" s="247"/>
      <c r="F25" s="245"/>
      <c r="G25" s="248" t="s">
        <v>2136</v>
      </c>
    </row>
    <row r="26" spans="1:7" s="220" customFormat="1">
      <c r="A26" s="888" t="s">
        <v>795</v>
      </c>
      <c r="B26" s="221" t="s">
        <v>2137</v>
      </c>
      <c r="C26" s="244">
        <f ca="1">ROUND(IF('数据-取费表'!B22&lt;=1,F21*F22*'数据-取费表'!B23/2,F21*(POWER((1+F22),'数据-取费表'!B23/2)-1)),4)</f>
        <v>1.4E-3</v>
      </c>
      <c r="D26" s="244"/>
      <c r="E26" s="247"/>
      <c r="F26" s="245"/>
      <c r="G26" s="249"/>
    </row>
    <row r="27" spans="1:7" s="220" customFormat="1" ht="24.75">
      <c r="A27" s="261" t="s">
        <v>2138</v>
      </c>
      <c r="B27" s="250" t="s">
        <v>2139</v>
      </c>
      <c r="C27" s="251">
        <f ca="1">C28</f>
        <v>1892</v>
      </c>
      <c r="D27" s="241">
        <f ca="1">C29</f>
        <v>4.4999999999999997E-3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1892</v>
      </c>
      <c r="D28" s="241"/>
      <c r="E28" s="242"/>
      <c r="F28" s="252"/>
      <c r="G28" s="253"/>
    </row>
    <row r="29" spans="1:7" s="220" customFormat="1" ht="13.5" customHeight="1">
      <c r="A29" s="888" t="s">
        <v>792</v>
      </c>
      <c r="B29" s="254" t="s">
        <v>2143</v>
      </c>
      <c r="C29" s="244">
        <f ca="1">ROUND(C21*F27*'数据-取费表'!B21/'数据-取费表'!B20,4)</f>
        <v>4.4999999999999997E-3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17211</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85706</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77251</v>
      </c>
      <c r="D34" s="223"/>
      <c r="E34" s="226"/>
      <c r="F34" s="263">
        <f ca="1">IF('数据-取费表'!B24=0,1,IF(B1="",'数据-取费表'!N16,INDIRECT("'数据-取费表'!n"&amp;$G$1)))</f>
        <v>1</v>
      </c>
      <c r="G34" s="225" t="s">
        <v>2152</v>
      </c>
    </row>
    <row r="35" spans="1:7" ht="13.5" customHeight="1">
      <c r="A35" s="888" t="s">
        <v>796</v>
      </c>
      <c r="B35" s="221" t="s">
        <v>2153</v>
      </c>
      <c r="C35" s="226">
        <f ca="1">ROUND(C34*F35,0)</f>
        <v>3863</v>
      </c>
      <c r="D35" s="226"/>
      <c r="E35" s="226"/>
      <c r="F35" s="265">
        <f>'数据-取费表'!B33</f>
        <v>0.05</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3433</v>
      </c>
      <c r="D37" s="223">
        <f ca="1">D19</f>
        <v>171669.99</v>
      </c>
      <c r="E37" s="255">
        <f>'数据-取费表'!B35</f>
        <v>200</v>
      </c>
      <c r="F37" s="265"/>
      <c r="G37" s="267" t="s">
        <v>2158</v>
      </c>
    </row>
    <row r="38" spans="1:7" ht="13.5" customHeight="1">
      <c r="A38" s="888" t="s">
        <v>799</v>
      </c>
      <c r="B38" s="221" t="s">
        <v>2159</v>
      </c>
      <c r="C38" s="226">
        <f ca="1">ROUND(C34*F38,0)</f>
        <v>1159</v>
      </c>
      <c r="D38" s="226"/>
      <c r="E38" s="226"/>
      <c r="F38" s="265">
        <f>'数据-取费表'!B36</f>
        <v>1.4999999999999999E-2</v>
      </c>
      <c r="G38" s="225" t="s">
        <v>2154</v>
      </c>
    </row>
    <row r="39" spans="1:7" s="220" customFormat="1" ht="13.5" customHeight="1">
      <c r="A39" s="261" t="s">
        <v>2160</v>
      </c>
      <c r="B39" s="216" t="s">
        <v>2161</v>
      </c>
      <c r="C39" s="238">
        <f ca="1">ROUND(C33*F20,0)</f>
        <v>1714</v>
      </c>
      <c r="D39" s="238"/>
      <c r="E39" s="238"/>
      <c r="F39" s="2504">
        <f>F20</f>
        <v>0.02</v>
      </c>
      <c r="G39" s="240" t="s">
        <v>2162</v>
      </c>
    </row>
    <row r="40" spans="1:7" s="220" customFormat="1" ht="13.5" customHeight="1">
      <c r="A40" s="261" t="s">
        <v>2163</v>
      </c>
      <c r="B40" s="216" t="s">
        <v>2164</v>
      </c>
      <c r="C40" s="1466">
        <f>F21</f>
        <v>0.03</v>
      </c>
      <c r="D40" s="242" t="s">
        <v>2165</v>
      </c>
      <c r="E40" s="238"/>
      <c r="F40" s="2504">
        <f>F21</f>
        <v>0.03</v>
      </c>
      <c r="G40" s="240" t="s">
        <v>2166</v>
      </c>
    </row>
    <row r="41" spans="1:7" s="220" customFormat="1" ht="13.5" customHeight="1">
      <c r="A41" s="261" t="s">
        <v>2167</v>
      </c>
      <c r="B41" s="216" t="s">
        <v>2168</v>
      </c>
      <c r="C41" s="238">
        <f ca="1">ROUND(SUM(C42:C43),0)</f>
        <v>4062</v>
      </c>
      <c r="D41" s="241">
        <f ca="1">C44</f>
        <v>1.4E-3</v>
      </c>
      <c r="E41" s="242" t="s">
        <v>2165</v>
      </c>
      <c r="F41" s="2505">
        <f ca="1">F22</f>
        <v>3.7000000000000005E-2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3982</v>
      </c>
      <c r="D42" s="244"/>
      <c r="E42" s="244"/>
      <c r="F42" s="245"/>
      <c r="G42" s="3399" t="s">
        <v>2170</v>
      </c>
    </row>
    <row r="43" spans="1:7" ht="13.5" customHeight="1">
      <c r="A43" s="888" t="s">
        <v>792</v>
      </c>
      <c r="B43" s="221" t="s">
        <v>2171</v>
      </c>
      <c r="C43" s="244">
        <f ca="1">ROUND(IF('数据-取费表'!B22&lt;=1,C39*F22*'数据-取费表'!B21/2,C39*(POWER((1+F22),'数据-取费表'!B21/2)-1)),0)</f>
        <v>80</v>
      </c>
      <c r="D43" s="244"/>
      <c r="E43" s="244"/>
      <c r="F43" s="245"/>
      <c r="G43" s="3400"/>
    </row>
    <row r="44" spans="1:7" ht="13.5" customHeight="1">
      <c r="A44" s="888" t="s">
        <v>793</v>
      </c>
      <c r="B44" s="221" t="s">
        <v>2172</v>
      </c>
      <c r="C44" s="244">
        <f ca="1">ROUND(IF('数据-取费表'!B22&lt;=1,C40*F22*'数据-取费表'!B21/2,C40*(POWER((1+F22),'数据-取费表'!B21/2)-1)),4)</f>
        <v>1.4E-3</v>
      </c>
      <c r="D44" s="244"/>
      <c r="E44" s="244"/>
      <c r="F44" s="245"/>
      <c r="G44" s="3401"/>
    </row>
    <row r="45" spans="1:7" s="220" customFormat="1" ht="13.5" customHeight="1">
      <c r="A45" s="261" t="s">
        <v>2173</v>
      </c>
      <c r="B45" s="250" t="s">
        <v>2139</v>
      </c>
      <c r="C45" s="251">
        <f ca="1">C46</f>
        <v>13113</v>
      </c>
      <c r="D45" s="241">
        <f ca="1">C47</f>
        <v>4.4999999999999997E-3</v>
      </c>
      <c r="E45" s="242" t="s">
        <v>2165</v>
      </c>
      <c r="F45" s="2506">
        <f ca="1">F27</f>
        <v>0.15</v>
      </c>
      <c r="G45" s="253" t="s">
        <v>2174</v>
      </c>
    </row>
    <row r="46" spans="1:7" s="220" customFormat="1" ht="13.5" customHeight="1">
      <c r="A46" s="888" t="s">
        <v>791</v>
      </c>
      <c r="B46" s="254" t="s">
        <v>2175</v>
      </c>
      <c r="C46" s="255">
        <f ca="1">ROUND((C33+C39)*F27,0)</f>
        <v>13113</v>
      </c>
      <c r="D46" s="269"/>
      <c r="E46" s="242"/>
      <c r="F46" s="252"/>
      <c r="G46" s="253"/>
    </row>
    <row r="47" spans="1:7" s="220" customFormat="1" ht="13.5" customHeight="1">
      <c r="A47" s="888" t="s">
        <v>792</v>
      </c>
      <c r="B47" s="254" t="s">
        <v>2176</v>
      </c>
      <c r="C47" s="244">
        <f ca="1">ROUND(C40*F27,4)</f>
        <v>4.4999999999999997E-3</v>
      </c>
      <c r="D47" s="269"/>
      <c r="E47" s="242"/>
      <c r="F47" s="252"/>
      <c r="G47" s="253"/>
    </row>
    <row r="48" spans="1:7" s="220" customFormat="1" ht="13.5" customHeight="1">
      <c r="A48" s="261" t="s">
        <v>2138</v>
      </c>
      <c r="B48" s="216" t="s">
        <v>2177</v>
      </c>
      <c r="C48" s="1466">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114725</v>
      </c>
      <c r="D49" s="238"/>
      <c r="E49" s="238"/>
      <c r="F49" s="270"/>
      <c r="G49" s="240" t="s">
        <v>2180</v>
      </c>
    </row>
    <row r="50" spans="1:7" s="264" customFormat="1" ht="24">
      <c r="A50" s="261" t="s">
        <v>2181</v>
      </c>
      <c r="B50" s="216" t="s">
        <v>2182</v>
      </c>
      <c r="C50" s="238"/>
      <c r="D50" s="238"/>
      <c r="E50" s="238"/>
      <c r="F50" s="270">
        <f>IF('数据-取费表'!B24=0,'数据-取费表'!N16,1)</f>
        <v>0.88</v>
      </c>
      <c r="G50" s="253" t="s">
        <v>2183</v>
      </c>
    </row>
    <row r="51" spans="1:7" ht="16.5" customHeight="1">
      <c r="A51" s="261" t="s">
        <v>2184</v>
      </c>
      <c r="B51" s="216" t="s">
        <v>2185</v>
      </c>
      <c r="C51" s="238">
        <f ca="1">ROUND(C49*F50,0)</f>
        <v>100958</v>
      </c>
      <c r="D51" s="238"/>
      <c r="E51" s="238"/>
      <c r="F51" s="270"/>
      <c r="G51" s="240" t="s">
        <v>2186</v>
      </c>
    </row>
    <row r="52" spans="1:7" s="214" customFormat="1" ht="16.5" thickBot="1">
      <c r="A52" s="271" t="s">
        <v>2187</v>
      </c>
      <c r="B52" s="272"/>
      <c r="C52" s="273">
        <f ca="1">C31+C51</f>
        <v>118169</v>
      </c>
      <c r="D52" s="272"/>
      <c r="E52" s="272"/>
      <c r="F52" s="272"/>
      <c r="G52" s="274"/>
    </row>
    <row r="55" spans="1:7" ht="15">
      <c r="B55" s="276" t="s">
        <v>2188</v>
      </c>
      <c r="C55" s="277"/>
    </row>
    <row r="56" spans="1:7">
      <c r="B56" s="279" t="s">
        <v>1418</v>
      </c>
      <c r="C56" s="281">
        <f ca="1">1-C57</f>
        <v>0.14600000000000002</v>
      </c>
    </row>
    <row r="57" spans="1:7">
      <c r="B57" s="279" t="s">
        <v>1419</v>
      </c>
      <c r="C57" s="280">
        <f ca="1">ROUND(C51/C52,3)</f>
        <v>0.85399999999999998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108366</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6312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18883699</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18883699</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18883699</v>
      </c>
      <c r="D10" s="954">
        <f ca="1">IF(B1="",'数据-汇总表'!E6,IF(INDIRECT("'数据-取费表'!c"&amp;$G$1)="住宅",INDIRECT("'数据-取费表'!s"&amp;$G$1),INDIRECT("'数据-取费表'!k"&amp;$G$1)+INDIRECT("'数据-取费表'!s"&amp;$G$1)))</f>
        <v>171669.99</v>
      </c>
      <c r="E10" s="231">
        <f>'数据-取费表'!B28</f>
        <v>110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34333998</v>
      </c>
      <c r="D19" s="958">
        <f ca="1">D9+D10</f>
        <v>171669.99</v>
      </c>
      <c r="E19" s="217">
        <f>'数据-取费表'!B31</f>
        <v>200</v>
      </c>
      <c r="F19" s="237"/>
      <c r="G19" s="2011"/>
    </row>
    <row r="20" spans="1:7" s="220" customFormat="1" ht="13.5" customHeight="1">
      <c r="A20" s="261" t="s">
        <v>2200</v>
      </c>
      <c r="B20" s="216" t="s">
        <v>2201</v>
      </c>
      <c r="C20" s="238">
        <f ca="1">ROUND((C5+C19)*F20,0)</f>
        <v>1064354</v>
      </c>
      <c r="D20" s="238"/>
      <c r="E20" s="238"/>
      <c r="F20" s="239">
        <f>'数据-取费表'!B37</f>
        <v>0.02</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61">
        <f ca="1">ROUND(SUM(C23:C25),0)</f>
        <v>5109531</v>
      </c>
      <c r="D22" s="241">
        <f ca="1">C26</f>
        <v>1.4E-3</v>
      </c>
      <c r="E22" s="242" t="s">
        <v>2205</v>
      </c>
      <c r="F22" s="243">
        <f ca="1">'数据-取费表'!B40</f>
        <v>3.7000000000000005E-2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1795512</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3264567</v>
      </c>
      <c r="D24" s="244"/>
      <c r="E24" s="244"/>
      <c r="F24" s="245"/>
      <c r="G24" s="246" t="s">
        <v>2212</v>
      </c>
    </row>
    <row r="25" spans="1:7" s="220" customFormat="1" ht="24">
      <c r="A25" s="888" t="s">
        <v>2102</v>
      </c>
      <c r="B25" s="221" t="s">
        <v>2213</v>
      </c>
      <c r="C25" s="1262">
        <f ca="1">ROUND(IF('数据-取费表'!B22&lt;=1,C20*F22*'数据-取费表'!B22/2,C20*(POWER((1+F22),'数据-取费表'!B22/2)-1)),0)</f>
        <v>49452</v>
      </c>
      <c r="D25" s="244"/>
      <c r="E25" s="247"/>
      <c r="F25" s="245"/>
      <c r="G25" s="248" t="s">
        <v>2214</v>
      </c>
    </row>
    <row r="26" spans="1:7" s="220" customFormat="1">
      <c r="A26" s="888" t="s">
        <v>795</v>
      </c>
      <c r="B26" s="221" t="s">
        <v>2137</v>
      </c>
      <c r="C26" s="244">
        <f ca="1">ROUND(IF('数据-取费表'!B22&lt;=1,F21*F22*'数据-取费表'!B22/2,F21*(POWER((1+F22),'数据-取费表'!B22/2)-1)),4)</f>
        <v>1.4E-3</v>
      </c>
      <c r="D26" s="244"/>
      <c r="E26" s="247"/>
      <c r="F26" s="245"/>
      <c r="G26" s="249"/>
    </row>
    <row r="27" spans="1:7" s="220" customFormat="1" ht="24.75">
      <c r="A27" s="261" t="s">
        <v>2138</v>
      </c>
      <c r="B27" s="250" t="s">
        <v>2139</v>
      </c>
      <c r="C27" s="251">
        <f ca="1">C28</f>
        <v>8142308</v>
      </c>
      <c r="D27" s="241">
        <f ca="1">C29</f>
        <v>4.4999999999999997E-3</v>
      </c>
      <c r="E27" s="242" t="s">
        <v>2140</v>
      </c>
      <c r="F27" s="252">
        <f ca="1">IF(B1="",'数据-取费表'!Q16,INDIRECT("'数据-取费表'!q"&amp;$G$1))</f>
        <v>0.15</v>
      </c>
      <c r="G27" s="253" t="s">
        <v>2141</v>
      </c>
    </row>
    <row r="28" spans="1:7" s="220" customFormat="1" ht="13.5" customHeight="1">
      <c r="A28" s="888" t="s">
        <v>791</v>
      </c>
      <c r="B28" s="254" t="s">
        <v>2142</v>
      </c>
      <c r="C28" s="255">
        <f ca="1">ROUND((C5+C19+C20)*F27,0)</f>
        <v>8142308</v>
      </c>
      <c r="D28" s="241"/>
      <c r="E28" s="242"/>
      <c r="F28" s="252"/>
      <c r="G28" s="253"/>
    </row>
    <row r="29" spans="1:7" s="220" customFormat="1" ht="13.5" customHeight="1">
      <c r="A29" s="888" t="s">
        <v>792</v>
      </c>
      <c r="B29" s="254" t="s">
        <v>2143</v>
      </c>
      <c r="C29" s="244">
        <f ca="1">ROUND(C21*F27,4)</f>
        <v>4.4999999999999997E-3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74074685</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857062425</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772514955</v>
      </c>
      <c r="D34" s="223"/>
      <c r="E34" s="226"/>
      <c r="F34" s="263"/>
      <c r="G34" s="225"/>
    </row>
    <row r="35" spans="1:7" ht="13.5" customHeight="1">
      <c r="A35" s="888" t="s">
        <v>796</v>
      </c>
      <c r="B35" s="221" t="s">
        <v>2153</v>
      </c>
      <c r="C35" s="226">
        <f ca="1">ROUND(C34*F35,0)</f>
        <v>38625748</v>
      </c>
      <c r="D35" s="226"/>
      <c r="E35" s="226"/>
      <c r="F35" s="265">
        <f>'数据-取费表'!B33</f>
        <v>0.05</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34333998</v>
      </c>
      <c r="D37" s="223">
        <f ca="1">D19</f>
        <v>171669.99</v>
      </c>
      <c r="E37" s="255">
        <f>'数据-取费表'!B35</f>
        <v>200</v>
      </c>
      <c r="F37" s="265"/>
      <c r="G37" s="267"/>
    </row>
    <row r="38" spans="1:7" ht="13.5" customHeight="1">
      <c r="A38" s="888" t="s">
        <v>799</v>
      </c>
      <c r="B38" s="221" t="s">
        <v>2159</v>
      </c>
      <c r="C38" s="226">
        <f ca="1">ROUND(C34*F38,0)</f>
        <v>11587724</v>
      </c>
      <c r="D38" s="226"/>
      <c r="E38" s="226"/>
      <c r="F38" s="265">
        <f>'数据-取费表'!B36</f>
        <v>1.4999999999999999E-2</v>
      </c>
      <c r="G38" s="225" t="s">
        <v>2154</v>
      </c>
    </row>
    <row r="39" spans="1:7" s="220" customFormat="1" ht="13.5" customHeight="1">
      <c r="A39" s="261" t="s">
        <v>2160</v>
      </c>
      <c r="B39" s="216" t="s">
        <v>2161</v>
      </c>
      <c r="C39" s="238">
        <f ca="1">ROUND(C33*F20,0)</f>
        <v>17141249</v>
      </c>
      <c r="D39" s="238"/>
      <c r="E39" s="238"/>
      <c r="F39" s="2504">
        <f>F20</f>
        <v>0.02</v>
      </c>
      <c r="G39" s="240" t="s">
        <v>2162</v>
      </c>
    </row>
    <row r="40" spans="1:7" s="220" customFormat="1" ht="13.5" customHeight="1">
      <c r="A40" s="261" t="s">
        <v>2163</v>
      </c>
      <c r="B40" s="216" t="s">
        <v>2164</v>
      </c>
      <c r="C40" s="1466">
        <f>F21</f>
        <v>0.03</v>
      </c>
      <c r="D40" s="242" t="s">
        <v>2165</v>
      </c>
      <c r="E40" s="238"/>
      <c r="F40" s="2504">
        <f>F21</f>
        <v>0.03</v>
      </c>
      <c r="G40" s="240" t="s">
        <v>2166</v>
      </c>
    </row>
    <row r="41" spans="1:7" s="220" customFormat="1" ht="13.5" customHeight="1">
      <c r="A41" s="261" t="s">
        <v>2167</v>
      </c>
      <c r="B41" s="216" t="s">
        <v>2168</v>
      </c>
      <c r="C41" s="238">
        <f ca="1">ROUND(SUM(C42:C43),0)</f>
        <v>40617215</v>
      </c>
      <c r="D41" s="241">
        <f ca="1">C44</f>
        <v>1.4E-3</v>
      </c>
      <c r="E41" s="242" t="s">
        <v>2165</v>
      </c>
      <c r="F41" s="2505">
        <f ca="1">F22</f>
        <v>3.7000000000000005E-2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39820799</v>
      </c>
      <c r="D42" s="244"/>
      <c r="E42" s="244"/>
      <c r="F42" s="245"/>
      <c r="G42" s="3399" t="s">
        <v>2217</v>
      </c>
    </row>
    <row r="43" spans="1:7" ht="13.5" customHeight="1">
      <c r="A43" s="888" t="s">
        <v>792</v>
      </c>
      <c r="B43" s="221" t="s">
        <v>2171</v>
      </c>
      <c r="C43" s="244">
        <f ca="1">ROUND(IF('数据-取费表'!B22&lt;=1,C39*F22*'数据-取费表'!B20/2,C39*(POWER((1+F22),'数据-取费表'!B20/2)-1)),0)</f>
        <v>796416</v>
      </c>
      <c r="D43" s="244"/>
      <c r="E43" s="244"/>
      <c r="F43" s="245"/>
      <c r="G43" s="3400"/>
    </row>
    <row r="44" spans="1:7" ht="13.5" customHeight="1">
      <c r="A44" s="888" t="s">
        <v>793</v>
      </c>
      <c r="B44" s="221" t="s">
        <v>2172</v>
      </c>
      <c r="C44" s="244">
        <f ca="1">ROUND(IF('数据-取费表'!B22&lt;=1,C40*F22*'数据-取费表'!B20/2,C40*(POWER((1+F22),'数据-取费表'!B20/2)-1)),4)</f>
        <v>1.4E-3</v>
      </c>
      <c r="D44" s="244"/>
      <c r="E44" s="244"/>
      <c r="F44" s="245"/>
      <c r="G44" s="3401"/>
    </row>
    <row r="45" spans="1:7" s="220" customFormat="1" ht="13.5" customHeight="1">
      <c r="A45" s="261" t="s">
        <v>2173</v>
      </c>
      <c r="B45" s="250" t="s">
        <v>2139</v>
      </c>
      <c r="C45" s="251">
        <f ca="1">C46</f>
        <v>131130551</v>
      </c>
      <c r="D45" s="241">
        <f ca="1">C47</f>
        <v>4.4999999999999997E-3</v>
      </c>
      <c r="E45" s="242" t="s">
        <v>2165</v>
      </c>
      <c r="F45" s="2506">
        <f ca="1">F27</f>
        <v>0.15</v>
      </c>
      <c r="G45" s="253" t="s">
        <v>2174</v>
      </c>
    </row>
    <row r="46" spans="1:7" s="220" customFormat="1" ht="13.5" customHeight="1">
      <c r="A46" s="888" t="s">
        <v>791</v>
      </c>
      <c r="B46" s="254" t="s">
        <v>2175</v>
      </c>
      <c r="C46" s="255">
        <f ca="1">ROUND((C33+C39)*F27,0)</f>
        <v>131130551</v>
      </c>
      <c r="D46" s="269"/>
      <c r="E46" s="242"/>
      <c r="F46" s="252"/>
      <c r="G46" s="253"/>
    </row>
    <row r="47" spans="1:7" s="220" customFormat="1" ht="13.5" customHeight="1">
      <c r="A47" s="888" t="s">
        <v>792</v>
      </c>
      <c r="B47" s="254" t="s">
        <v>2176</v>
      </c>
      <c r="C47" s="244">
        <f ca="1">ROUND(C40*F27,4)</f>
        <v>4.4999999999999997E-3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1147253965</v>
      </c>
      <c r="D49" s="238"/>
      <c r="E49" s="238"/>
      <c r="F49" s="270"/>
      <c r="G49" s="240" t="s">
        <v>2180</v>
      </c>
    </row>
    <row r="50" spans="1:7" s="264" customFormat="1">
      <c r="A50" s="261" t="s">
        <v>2181</v>
      </c>
      <c r="B50" s="216" t="s">
        <v>2182</v>
      </c>
      <c r="C50" s="238"/>
      <c r="D50" s="238"/>
      <c r="E50" s="238"/>
      <c r="F50" s="270">
        <f>IF('数据-取费表'!B24=0,'数据-取费表'!N16,1)</f>
        <v>0.88</v>
      </c>
      <c r="G50" s="253"/>
    </row>
    <row r="51" spans="1:7" ht="16.5" customHeight="1">
      <c r="A51" s="261" t="s">
        <v>2184</v>
      </c>
      <c r="B51" s="216" t="s">
        <v>2219</v>
      </c>
      <c r="C51" s="238">
        <f ca="1">ROUND(C49*F50,0)</f>
        <v>1009583489</v>
      </c>
      <c r="D51" s="238"/>
      <c r="E51" s="238"/>
      <c r="F51" s="270"/>
      <c r="G51" s="240" t="s">
        <v>2186</v>
      </c>
    </row>
    <row r="52" spans="1:7" s="214" customFormat="1" ht="16.5" thickBot="1">
      <c r="A52" s="271" t="s">
        <v>2187</v>
      </c>
      <c r="B52" s="272"/>
      <c r="C52" s="273">
        <f ca="1">C31+C51</f>
        <v>1083658174</v>
      </c>
      <c r="D52" s="272"/>
      <c r="E52" s="272"/>
      <c r="F52" s="272"/>
      <c r="G52" s="274"/>
    </row>
    <row r="55" spans="1:7" ht="15">
      <c r="B55" s="276" t="s">
        <v>2188</v>
      </c>
      <c r="C55" s="277"/>
    </row>
    <row r="56" spans="1:7">
      <c r="B56" s="279" t="s">
        <v>1418</v>
      </c>
      <c r="C56" s="281">
        <f ca="1">1-C57</f>
        <v>6.7999999999999949E-2</v>
      </c>
    </row>
    <row r="57" spans="1:7">
      <c r="B57" s="279" t="s">
        <v>1419</v>
      </c>
      <c r="C57" s="280">
        <f ca="1">ROUND(C51/C52,3)</f>
        <v>0.93200000000000005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0.05</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171669.99</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171669.99</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2256</v>
      </c>
      <c r="C20" s="24">
        <f ca="1">ROUND(D20*E20/10000,0)</f>
        <v>1888</v>
      </c>
      <c r="D20" s="955">
        <f ca="1">IF(C1="",'数据-汇总表'!E6,IF(INDIRECT("'数据-取费表'!c"&amp;$K$1)="住宅",INDIRECT("'数据-取费表'!s"&amp;$K$1),INDIRECT("'数据-取费表'!k"&amp;$K$1)+INDIRECT("'数据-取费表'!s"&amp;$K$1)))</f>
        <v>171669.99</v>
      </c>
      <c r="E20" s="24">
        <f>'数据-取费表'!B28</f>
        <v>110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0.03</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3.7000000000000005E-2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0" zoomScale="85" zoomScaleNormal="60" zoomScaleSheetLayoutView="85" workbookViewId="0">
      <selection activeCell="L18" sqref="L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10167</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592</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06" t="s">
        <v>2407</v>
      </c>
      <c r="D4" s="3419"/>
      <c r="E4" s="3420" t="s">
        <v>2408</v>
      </c>
      <c r="F4" s="3421"/>
      <c r="G4" s="3406" t="s">
        <v>2409</v>
      </c>
      <c r="H4" s="3419"/>
      <c r="I4" s="3406" t="s">
        <v>2410</v>
      </c>
      <c r="J4" s="3419"/>
      <c r="K4" s="567" t="s">
        <v>2411</v>
      </c>
      <c r="L4" s="2913"/>
      <c r="M4" s="2914"/>
      <c r="N4" s="2914"/>
      <c r="O4" s="2914"/>
      <c r="P4" s="3422" t="s">
        <v>2412</v>
      </c>
      <c r="Q4" s="3423"/>
      <c r="R4" s="3428" t="s">
        <v>2408</v>
      </c>
      <c r="S4" s="3429"/>
      <c r="T4" s="3428" t="s">
        <v>2409</v>
      </c>
      <c r="U4" s="3429"/>
      <c r="V4" s="3415" t="s">
        <v>2410</v>
      </c>
      <c r="W4" s="3415"/>
      <c r="X4" s="1508"/>
      <c r="Y4" s="3428" t="s">
        <v>2412</v>
      </c>
      <c r="Z4" s="3429"/>
      <c r="AA4" s="3416" t="s">
        <v>2408</v>
      </c>
      <c r="AB4" s="3417" t="s">
        <v>2409</v>
      </c>
      <c r="AC4" s="3416" t="s">
        <v>2410</v>
      </c>
    </row>
    <row r="5" spans="1:30" ht="48.75" customHeight="1" thickBot="1">
      <c r="A5" s="364"/>
      <c r="B5" s="365"/>
      <c r="C5" s="3436" t="s">
        <v>2303</v>
      </c>
      <c r="D5" s="3437"/>
      <c r="E5" s="3552" t="s">
        <v>3294</v>
      </c>
      <c r="F5" s="3444"/>
      <c r="G5" s="3562" t="s">
        <v>3304</v>
      </c>
      <c r="H5" s="3437"/>
      <c r="I5" s="3562" t="s">
        <v>3305</v>
      </c>
      <c r="J5" s="3437"/>
      <c r="K5" s="567"/>
      <c r="L5" s="2913"/>
      <c r="M5" s="2914"/>
      <c r="N5" s="2914"/>
      <c r="O5" s="2914"/>
      <c r="P5" s="3424"/>
      <c r="Q5" s="3425"/>
      <c r="R5" s="3430"/>
      <c r="S5" s="3431"/>
      <c r="T5" s="3430"/>
      <c r="U5" s="3431"/>
      <c r="V5" s="3415"/>
      <c r="W5" s="3415"/>
      <c r="X5" s="1508"/>
      <c r="Y5" s="3430"/>
      <c r="Z5" s="3431"/>
      <c r="AA5" s="3417"/>
      <c r="AB5" s="3417"/>
      <c r="AC5" s="3417"/>
    </row>
    <row r="6" spans="1:30" ht="15.75" hidden="1" thickBot="1">
      <c r="A6" s="366"/>
      <c r="B6" s="367"/>
      <c r="C6" s="3434" t="s">
        <v>2307</v>
      </c>
      <c r="D6" s="3435"/>
      <c r="E6" s="3441" t="s">
        <v>2307</v>
      </c>
      <c r="F6" s="3442"/>
      <c r="G6" s="3434" t="s">
        <v>2307</v>
      </c>
      <c r="H6" s="3435"/>
      <c r="I6" s="3434" t="s">
        <v>2307</v>
      </c>
      <c r="J6" s="3435"/>
      <c r="K6" s="567" t="s">
        <v>2308</v>
      </c>
      <c r="L6" s="2913"/>
      <c r="M6" s="2914"/>
      <c r="N6" s="2914"/>
      <c r="O6" s="2914"/>
      <c r="P6" s="3426"/>
      <c r="Q6" s="3427"/>
      <c r="R6" s="3430"/>
      <c r="S6" s="3431"/>
      <c r="T6" s="3432"/>
      <c r="U6" s="3433"/>
      <c r="V6" s="3415"/>
      <c r="W6" s="3415"/>
      <c r="X6" s="1508"/>
      <c r="Y6" s="3432"/>
      <c r="Z6" s="3433"/>
      <c r="AA6" s="3418"/>
      <c r="AB6" s="3418"/>
      <c r="AC6" s="3418"/>
    </row>
    <row r="7" spans="1:30" s="113" customFormat="1" ht="15.75" thickBot="1">
      <c r="A7" s="368" t="s">
        <v>2309</v>
      </c>
      <c r="B7" s="369"/>
      <c r="C7" s="370">
        <f>'数据-取费表'!B2</f>
        <v>44662</v>
      </c>
      <c r="D7" s="371">
        <v>100</v>
      </c>
      <c r="E7" s="372">
        <v>44013</v>
      </c>
      <c r="F7" s="373">
        <f>SUMIF(70:70,YEAR(E7)&amp;"-"&amp;INT((MONTH(E7)+2)/3),71:71)</f>
        <v>98.6</v>
      </c>
      <c r="G7" s="2129">
        <v>44013</v>
      </c>
      <c r="H7" s="371">
        <f>SUMIF(70:70,YEAR(G7)&amp;"-"&amp;INT((MONTH(G7)+2)/3),71:71)</f>
        <v>98.6</v>
      </c>
      <c r="I7" s="2129">
        <v>43600</v>
      </c>
      <c r="J7" s="371">
        <f>SUMIF(70:70,YEAR(I7)&amp;"-"&amp;INT((MONTH(I7)+2)/3),71:71)</f>
        <v>97.6</v>
      </c>
      <c r="K7" s="568"/>
      <c r="L7" s="2915"/>
      <c r="M7" s="2916"/>
      <c r="N7" s="2916"/>
      <c r="O7" s="2916"/>
      <c r="P7" s="3438" t="s">
        <v>2310</v>
      </c>
      <c r="Q7" s="3440"/>
      <c r="R7" s="710" t="s">
        <v>17</v>
      </c>
      <c r="S7" s="711">
        <f t="shared" ref="S7:S15" si="0">F7</f>
        <v>98.6</v>
      </c>
      <c r="T7" s="710" t="s">
        <v>17</v>
      </c>
      <c r="U7" s="711">
        <f t="shared" ref="U7:U15" si="1">H7</f>
        <v>98.6</v>
      </c>
      <c r="V7" s="710" t="s">
        <v>17</v>
      </c>
      <c r="W7" s="711">
        <f t="shared" ref="W7:W15" si="2">J7</f>
        <v>97.6</v>
      </c>
      <c r="X7" s="712"/>
      <c r="Y7" s="3438" t="s">
        <v>2310</v>
      </c>
      <c r="Z7" s="3439"/>
      <c r="AA7" s="713">
        <f>D7/F7</f>
        <v>1.0141987829614605</v>
      </c>
      <c r="AB7" s="713">
        <f>D7/H7</f>
        <v>1.0141987829614605</v>
      </c>
      <c r="AC7" s="713">
        <f>D7/J7</f>
        <v>1.0245901639344264</v>
      </c>
    </row>
    <row r="8" spans="1:30" s="113" customFormat="1" ht="15.75" thickBot="1">
      <c r="A8" s="368" t="s">
        <v>2311</v>
      </c>
      <c r="B8" s="369"/>
      <c r="C8" s="374" t="s">
        <v>2312</v>
      </c>
      <c r="D8" s="371">
        <v>100</v>
      </c>
      <c r="E8" s="374" t="s">
        <v>3292</v>
      </c>
      <c r="F8" s="373">
        <f>SUMIF(73:73,E8,74:74)-SUMIF(73:73,C8,74:74)+100</f>
        <v>100</v>
      </c>
      <c r="G8" s="374" t="s">
        <v>2312</v>
      </c>
      <c r="H8" s="371">
        <f>SUMIF(73:73,G8,74:74)-SUMIF(73:73,C8,74:74)+100</f>
        <v>100</v>
      </c>
      <c r="I8" s="374" t="s">
        <v>2312</v>
      </c>
      <c r="J8" s="371">
        <f>SUMIF(73:73,I8,74:74)-SUMIF(73:73,C8,74:74)+100</f>
        <v>100</v>
      </c>
      <c r="K8" s="568"/>
      <c r="L8" s="2915"/>
      <c r="M8" s="2916"/>
      <c r="N8" s="2916"/>
      <c r="O8" s="2916"/>
      <c r="P8" s="3438" t="s">
        <v>2313</v>
      </c>
      <c r="Q8" s="3439"/>
      <c r="R8" s="710" t="s">
        <v>17</v>
      </c>
      <c r="S8" s="711">
        <f t="shared" si="0"/>
        <v>100</v>
      </c>
      <c r="T8" s="710" t="s">
        <v>17</v>
      </c>
      <c r="U8" s="711">
        <f t="shared" si="1"/>
        <v>100</v>
      </c>
      <c r="V8" s="710" t="s">
        <v>17</v>
      </c>
      <c r="W8" s="711">
        <f t="shared" si="2"/>
        <v>100</v>
      </c>
      <c r="X8" s="712"/>
      <c r="Y8" s="3438" t="s">
        <v>2313</v>
      </c>
      <c r="Z8" s="3439"/>
      <c r="AA8" s="713">
        <f t="shared" ref="AA8:AA45" si="3">D8/F8</f>
        <v>1</v>
      </c>
      <c r="AB8" s="713">
        <f t="shared" ref="AB8:AB45" si="4">D8/H8</f>
        <v>1</v>
      </c>
      <c r="AC8" s="713">
        <f t="shared" ref="AC8:AC45" si="5">D8/J8</f>
        <v>1</v>
      </c>
    </row>
    <row r="9" spans="1:30" s="113" customFormat="1">
      <c r="A9" s="375" t="s">
        <v>2314</v>
      </c>
      <c r="B9" s="67" t="s">
        <v>2315</v>
      </c>
      <c r="C9" s="3553" t="s">
        <v>3295</v>
      </c>
      <c r="D9" s="131">
        <v>100</v>
      </c>
      <c r="E9" s="3553" t="s">
        <v>3295</v>
      </c>
      <c r="F9" s="131">
        <f>SUMIF(75:75,E9,76:76)-SUMIF(75:75,C9,76:76)+100</f>
        <v>100</v>
      </c>
      <c r="G9" s="3553" t="s">
        <v>3295</v>
      </c>
      <c r="H9" s="131">
        <f>SUMIF(75:75,G9,76:76)-SUMIF(75:75,C9,76:76)+100</f>
        <v>100</v>
      </c>
      <c r="I9" s="3553" t="s">
        <v>3295</v>
      </c>
      <c r="J9" s="131">
        <f>SUMIF(75:75,I9,76:76)-SUMIF(75:75,C9,76:76)+100</f>
        <v>100</v>
      </c>
      <c r="K9" s="568"/>
      <c r="L9" s="2915"/>
      <c r="M9" s="2916"/>
      <c r="N9" s="2916"/>
      <c r="O9" s="2970"/>
      <c r="P9" s="3409" t="s">
        <v>2316</v>
      </c>
      <c r="Q9" s="1496"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115</v>
      </c>
      <c r="G10" s="422"/>
      <c r="H10" s="132">
        <f>ROUND(100/'数据-取费表'!G16,0)</f>
        <v>115</v>
      </c>
      <c r="I10" s="422"/>
      <c r="J10" s="132">
        <f>ROUND(100/'数据-取费表'!G16,0)</f>
        <v>115</v>
      </c>
      <c r="K10" s="628"/>
      <c r="L10" s="2917"/>
      <c r="M10" s="2918"/>
      <c r="N10" s="2918"/>
      <c r="O10" s="2971"/>
      <c r="P10" s="3409"/>
      <c r="Q10" s="1496" t="str">
        <f t="shared" si="6"/>
        <v>土地使用年限（年）</v>
      </c>
      <c r="R10" s="710" t="s">
        <v>17</v>
      </c>
      <c r="S10" s="711">
        <f t="shared" si="0"/>
        <v>115</v>
      </c>
      <c r="T10" s="710" t="s">
        <v>17</v>
      </c>
      <c r="U10" s="711">
        <f t="shared" si="1"/>
        <v>115</v>
      </c>
      <c r="V10" s="710" t="s">
        <v>17</v>
      </c>
      <c r="W10" s="711">
        <f t="shared" si="2"/>
        <v>115</v>
      </c>
      <c r="X10" s="712"/>
      <c r="Y10" s="3303"/>
      <c r="Z10" s="55" t="str">
        <f t="shared" si="7"/>
        <v>土地使用年限（年）</v>
      </c>
      <c r="AA10" s="713">
        <f t="shared" si="3"/>
        <v>0.86956521739130432</v>
      </c>
      <c r="AB10" s="713">
        <f t="shared" si="4"/>
        <v>0.86956521739130432</v>
      </c>
      <c r="AC10" s="713">
        <f t="shared" si="5"/>
        <v>0.86956521739130432</v>
      </c>
    </row>
    <row r="11" spans="1:30" ht="15">
      <c r="A11" s="387"/>
      <c r="B11" s="381" t="s">
        <v>2319</v>
      </c>
      <c r="C11" s="388">
        <f>'数据-汇总表'!I6</f>
        <v>2.5</v>
      </c>
      <c r="D11" s="132">
        <v>100</v>
      </c>
      <c r="E11" s="388">
        <v>3.5</v>
      </c>
      <c r="F11" s="132">
        <f>LOOKUP(E11,80:80,81:81)-LOOKUP(C11,80:80,81:81)+100</f>
        <v>97</v>
      </c>
      <c r="G11" s="389">
        <v>3.5</v>
      </c>
      <c r="H11" s="132">
        <f>LOOKUP(G11,80:80,81:81)-LOOKUP(C11,80:80,81:81)+100</f>
        <v>97</v>
      </c>
      <c r="I11" s="388">
        <v>4.8</v>
      </c>
      <c r="J11" s="132">
        <f>LOOKUP(I11,80:80,81:81)-LOOKUP(C11,80:80,81:81)+100</f>
        <v>94</v>
      </c>
      <c r="K11" s="629">
        <v>3</v>
      </c>
      <c r="L11" s="2919"/>
      <c r="M11" s="2914"/>
      <c r="N11" s="2914"/>
      <c r="O11" s="2972"/>
      <c r="P11" s="3409"/>
      <c r="Q11" s="1496" t="str">
        <f t="shared" si="6"/>
        <v>容积率</v>
      </c>
      <c r="R11" s="710" t="s">
        <v>17</v>
      </c>
      <c r="S11" s="711">
        <f t="shared" si="0"/>
        <v>97</v>
      </c>
      <c r="T11" s="710" t="s">
        <v>17</v>
      </c>
      <c r="U11" s="711">
        <f t="shared" si="1"/>
        <v>97</v>
      </c>
      <c r="V11" s="710" t="s">
        <v>17</v>
      </c>
      <c r="W11" s="711">
        <f t="shared" si="2"/>
        <v>94</v>
      </c>
      <c r="X11" s="712"/>
      <c r="Y11" s="3303"/>
      <c r="Z11" s="55" t="str">
        <f t="shared" si="7"/>
        <v>容积率</v>
      </c>
      <c r="AA11" s="713">
        <f t="shared" si="3"/>
        <v>1.0309278350515463</v>
      </c>
      <c r="AB11" s="713">
        <f t="shared" si="4"/>
        <v>1.0309278350515463</v>
      </c>
      <c r="AC11" s="713">
        <f t="shared" si="5"/>
        <v>1.0638297872340425</v>
      </c>
    </row>
    <row r="12" spans="1:30" s="113" customFormat="1" ht="15">
      <c r="A12" s="390"/>
      <c r="B12" s="3554" t="s">
        <v>3296</v>
      </c>
      <c r="C12" s="3555">
        <v>0.5</v>
      </c>
      <c r="D12" s="392">
        <v>100</v>
      </c>
      <c r="E12" s="3556" t="s">
        <v>3297</v>
      </c>
      <c r="F12" s="132">
        <f>SUMIF(82:82,E12,83:83)-SUMIF(82:82,C12,83:83)+100</f>
        <v>105</v>
      </c>
      <c r="G12" s="3561" t="s">
        <v>3297</v>
      </c>
      <c r="H12" s="132">
        <f>SUMIF(82:82,G12,83:83)-SUMIF(82:82,C12,83:83)+100</f>
        <v>105</v>
      </c>
      <c r="I12" s="3556" t="s">
        <v>3297</v>
      </c>
      <c r="J12" s="132">
        <f>SUMIF(82:82,I12,83:83)-SUMIF(82:82,C12,83:83)+100</f>
        <v>105</v>
      </c>
      <c r="K12" s="628"/>
      <c r="L12" s="2915"/>
      <c r="M12" s="2916"/>
      <c r="N12" s="2916"/>
      <c r="O12" s="2970"/>
      <c r="P12" s="3409"/>
      <c r="Q12" s="1496" t="str">
        <f t="shared" si="6"/>
        <v>自持</v>
      </c>
      <c r="R12" s="710" t="s">
        <v>17</v>
      </c>
      <c r="S12" s="711">
        <f t="shared" si="0"/>
        <v>105</v>
      </c>
      <c r="T12" s="710" t="s">
        <v>17</v>
      </c>
      <c r="U12" s="711">
        <f t="shared" si="1"/>
        <v>105</v>
      </c>
      <c r="V12" s="710" t="s">
        <v>17</v>
      </c>
      <c r="W12" s="711">
        <f t="shared" si="2"/>
        <v>105</v>
      </c>
      <c r="X12" s="712"/>
      <c r="Y12" s="3303"/>
      <c r="Z12" s="55" t="str">
        <f t="shared" si="7"/>
        <v>自持</v>
      </c>
      <c r="AA12" s="713">
        <f>D12/F12</f>
        <v>0.95238095238095233</v>
      </c>
      <c r="AB12" s="713">
        <f>D12/H12</f>
        <v>0.95238095238095233</v>
      </c>
      <c r="AC12" s="713">
        <f>D12/J12</f>
        <v>0.95238095238095233</v>
      </c>
    </row>
    <row r="13" spans="1:30" ht="15" hidden="1">
      <c r="A13" s="387"/>
      <c r="B13" s="2048"/>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09"/>
      <c r="Q13" s="1496">
        <f t="shared" si="6"/>
        <v>0</v>
      </c>
      <c r="R13" s="710" t="s">
        <v>17</v>
      </c>
      <c r="S13" s="711">
        <f t="shared" si="0"/>
        <v>100</v>
      </c>
      <c r="T13" s="710" t="s">
        <v>17</v>
      </c>
      <c r="U13" s="711">
        <f t="shared" si="1"/>
        <v>100</v>
      </c>
      <c r="V13" s="710" t="s">
        <v>17</v>
      </c>
      <c r="W13" s="711">
        <f t="shared" si="2"/>
        <v>100</v>
      </c>
      <c r="X13" s="712"/>
      <c r="Y13" s="3303"/>
      <c r="Z13" s="55">
        <f t="shared" si="7"/>
        <v>0</v>
      </c>
      <c r="AA13" s="713">
        <f>D13/F13</f>
        <v>1</v>
      </c>
      <c r="AB13" s="713">
        <f>D13/H13</f>
        <v>1</v>
      </c>
      <c r="AC13" s="713">
        <f>D13/J13</f>
        <v>1</v>
      </c>
    </row>
    <row r="14" spans="1:30" ht="15.75" hidden="1" thickBot="1">
      <c r="A14" s="395"/>
      <c r="B14" s="2050"/>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09"/>
      <c r="Q14" s="1496">
        <f t="shared" si="6"/>
        <v>0</v>
      </c>
      <c r="R14" s="710" t="s">
        <v>17</v>
      </c>
      <c r="S14" s="711">
        <f t="shared" si="0"/>
        <v>100</v>
      </c>
      <c r="T14" s="710" t="s">
        <v>17</v>
      </c>
      <c r="U14" s="711">
        <f t="shared" si="1"/>
        <v>100</v>
      </c>
      <c r="V14" s="710" t="s">
        <v>17</v>
      </c>
      <c r="W14" s="711">
        <f t="shared" si="2"/>
        <v>100</v>
      </c>
      <c r="X14" s="712"/>
      <c r="Y14" s="3303"/>
      <c r="Z14" s="55">
        <f t="shared" si="7"/>
        <v>0</v>
      </c>
      <c r="AA14" s="713">
        <f>D14/F14</f>
        <v>1</v>
      </c>
      <c r="AB14" s="713">
        <f>D14/H14</f>
        <v>1</v>
      </c>
      <c r="AC14" s="713">
        <f>D14/J14</f>
        <v>1</v>
      </c>
    </row>
    <row r="15" spans="1:30" ht="15" hidden="1">
      <c r="A15" s="399" t="s">
        <v>2320</v>
      </c>
      <c r="B15" s="65" t="s">
        <v>1883</v>
      </c>
      <c r="C15" s="2051">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11" t="s">
        <v>2321</v>
      </c>
      <c r="Q15" s="1505" t="str">
        <f t="shared" si="6"/>
        <v>居住社区成熟度</v>
      </c>
      <c r="R15" s="714" t="s">
        <v>17</v>
      </c>
      <c r="S15" s="715">
        <f t="shared" si="0"/>
        <v>100</v>
      </c>
      <c r="T15" s="714" t="s">
        <v>17</v>
      </c>
      <c r="U15" s="715">
        <f t="shared" si="1"/>
        <v>100</v>
      </c>
      <c r="V15" s="714" t="s">
        <v>17</v>
      </c>
      <c r="W15" s="715">
        <f t="shared" si="2"/>
        <v>100</v>
      </c>
      <c r="X15" s="1508"/>
      <c r="Y15" s="3411" t="s">
        <v>2321</v>
      </c>
      <c r="Z15" s="1509" t="str">
        <f t="shared" si="7"/>
        <v>居住社区成熟度</v>
      </c>
      <c r="AA15" s="1506">
        <f t="shared" si="3"/>
        <v>1</v>
      </c>
      <c r="AB15" s="1506">
        <f t="shared" si="4"/>
        <v>1</v>
      </c>
      <c r="AC15" s="1506">
        <f t="shared" si="5"/>
        <v>1</v>
      </c>
    </row>
    <row r="16" spans="1:30" ht="15" hidden="1">
      <c r="A16" s="387"/>
      <c r="B16" s="405"/>
      <c r="C16" s="406"/>
      <c r="D16" s="407"/>
      <c r="E16" s="2053"/>
      <c r="F16" s="407"/>
      <c r="G16" s="2053"/>
      <c r="H16" s="409"/>
      <c r="I16" s="2052"/>
      <c r="J16" s="407"/>
      <c r="K16" s="628"/>
      <c r="L16" s="2920"/>
      <c r="M16" s="2914"/>
      <c r="N16" s="2914"/>
      <c r="O16" s="2972"/>
      <c r="P16" s="3412"/>
      <c r="Q16" s="1505"/>
      <c r="R16" s="714"/>
      <c r="S16" s="715"/>
      <c r="T16" s="714"/>
      <c r="U16" s="715"/>
      <c r="V16" s="714"/>
      <c r="W16" s="715"/>
      <c r="X16" s="1508"/>
      <c r="Y16" s="3412"/>
      <c r="Z16" s="1509"/>
      <c r="AA16" s="1506">
        <v>1</v>
      </c>
      <c r="AB16" s="1506">
        <v>1</v>
      </c>
      <c r="AC16" s="1506">
        <v>1</v>
      </c>
    </row>
    <row r="17" spans="1:29" ht="15">
      <c r="A17" s="387"/>
      <c r="B17" s="410" t="s">
        <v>2414</v>
      </c>
      <c r="C17" s="2110">
        <f>估价对象房地状况!C16</f>
        <v>0</v>
      </c>
      <c r="D17" s="409">
        <v>100</v>
      </c>
      <c r="E17" s="411"/>
      <c r="F17" s="409">
        <f>SUMIF(90:90,E18,91:91)-SUMIF(90:90,C18,91:91)+100</f>
        <v>100</v>
      </c>
      <c r="G17" s="411"/>
      <c r="H17" s="414">
        <f>SUMIF(90:90,G18,91:91)-SUMIF(90:90,C18,91:91)+100</f>
        <v>100</v>
      </c>
      <c r="I17" s="413"/>
      <c r="J17" s="414">
        <f>SUMIF(90:90,I18,91:91)-SUMIF(90:90,C18,91:91)+100</f>
        <v>100</v>
      </c>
      <c r="K17" s="629">
        <v>3</v>
      </c>
      <c r="L17" s="2920"/>
      <c r="M17" s="2914"/>
      <c r="N17" s="2914"/>
      <c r="O17" s="2972"/>
      <c r="P17" s="3412"/>
      <c r="Q17" s="1505" t="str">
        <f>B17</f>
        <v>商业繁华度</v>
      </c>
      <c r="R17" s="714" t="s">
        <v>17</v>
      </c>
      <c r="S17" s="715">
        <f>F17</f>
        <v>100</v>
      </c>
      <c r="T17" s="714" t="s">
        <v>17</v>
      </c>
      <c r="U17" s="715">
        <f>H17</f>
        <v>100</v>
      </c>
      <c r="V17" s="714" t="s">
        <v>17</v>
      </c>
      <c r="W17" s="715">
        <f>J17</f>
        <v>100</v>
      </c>
      <c r="X17" s="1508"/>
      <c r="Y17" s="3412"/>
      <c r="Z17" s="1509" t="str">
        <f>Q17</f>
        <v>商业繁华度</v>
      </c>
      <c r="AA17" s="1506">
        <f t="shared" si="3"/>
        <v>1</v>
      </c>
      <c r="AB17" s="1506">
        <f t="shared" si="4"/>
        <v>1</v>
      </c>
      <c r="AC17" s="1506">
        <f t="shared" si="5"/>
        <v>1</v>
      </c>
    </row>
    <row r="18" spans="1:29" ht="15">
      <c r="A18" s="387"/>
      <c r="B18" s="415"/>
      <c r="C18" s="2056" t="s">
        <v>3298</v>
      </c>
      <c r="D18" s="409"/>
      <c r="E18" s="2058" t="s">
        <v>3298</v>
      </c>
      <c r="F18" s="409"/>
      <c r="G18" s="2058" t="s">
        <v>3298</v>
      </c>
      <c r="H18" s="407"/>
      <c r="I18" s="2058" t="s">
        <v>3298</v>
      </c>
      <c r="J18" s="407"/>
      <c r="K18" s="628"/>
      <c r="L18" s="2920"/>
      <c r="M18" s="2914"/>
      <c r="N18" s="2914"/>
      <c r="O18" s="2972"/>
      <c r="P18" s="3412"/>
      <c r="Q18" s="1505"/>
      <c r="R18" s="714"/>
      <c r="S18" s="715"/>
      <c r="T18" s="714"/>
      <c r="U18" s="715"/>
      <c r="V18" s="714"/>
      <c r="W18" s="715"/>
      <c r="X18" s="1508"/>
      <c r="Y18" s="3412"/>
      <c r="Z18" s="1509"/>
      <c r="AA18" s="1506">
        <v>1</v>
      </c>
      <c r="AB18" s="1506">
        <v>1</v>
      </c>
      <c r="AC18" s="1506">
        <v>1</v>
      </c>
    </row>
    <row r="19" spans="1:29" ht="15" hidden="1">
      <c r="A19" s="387"/>
      <c r="B19" s="410" t="s">
        <v>2448</v>
      </c>
      <c r="C19" s="2110">
        <f>估价对象房地状况!C17</f>
        <v>0</v>
      </c>
      <c r="D19" s="414">
        <v>100</v>
      </c>
      <c r="E19" s="416">
        <v>0</v>
      </c>
      <c r="F19" s="414">
        <f>SUMIF(92:92,E20,93:93)-SUMIF(92:92,C20,93:93)+100</f>
        <v>100</v>
      </c>
      <c r="G19" s="416">
        <v>0</v>
      </c>
      <c r="H19" s="409">
        <f>SUMIF(92:92,G20,93:93)-SUMIF(92:92,C20,93:93)+100</f>
        <v>100</v>
      </c>
      <c r="I19" s="416">
        <v>0</v>
      </c>
      <c r="J19" s="409">
        <f>SUMIF(92:92,I20,93:93)-SUMIF(92:92,C20,93:93)+100</f>
        <v>100</v>
      </c>
      <c r="K19" s="629"/>
      <c r="L19" s="2920"/>
      <c r="M19" s="2914"/>
      <c r="N19" s="2914"/>
      <c r="O19" s="2972"/>
      <c r="P19" s="3412"/>
      <c r="Q19" s="1505" t="str">
        <f>B19</f>
        <v>办公集聚程度</v>
      </c>
      <c r="R19" s="714" t="s">
        <v>17</v>
      </c>
      <c r="S19" s="715">
        <f>F19</f>
        <v>100</v>
      </c>
      <c r="T19" s="714" t="s">
        <v>17</v>
      </c>
      <c r="U19" s="715">
        <f>H19</f>
        <v>100</v>
      </c>
      <c r="V19" s="714" t="s">
        <v>17</v>
      </c>
      <c r="W19" s="715">
        <f>J19</f>
        <v>100</v>
      </c>
      <c r="X19" s="1508"/>
      <c r="Y19" s="3412"/>
      <c r="Z19" s="1509" t="str">
        <f>Q19</f>
        <v>办公集聚程度</v>
      </c>
      <c r="AA19" s="1506">
        <f t="shared" si="3"/>
        <v>1</v>
      </c>
      <c r="AB19" s="1506">
        <f t="shared" si="4"/>
        <v>1</v>
      </c>
      <c r="AC19" s="1506">
        <f t="shared" si="5"/>
        <v>1</v>
      </c>
    </row>
    <row r="20" spans="1:29" ht="15" hidden="1">
      <c r="A20" s="387"/>
      <c r="B20" s="415"/>
      <c r="C20" s="406"/>
      <c r="D20" s="407"/>
      <c r="E20" s="2053"/>
      <c r="F20" s="407"/>
      <c r="G20" s="2053"/>
      <c r="H20" s="407"/>
      <c r="I20" s="2053"/>
      <c r="J20" s="407"/>
      <c r="K20" s="628"/>
      <c r="L20" s="2920"/>
      <c r="M20" s="2914"/>
      <c r="N20" s="2914"/>
      <c r="O20" s="2972"/>
      <c r="P20" s="3412"/>
      <c r="Q20" s="1505"/>
      <c r="R20" s="714"/>
      <c r="S20" s="715"/>
      <c r="T20" s="714"/>
      <c r="U20" s="715"/>
      <c r="V20" s="714"/>
      <c r="W20" s="715"/>
      <c r="X20" s="1508"/>
      <c r="Y20" s="3412"/>
      <c r="Z20" s="1509"/>
      <c r="AA20" s="1506">
        <v>1</v>
      </c>
      <c r="AB20" s="1506">
        <v>1</v>
      </c>
      <c r="AC20" s="1506">
        <v>1</v>
      </c>
    </row>
    <row r="21" spans="1:29" ht="15">
      <c r="A21" s="387"/>
      <c r="B21" s="410" t="s">
        <v>2470</v>
      </c>
      <c r="C21" s="2055">
        <f>估价对象房地状况!C18</f>
        <v>0</v>
      </c>
      <c r="D21" s="409">
        <v>100</v>
      </c>
      <c r="E21" s="411"/>
      <c r="F21" s="414">
        <f>SUMIF(94:94,E22,95:95)-SUMIF(94:94,C22,95:95)+100</f>
        <v>100</v>
      </c>
      <c r="G21" s="411"/>
      <c r="H21" s="409">
        <f>SUMIF(94:94,G22,95:95)-SUMIF(94:94,C22,95:95)+100</f>
        <v>100</v>
      </c>
      <c r="I21" s="411"/>
      <c r="J21" s="409">
        <f>SUMIF(94:94,I22,95:95)-SUMIF(94:94,C22,95:95)+100</f>
        <v>100</v>
      </c>
      <c r="K21" s="629">
        <v>3</v>
      </c>
      <c r="L21" s="2920"/>
      <c r="M21" s="2914"/>
      <c r="N21" s="2914"/>
      <c r="O21" s="2972"/>
      <c r="P21" s="3412"/>
      <c r="Q21" s="1505" t="str">
        <f>B21</f>
        <v>交通便捷度</v>
      </c>
      <c r="R21" s="714" t="s">
        <v>17</v>
      </c>
      <c r="S21" s="715">
        <f>F21</f>
        <v>100</v>
      </c>
      <c r="T21" s="714" t="s">
        <v>17</v>
      </c>
      <c r="U21" s="715">
        <f>H21</f>
        <v>100</v>
      </c>
      <c r="V21" s="714" t="s">
        <v>17</v>
      </c>
      <c r="W21" s="715">
        <f>J21</f>
        <v>100</v>
      </c>
      <c r="X21" s="1508"/>
      <c r="Y21" s="3412"/>
      <c r="Z21" s="1509" t="str">
        <f>Q21</f>
        <v>交通便捷度</v>
      </c>
      <c r="AA21" s="1506">
        <f t="shared" si="3"/>
        <v>1</v>
      </c>
      <c r="AB21" s="1506">
        <f t="shared" si="4"/>
        <v>1</v>
      </c>
      <c r="AC21" s="1506">
        <f t="shared" si="5"/>
        <v>1</v>
      </c>
    </row>
    <row r="22" spans="1:29" ht="15">
      <c r="A22" s="387"/>
      <c r="B22" s="1265"/>
      <c r="C22" s="406" t="s">
        <v>3298</v>
      </c>
      <c r="D22" s="409"/>
      <c r="E22" s="2053" t="s">
        <v>3298</v>
      </c>
      <c r="F22" s="407"/>
      <c r="G22" s="2053" t="s">
        <v>3298</v>
      </c>
      <c r="H22" s="407"/>
      <c r="I22" s="2053" t="s">
        <v>3298</v>
      </c>
      <c r="J22" s="407"/>
      <c r="K22" s="628"/>
      <c r="L22" s="2920"/>
      <c r="M22" s="2914"/>
      <c r="N22" s="2914"/>
      <c r="O22" s="2972"/>
      <c r="P22" s="3412"/>
      <c r="Q22" s="1505"/>
      <c r="R22" s="714"/>
      <c r="S22" s="715"/>
      <c r="T22" s="714"/>
      <c r="U22" s="715"/>
      <c r="V22" s="714"/>
      <c r="W22" s="715"/>
      <c r="X22" s="1508"/>
      <c r="Y22" s="3412"/>
      <c r="Z22" s="1509"/>
      <c r="AA22" s="1506">
        <v>1</v>
      </c>
      <c r="AB22" s="1506">
        <v>1</v>
      </c>
      <c r="AC22" s="1506">
        <v>1</v>
      </c>
    </row>
    <row r="23" spans="1:29" ht="15">
      <c r="A23" s="364"/>
      <c r="B23" s="410" t="s">
        <v>2508</v>
      </c>
      <c r="C23" s="1270">
        <f>估价对象房地状况!C19</f>
        <v>0</v>
      </c>
      <c r="D23" s="414">
        <v>100</v>
      </c>
      <c r="E23" s="411"/>
      <c r="F23" s="414">
        <f>SUMIF(96:96,E24,97:97)-SUMIF(96:96,C24,97:97)+100</f>
        <v>100</v>
      </c>
      <c r="G23" s="411"/>
      <c r="H23" s="414">
        <f>SUMIF(96:96,G24,97:97)-SUMIF(96:96,C24,97:97)+100</f>
        <v>100</v>
      </c>
      <c r="I23" s="411"/>
      <c r="J23" s="414">
        <f>SUMIF(96:96,I24,97:97)-SUMIF(96:96,C24,97:97)+100</f>
        <v>100</v>
      </c>
      <c r="K23" s="629">
        <v>2</v>
      </c>
      <c r="L23" s="2920"/>
      <c r="M23" s="2914"/>
      <c r="N23" s="2914"/>
      <c r="O23" s="2972"/>
      <c r="P23" s="3412"/>
      <c r="Q23" s="1505" t="str">
        <f t="shared" ref="Q23:Q37" si="8">B23</f>
        <v>区域土地利用方向</v>
      </c>
      <c r="R23" s="714" t="s">
        <v>17</v>
      </c>
      <c r="S23" s="715">
        <f>F23</f>
        <v>100</v>
      </c>
      <c r="T23" s="714" t="s">
        <v>17</v>
      </c>
      <c r="U23" s="715">
        <f>H23</f>
        <v>100</v>
      </c>
      <c r="V23" s="714" t="s">
        <v>17</v>
      </c>
      <c r="W23" s="715">
        <f>J23</f>
        <v>100</v>
      </c>
      <c r="X23" s="1508"/>
      <c r="Y23" s="3412"/>
      <c r="Z23" s="1509" t="str">
        <f>Q23</f>
        <v>区域土地利用方向</v>
      </c>
      <c r="AA23" s="1506">
        <f t="shared" si="3"/>
        <v>1</v>
      </c>
      <c r="AB23" s="1506">
        <f t="shared" si="4"/>
        <v>1</v>
      </c>
      <c r="AC23" s="1506">
        <f t="shared" si="5"/>
        <v>1</v>
      </c>
    </row>
    <row r="24" spans="1:29" ht="15">
      <c r="A24" s="364"/>
      <c r="B24" s="415"/>
      <c r="C24" s="573" t="s">
        <v>3299</v>
      </c>
      <c r="D24" s="407"/>
      <c r="E24" s="2053" t="s">
        <v>3299</v>
      </c>
      <c r="F24" s="407"/>
      <c r="G24" s="2053" t="s">
        <v>3299</v>
      </c>
      <c r="H24" s="407"/>
      <c r="I24" s="2053" t="s">
        <v>3299</v>
      </c>
      <c r="J24" s="407"/>
      <c r="K24" s="751"/>
      <c r="L24" s="2920"/>
      <c r="M24" s="2914"/>
      <c r="N24" s="2914"/>
      <c r="O24" s="2972"/>
      <c r="P24" s="3412"/>
      <c r="Q24" s="1505"/>
      <c r="R24" s="714"/>
      <c r="S24" s="715"/>
      <c r="T24" s="714"/>
      <c r="U24" s="715"/>
      <c r="V24" s="714"/>
      <c r="W24" s="715"/>
      <c r="X24" s="1508"/>
      <c r="Y24" s="3412"/>
      <c r="Z24" s="1509"/>
      <c r="AA24" s="1506"/>
      <c r="AB24" s="1506"/>
      <c r="AC24" s="1506"/>
    </row>
    <row r="25" spans="1:29" ht="27">
      <c r="A25" s="364"/>
      <c r="B25" s="1265" t="s">
        <v>2509</v>
      </c>
      <c r="C25" s="2110">
        <f>估价对象房地状况!C20</f>
        <v>0</v>
      </c>
      <c r="D25" s="409">
        <v>100</v>
      </c>
      <c r="E25" s="411"/>
      <c r="F25" s="409">
        <f>SUMIF(98:98,E26,99:99)-SUMIF(98:98,C26,99:99)+100</f>
        <v>100</v>
      </c>
      <c r="G25" s="411"/>
      <c r="H25" s="409">
        <f>SUMIF(98:98,G26,99:99)-SUMIF(98:98,C26,99:99)+100</f>
        <v>100</v>
      </c>
      <c r="I25" s="411"/>
      <c r="J25" s="409">
        <f>SUMIF(98:98,I26,99:99)-SUMIF(98:98,C26,99:99)+100</f>
        <v>103</v>
      </c>
      <c r="K25" s="629">
        <v>3</v>
      </c>
      <c r="L25" s="2920"/>
      <c r="M25" s="2914"/>
      <c r="N25" s="2914"/>
      <c r="O25" s="2972"/>
      <c r="P25" s="3412"/>
      <c r="Q25" s="1505" t="str">
        <f t="shared" si="8"/>
        <v>自然及人文环境状况</v>
      </c>
      <c r="R25" s="714" t="s">
        <v>17</v>
      </c>
      <c r="S25" s="715">
        <f>F25</f>
        <v>100</v>
      </c>
      <c r="T25" s="714" t="s">
        <v>17</v>
      </c>
      <c r="U25" s="715">
        <f>H25</f>
        <v>100</v>
      </c>
      <c r="V25" s="714" t="s">
        <v>17</v>
      </c>
      <c r="W25" s="715">
        <f>J25</f>
        <v>103</v>
      </c>
      <c r="X25" s="1508"/>
      <c r="Y25" s="3412"/>
      <c r="Z25" s="1509" t="str">
        <f>Q25</f>
        <v>自然及人文环境状况</v>
      </c>
      <c r="AA25" s="1506">
        <f t="shared" si="3"/>
        <v>1</v>
      </c>
      <c r="AB25" s="1506">
        <f t="shared" si="4"/>
        <v>1</v>
      </c>
      <c r="AC25" s="1506">
        <f t="shared" si="5"/>
        <v>0.970873786407767</v>
      </c>
    </row>
    <row r="26" spans="1:29" ht="15">
      <c r="A26" s="364"/>
      <c r="B26" s="415"/>
      <c r="C26" s="406" t="s">
        <v>3298</v>
      </c>
      <c r="D26" s="407"/>
      <c r="E26" s="2059" t="s">
        <v>3298</v>
      </c>
      <c r="F26" s="407"/>
      <c r="G26" s="2059" t="s">
        <v>3298</v>
      </c>
      <c r="H26" s="407"/>
      <c r="I26" s="2059" t="s">
        <v>3299</v>
      </c>
      <c r="J26" s="407"/>
      <c r="K26" s="628"/>
      <c r="L26" s="2920"/>
      <c r="M26" s="2914"/>
      <c r="N26" s="2914"/>
      <c r="O26" s="2972"/>
      <c r="P26" s="3412"/>
      <c r="Q26" s="1505"/>
      <c r="R26" s="714"/>
      <c r="S26" s="715"/>
      <c r="T26" s="714"/>
      <c r="U26" s="715"/>
      <c r="V26" s="714"/>
      <c r="W26" s="715"/>
      <c r="X26" s="1508"/>
      <c r="Y26" s="3412"/>
      <c r="Z26" s="1509"/>
      <c r="AA26" s="1506">
        <v>1</v>
      </c>
      <c r="AB26" s="1506">
        <v>1</v>
      </c>
      <c r="AC26" s="1506">
        <v>1</v>
      </c>
    </row>
    <row r="27" spans="1:29" s="113" customFormat="1" ht="15">
      <c r="A27" s="605"/>
      <c r="B27" s="1265" t="s">
        <v>2415</v>
      </c>
      <c r="C27" s="2055">
        <f>估价对象房地状况!C21</f>
        <v>0</v>
      </c>
      <c r="D27" s="409">
        <v>100</v>
      </c>
      <c r="E27" s="411"/>
      <c r="F27" s="409">
        <f>SUMIF(100:100,E28,101:101)-SUMIF(100:100,C28,101:101)+100</f>
        <v>100</v>
      </c>
      <c r="G27" s="411"/>
      <c r="H27" s="409">
        <f>SUMIF(100:100,G28,101:101)-SUMIF(100:100,C28,101:101)+100</f>
        <v>100</v>
      </c>
      <c r="I27" s="411"/>
      <c r="J27" s="409">
        <f>SUMIF(100:100,I28,101:101)-SUMIF(100:100,C28,101:101)+100</f>
        <v>102</v>
      </c>
      <c r="K27" s="629">
        <v>2</v>
      </c>
      <c r="L27" s="2915"/>
      <c r="M27" s="2916"/>
      <c r="N27" s="2916"/>
      <c r="O27" s="2970"/>
      <c r="P27" s="3412"/>
      <c r="Q27" s="1496" t="str">
        <f t="shared" si="8"/>
        <v>公共配套设施</v>
      </c>
      <c r="R27" s="710" t="s">
        <v>17</v>
      </c>
      <c r="S27" s="711">
        <f>F27</f>
        <v>100</v>
      </c>
      <c r="T27" s="710" t="s">
        <v>17</v>
      </c>
      <c r="U27" s="711">
        <f>H27</f>
        <v>100</v>
      </c>
      <c r="V27" s="710" t="s">
        <v>17</v>
      </c>
      <c r="W27" s="711">
        <f>J27</f>
        <v>102</v>
      </c>
      <c r="X27" s="712"/>
      <c r="Y27" s="3412"/>
      <c r="Z27" s="55" t="str">
        <f>Q27</f>
        <v>公共配套设施</v>
      </c>
      <c r="AA27" s="1506">
        <f>D27/F27</f>
        <v>1</v>
      </c>
      <c r="AB27" s="1506">
        <f>D27/H27</f>
        <v>1</v>
      </c>
      <c r="AC27" s="1506">
        <f>D27/J27</f>
        <v>0.98039215686274506</v>
      </c>
    </row>
    <row r="28" spans="1:29" s="113" customFormat="1" ht="15">
      <c r="A28" s="605"/>
      <c r="B28" s="415"/>
      <c r="C28" s="2133" t="s">
        <v>3298</v>
      </c>
      <c r="D28" s="407"/>
      <c r="E28" s="2059" t="s">
        <v>3298</v>
      </c>
      <c r="F28" s="407"/>
      <c r="G28" s="2059" t="s">
        <v>3298</v>
      </c>
      <c r="H28" s="407"/>
      <c r="I28" s="2059" t="s">
        <v>3299</v>
      </c>
      <c r="J28" s="407"/>
      <c r="K28" s="628"/>
      <c r="L28" s="2915"/>
      <c r="M28" s="2916"/>
      <c r="N28" s="2916"/>
      <c r="O28" s="2970"/>
      <c r="P28" s="3412"/>
      <c r="Q28" s="1496"/>
      <c r="R28" s="710"/>
      <c r="S28" s="711"/>
      <c r="T28" s="710"/>
      <c r="U28" s="711"/>
      <c r="V28" s="710"/>
      <c r="W28" s="711"/>
      <c r="X28" s="712"/>
      <c r="Y28" s="3412"/>
      <c r="Z28" s="55"/>
      <c r="AA28" s="1506">
        <v>1</v>
      </c>
      <c r="AB28" s="1506">
        <v>1</v>
      </c>
      <c r="AC28" s="1506">
        <v>1</v>
      </c>
    </row>
    <row r="29" spans="1:29" s="113" customFormat="1" ht="15">
      <c r="A29" s="605"/>
      <c r="B29" s="1265" t="s">
        <v>2416</v>
      </c>
      <c r="C29" s="2055">
        <f>估价对象房地状况!C22</f>
        <v>0</v>
      </c>
      <c r="D29" s="409">
        <v>100</v>
      </c>
      <c r="E29" s="411"/>
      <c r="F29" s="409">
        <f>SUMIF(102:102,E30,103:103)-SUMIF(102:102,C30,103:103)+100</f>
        <v>100</v>
      </c>
      <c r="G29" s="411"/>
      <c r="H29" s="409">
        <f>SUMIF(102:102,G30,103:103)-SUMIF(102:102,C30,103:103)+100</f>
        <v>100</v>
      </c>
      <c r="I29" s="411"/>
      <c r="J29" s="409">
        <f>SUMIF(102:102,I30,103:103)-SUMIF(102:102,C30,103:103)+100</f>
        <v>100</v>
      </c>
      <c r="K29" s="629">
        <v>3</v>
      </c>
      <c r="L29" s="2915"/>
      <c r="M29" s="2916"/>
      <c r="N29" s="2916"/>
      <c r="O29" s="2970"/>
      <c r="P29" s="3412"/>
      <c r="Q29" s="1496" t="str">
        <f t="shared" ref="Q29" si="9">B29</f>
        <v>基础设施水平</v>
      </c>
      <c r="R29" s="710" t="s">
        <v>17</v>
      </c>
      <c r="S29" s="711">
        <f>F29</f>
        <v>100</v>
      </c>
      <c r="T29" s="710" t="s">
        <v>17</v>
      </c>
      <c r="U29" s="711">
        <f>H29</f>
        <v>100</v>
      </c>
      <c r="V29" s="710" t="s">
        <v>17</v>
      </c>
      <c r="W29" s="711">
        <f>J29</f>
        <v>100</v>
      </c>
      <c r="X29" s="712"/>
      <c r="Y29" s="3412"/>
      <c r="Z29" s="55" t="str">
        <f>Q29</f>
        <v>基础设施水平</v>
      </c>
      <c r="AA29" s="1506">
        <f>D29/F29</f>
        <v>1</v>
      </c>
      <c r="AB29" s="1506">
        <f>D29/H29</f>
        <v>1</v>
      </c>
      <c r="AC29" s="1506">
        <f>D29/J29</f>
        <v>1</v>
      </c>
    </row>
    <row r="30" spans="1:29" s="113" customFormat="1" ht="15.75" thickBot="1">
      <c r="A30" s="605"/>
      <c r="B30" s="415"/>
      <c r="C30" s="2133" t="s">
        <v>3300</v>
      </c>
      <c r="D30" s="407"/>
      <c r="E30" s="2134" t="s">
        <v>3300</v>
      </c>
      <c r="F30" s="407"/>
      <c r="G30" s="2134" t="s">
        <v>3300</v>
      </c>
      <c r="H30" s="407"/>
      <c r="I30" s="2134" t="s">
        <v>3300</v>
      </c>
      <c r="J30" s="407"/>
      <c r="K30" s="628"/>
      <c r="L30" s="2915"/>
      <c r="M30" s="2916"/>
      <c r="N30" s="2916"/>
      <c r="O30" s="2970"/>
      <c r="P30" s="3412"/>
      <c r="Q30" s="1496"/>
      <c r="R30" s="710"/>
      <c r="S30" s="711"/>
      <c r="T30" s="710"/>
      <c r="U30" s="711"/>
      <c r="V30" s="710"/>
      <c r="W30" s="711"/>
      <c r="X30" s="712"/>
      <c r="Y30" s="3412"/>
      <c r="Z30" s="55"/>
      <c r="AA30" s="1506">
        <v>1</v>
      </c>
      <c r="AB30" s="1506">
        <v>1</v>
      </c>
      <c r="AC30" s="1506">
        <v>1</v>
      </c>
    </row>
    <row r="31" spans="1:29" ht="15" hidden="1">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12"/>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12"/>
      <c r="Z31" s="1509" t="str">
        <f t="shared" ref="Z31:Z45" si="13">Q31</f>
        <v>临街状况</v>
      </c>
      <c r="AA31" s="1506">
        <f t="shared" si="3"/>
        <v>1</v>
      </c>
      <c r="AB31" s="1506">
        <f t="shared" si="4"/>
        <v>1</v>
      </c>
      <c r="AC31" s="1506">
        <f t="shared" si="5"/>
        <v>1</v>
      </c>
    </row>
    <row r="32" spans="1:29" ht="27" hidden="1">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12"/>
      <c r="Q32" s="1505" t="str">
        <f t="shared" si="8"/>
        <v>毗邻道路的类型与等级</v>
      </c>
      <c r="R32" s="714" t="s">
        <v>17</v>
      </c>
      <c r="S32" s="715">
        <f t="shared" si="10"/>
        <v>100</v>
      </c>
      <c r="T32" s="714" t="s">
        <v>17</v>
      </c>
      <c r="U32" s="715">
        <f t="shared" si="11"/>
        <v>100</v>
      </c>
      <c r="V32" s="714" t="s">
        <v>17</v>
      </c>
      <c r="W32" s="715">
        <f t="shared" si="12"/>
        <v>100</v>
      </c>
      <c r="X32" s="1508"/>
      <c r="Y32" s="3412"/>
      <c r="Z32" s="1509" t="str">
        <f t="shared" si="13"/>
        <v>毗邻道路的类型与等级</v>
      </c>
      <c r="AA32" s="1506">
        <f t="shared" si="3"/>
        <v>1</v>
      </c>
      <c r="AB32" s="1506">
        <f t="shared" si="4"/>
        <v>1</v>
      </c>
      <c r="AC32" s="1506">
        <f t="shared" si="5"/>
        <v>1</v>
      </c>
    </row>
    <row r="33" spans="1:29" ht="15" hidden="1">
      <c r="A33" s="387"/>
      <c r="B33" s="415"/>
      <c r="C33" s="406"/>
      <c r="D33" s="407"/>
      <c r="E33" s="2059"/>
      <c r="F33" s="407"/>
      <c r="G33" s="2059"/>
      <c r="H33" s="407"/>
      <c r="I33" s="406"/>
      <c r="J33" s="407"/>
      <c r="K33" s="570"/>
      <c r="L33" s="2920"/>
      <c r="M33" s="2914"/>
      <c r="N33" s="2914"/>
      <c r="O33" s="2972"/>
      <c r="P33" s="3412"/>
      <c r="Q33" s="1505"/>
      <c r="R33" s="714"/>
      <c r="S33" s="715"/>
      <c r="T33" s="714"/>
      <c r="U33" s="715"/>
      <c r="V33" s="714"/>
      <c r="W33" s="715"/>
      <c r="X33" s="1508"/>
      <c r="Y33" s="3412"/>
      <c r="Z33" s="1509"/>
      <c r="AA33" s="1506">
        <v>1</v>
      </c>
      <c r="AB33" s="1506">
        <v>1</v>
      </c>
      <c r="AC33" s="1506">
        <v>1</v>
      </c>
    </row>
    <row r="34" spans="1:29" ht="15" hidden="1">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12"/>
      <c r="Q34" s="1505" t="str">
        <f t="shared" si="8"/>
        <v>土地级别</v>
      </c>
      <c r="R34" s="714" t="s">
        <v>17</v>
      </c>
      <c r="S34" s="715">
        <f t="shared" si="10"/>
        <v>100</v>
      </c>
      <c r="T34" s="714" t="s">
        <v>17</v>
      </c>
      <c r="U34" s="715">
        <f t="shared" si="11"/>
        <v>100</v>
      </c>
      <c r="V34" s="714" t="s">
        <v>17</v>
      </c>
      <c r="W34" s="715">
        <f t="shared" si="12"/>
        <v>100</v>
      </c>
      <c r="X34" s="1508"/>
      <c r="Y34" s="3412"/>
      <c r="Z34" s="1509" t="str">
        <f t="shared" si="13"/>
        <v>土地级别</v>
      </c>
      <c r="AA34" s="1506">
        <f t="shared" si="3"/>
        <v>1</v>
      </c>
      <c r="AB34" s="1506">
        <f t="shared" si="4"/>
        <v>1</v>
      </c>
      <c r="AC34" s="1506">
        <f t="shared" si="5"/>
        <v>1</v>
      </c>
    </row>
    <row r="35" spans="1:29" ht="15" hidden="1">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12"/>
      <c r="Q35" s="1505">
        <f t="shared" si="8"/>
        <v>111</v>
      </c>
      <c r="R35" s="714" t="s">
        <v>17</v>
      </c>
      <c r="S35" s="715">
        <f t="shared" si="10"/>
        <v>100</v>
      </c>
      <c r="T35" s="714" t="s">
        <v>17</v>
      </c>
      <c r="U35" s="715">
        <f t="shared" si="11"/>
        <v>100</v>
      </c>
      <c r="V35" s="714" t="s">
        <v>17</v>
      </c>
      <c r="W35" s="715">
        <f t="shared" si="12"/>
        <v>100</v>
      </c>
      <c r="X35" s="1508"/>
      <c r="Y35" s="3412"/>
      <c r="Z35" s="1509">
        <f t="shared" si="13"/>
        <v>111</v>
      </c>
      <c r="AA35" s="1506">
        <f t="shared" si="3"/>
        <v>1</v>
      </c>
      <c r="AB35" s="1506">
        <f t="shared" si="4"/>
        <v>1</v>
      </c>
      <c r="AC35" s="1506">
        <f t="shared" si="5"/>
        <v>1</v>
      </c>
    </row>
    <row r="36" spans="1:29" ht="15" hidden="1">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413" t="s">
        <v>2326</v>
      </c>
      <c r="Q36" s="1505">
        <f t="shared" si="8"/>
        <v>111</v>
      </c>
      <c r="R36" s="714" t="s">
        <v>17</v>
      </c>
      <c r="S36" s="715">
        <f t="shared" si="10"/>
        <v>100</v>
      </c>
      <c r="T36" s="714" t="s">
        <v>17</v>
      </c>
      <c r="U36" s="715">
        <f t="shared" si="11"/>
        <v>100</v>
      </c>
      <c r="V36" s="714" t="s">
        <v>17</v>
      </c>
      <c r="W36" s="715">
        <f t="shared" si="12"/>
        <v>100</v>
      </c>
      <c r="X36" s="1508"/>
      <c r="Y36" s="3414" t="s">
        <v>2326</v>
      </c>
      <c r="Z36" s="1509">
        <f t="shared" si="13"/>
        <v>111</v>
      </c>
      <c r="AA36" s="1506">
        <f t="shared" si="3"/>
        <v>1</v>
      </c>
      <c r="AB36" s="1506">
        <f t="shared" si="4"/>
        <v>1</v>
      </c>
      <c r="AC36" s="1506">
        <f t="shared" si="5"/>
        <v>1</v>
      </c>
    </row>
    <row r="37" spans="1:29" s="430" customFormat="1" ht="15.75" hidden="1"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14"/>
      <c r="Q37" s="1505">
        <f t="shared" si="8"/>
        <v>111</v>
      </c>
      <c r="R37" s="717" t="s">
        <v>17</v>
      </c>
      <c r="S37" s="718">
        <f t="shared" si="10"/>
        <v>100</v>
      </c>
      <c r="T37" s="717" t="s">
        <v>17</v>
      </c>
      <c r="U37" s="718">
        <f t="shared" si="11"/>
        <v>100</v>
      </c>
      <c r="V37" s="717" t="s">
        <v>17</v>
      </c>
      <c r="W37" s="718">
        <f t="shared" si="12"/>
        <v>100</v>
      </c>
      <c r="X37" s="719"/>
      <c r="Y37" s="3414"/>
      <c r="Z37" s="720">
        <f t="shared" si="13"/>
        <v>111</v>
      </c>
      <c r="AA37" s="1506">
        <f t="shared" si="3"/>
        <v>1</v>
      </c>
      <c r="AB37" s="1506">
        <f t="shared" si="4"/>
        <v>1</v>
      </c>
      <c r="AC37" s="1506">
        <f t="shared" si="5"/>
        <v>1</v>
      </c>
    </row>
    <row r="38" spans="1:29" ht="15">
      <c r="A38" s="431" t="s">
        <v>2324</v>
      </c>
      <c r="B38" s="415" t="s">
        <v>2511</v>
      </c>
      <c r="C38" s="635">
        <f>'数据-基础表'!A3</f>
        <v>57307</v>
      </c>
      <c r="D38" s="426">
        <v>100</v>
      </c>
      <c r="E38" s="635">
        <v>12961</v>
      </c>
      <c r="F38" s="426">
        <f>LOOKUP(E38,117:117,118:118)-LOOKUP(C38,117:117,118:118)+100</f>
        <v>99</v>
      </c>
      <c r="G38" s="635">
        <v>26467</v>
      </c>
      <c r="H38" s="426">
        <f>LOOKUP(G38,117:117,118:118)-LOOKUP(C38,117:117,118:118)+100</f>
        <v>99</v>
      </c>
      <c r="I38" s="487">
        <v>14772</v>
      </c>
      <c r="J38" s="426">
        <f>LOOKUP(I38,117:117,118:118)-LOOKUP(C38,117:117,118:118)+100</f>
        <v>99</v>
      </c>
      <c r="K38" s="570"/>
      <c r="L38" s="2920"/>
      <c r="M38" s="2914"/>
      <c r="N38" s="2914"/>
      <c r="O38" s="2972"/>
      <c r="P38" s="3414"/>
      <c r="Q38" s="1505" t="str">
        <f>B38</f>
        <v>宗地面积</v>
      </c>
      <c r="R38" s="714" t="s">
        <v>17</v>
      </c>
      <c r="S38" s="715">
        <f t="shared" si="10"/>
        <v>99</v>
      </c>
      <c r="T38" s="714" t="s">
        <v>17</v>
      </c>
      <c r="U38" s="715">
        <f t="shared" si="11"/>
        <v>99</v>
      </c>
      <c r="V38" s="714" t="s">
        <v>17</v>
      </c>
      <c r="W38" s="715">
        <f t="shared" si="12"/>
        <v>99</v>
      </c>
      <c r="X38" s="1508"/>
      <c r="Y38" s="3414"/>
      <c r="Z38" s="1509" t="str">
        <f t="shared" si="13"/>
        <v>宗地面积</v>
      </c>
      <c r="AA38" s="1506">
        <f t="shared" si="3"/>
        <v>1.0101010101010102</v>
      </c>
      <c r="AB38" s="1506">
        <f t="shared" si="4"/>
        <v>1.0101010101010102</v>
      </c>
      <c r="AC38" s="1506">
        <f t="shared" si="5"/>
        <v>1.0101010101010102</v>
      </c>
    </row>
    <row r="39" spans="1:29" ht="15">
      <c r="A39" s="431"/>
      <c r="B39" s="381" t="s">
        <v>2512</v>
      </c>
      <c r="C39" s="3559" t="s">
        <v>3301</v>
      </c>
      <c r="D39" s="394">
        <v>100</v>
      </c>
      <c r="E39" s="3559" t="s">
        <v>3301</v>
      </c>
      <c r="F39" s="394">
        <f>SUMIF(119:119,E39,120:120)-SUMIF(119:119,C39,120:120)+100</f>
        <v>100</v>
      </c>
      <c r="G39" s="3559" t="s">
        <v>3301</v>
      </c>
      <c r="H39" s="394">
        <f>SUMIF(119:119,G39,120:120)-SUMIF(119:119,C39,120:120)+100</f>
        <v>100</v>
      </c>
      <c r="I39" s="3559" t="s">
        <v>3301</v>
      </c>
      <c r="J39" s="394">
        <f>SUMIF(119:119,I39,120:120)-SUMIF(119:119,C39,120:120)+100</f>
        <v>100</v>
      </c>
      <c r="K39" s="569">
        <v>2</v>
      </c>
      <c r="L39" s="2920"/>
      <c r="M39" s="2914"/>
      <c r="N39" s="2914"/>
      <c r="O39" s="2972"/>
      <c r="P39" s="3414"/>
      <c r="Q39" s="1505" t="str">
        <f t="shared" ref="Q39:Q45" si="14">B39</f>
        <v>宗地形状</v>
      </c>
      <c r="R39" s="714" t="s">
        <v>17</v>
      </c>
      <c r="S39" s="715">
        <f t="shared" si="10"/>
        <v>100</v>
      </c>
      <c r="T39" s="714" t="s">
        <v>17</v>
      </c>
      <c r="U39" s="715">
        <f t="shared" si="11"/>
        <v>100</v>
      </c>
      <c r="V39" s="714" t="s">
        <v>17</v>
      </c>
      <c r="W39" s="715">
        <f t="shared" si="12"/>
        <v>100</v>
      </c>
      <c r="X39" s="1508"/>
      <c r="Y39" s="3414"/>
      <c r="Z39" s="1509" t="str">
        <f t="shared" si="13"/>
        <v>宗地形状</v>
      </c>
      <c r="AA39" s="1506">
        <f t="shared" si="3"/>
        <v>1</v>
      </c>
      <c r="AB39" s="1506">
        <f t="shared" si="4"/>
        <v>1</v>
      </c>
      <c r="AC39" s="1506">
        <f t="shared" si="5"/>
        <v>1</v>
      </c>
    </row>
    <row r="40" spans="1:29" ht="15">
      <c r="A40" s="431"/>
      <c r="B40" s="381" t="s">
        <v>2513</v>
      </c>
      <c r="C40" s="3559" t="s">
        <v>3302</v>
      </c>
      <c r="D40" s="394">
        <v>100</v>
      </c>
      <c r="E40" s="3559" t="s">
        <v>3302</v>
      </c>
      <c r="F40" s="394">
        <f>SUMIF(121:121,E40,122:122)-SUMIF(121:121,C40,122:122)+100</f>
        <v>100</v>
      </c>
      <c r="G40" s="3559" t="s">
        <v>3302</v>
      </c>
      <c r="H40" s="394">
        <f>SUMIF(121:121,G40,122:122)-SUMIF(121:121,C40,122:122)+100</f>
        <v>100</v>
      </c>
      <c r="I40" s="3559" t="s">
        <v>3302</v>
      </c>
      <c r="J40" s="394">
        <f>SUMIF(121:121,I40,122:122)-SUMIF(121:121,C40,122:122)+100</f>
        <v>100</v>
      </c>
      <c r="K40" s="569">
        <v>2</v>
      </c>
      <c r="L40" s="2920"/>
      <c r="M40" s="2914"/>
      <c r="N40" s="2914"/>
      <c r="O40" s="2972"/>
      <c r="P40" s="3414"/>
      <c r="Q40" s="1505" t="str">
        <f t="shared" si="14"/>
        <v>临街宽度及深度</v>
      </c>
      <c r="R40" s="714" t="s">
        <v>17</v>
      </c>
      <c r="S40" s="715">
        <f t="shared" si="10"/>
        <v>100</v>
      </c>
      <c r="T40" s="714" t="s">
        <v>17</v>
      </c>
      <c r="U40" s="715">
        <f t="shared" si="11"/>
        <v>100</v>
      </c>
      <c r="V40" s="714" t="s">
        <v>17</v>
      </c>
      <c r="W40" s="715">
        <f t="shared" si="12"/>
        <v>100</v>
      </c>
      <c r="X40" s="1508"/>
      <c r="Y40" s="3414"/>
      <c r="Z40" s="1509" t="str">
        <f t="shared" si="13"/>
        <v>临街宽度及深度</v>
      </c>
      <c r="AA40" s="1506">
        <f t="shared" si="3"/>
        <v>1</v>
      </c>
      <c r="AB40" s="1506">
        <f t="shared" si="4"/>
        <v>1</v>
      </c>
      <c r="AC40" s="1506">
        <f t="shared" si="5"/>
        <v>1</v>
      </c>
    </row>
    <row r="41" spans="1:29" s="113" customFormat="1" ht="15">
      <c r="A41" s="432"/>
      <c r="B41" s="381" t="s">
        <v>2514</v>
      </c>
      <c r="C41" s="3560" t="s">
        <v>3303</v>
      </c>
      <c r="D41" s="132">
        <v>100</v>
      </c>
      <c r="E41" s="3560" t="s">
        <v>3303</v>
      </c>
      <c r="F41" s="394">
        <f>SUMIF(123:123,E41,124:124)-SUMIF(123:123,C41,124:124)+100</f>
        <v>100</v>
      </c>
      <c r="G41" s="3560" t="s">
        <v>3303</v>
      </c>
      <c r="H41" s="394">
        <f>SUMIF(123:123,G41,124:124)-SUMIF(123:123,C41,124:124)+100</f>
        <v>100</v>
      </c>
      <c r="I41" s="3560" t="s">
        <v>3303</v>
      </c>
      <c r="J41" s="394">
        <f>SUMIF(123:123,I41,124:124)-SUMIF(123:123,C41,124:124)+100</f>
        <v>100</v>
      </c>
      <c r="K41" s="569">
        <v>2</v>
      </c>
      <c r="L41" s="2915"/>
      <c r="M41" s="2916"/>
      <c r="N41" s="2916"/>
      <c r="O41" s="2970"/>
      <c r="P41" s="3414"/>
      <c r="Q41" s="1505" t="str">
        <f t="shared" si="14"/>
        <v>宗地开发程度</v>
      </c>
      <c r="R41" s="710" t="s">
        <v>17</v>
      </c>
      <c r="S41" s="711">
        <f t="shared" si="10"/>
        <v>100</v>
      </c>
      <c r="T41" s="710" t="s">
        <v>17</v>
      </c>
      <c r="U41" s="711">
        <f t="shared" si="11"/>
        <v>100</v>
      </c>
      <c r="V41" s="710" t="s">
        <v>17</v>
      </c>
      <c r="W41" s="711">
        <f t="shared" si="12"/>
        <v>100</v>
      </c>
      <c r="X41" s="712"/>
      <c r="Y41" s="3414"/>
      <c r="Z41" s="55" t="str">
        <f t="shared" si="13"/>
        <v>宗地开发程度</v>
      </c>
      <c r="AA41" s="713">
        <f t="shared" si="3"/>
        <v>1</v>
      </c>
      <c r="AB41" s="713">
        <f t="shared" si="4"/>
        <v>1</v>
      </c>
      <c r="AC41" s="713">
        <f t="shared" si="5"/>
        <v>1</v>
      </c>
    </row>
    <row r="42" spans="1:29" ht="15.75" thickBot="1">
      <c r="A42" s="431"/>
      <c r="B42" s="381" t="s">
        <v>2515</v>
      </c>
      <c r="C42" s="3559" t="s">
        <v>3302</v>
      </c>
      <c r="D42" s="394">
        <v>100</v>
      </c>
      <c r="E42" s="3559" t="s">
        <v>3302</v>
      </c>
      <c r="F42" s="394">
        <f>SUMIF(125:125,E42,126:126)-SUMIF(125:125,C42,126:126)+100</f>
        <v>100</v>
      </c>
      <c r="G42" s="3559" t="s">
        <v>3302</v>
      </c>
      <c r="H42" s="394">
        <f>SUMIF(125:125,G42,126:126)-SUMIF(125:125,C42,126:126)+100</f>
        <v>100</v>
      </c>
      <c r="I42" s="3559" t="s">
        <v>3302</v>
      </c>
      <c r="J42" s="394">
        <f>SUMIF(125:125,I42,126:126)-SUMIF(125:125,C42,126:126)+100</f>
        <v>100</v>
      </c>
      <c r="K42" s="569">
        <v>2</v>
      </c>
      <c r="L42" s="2920"/>
      <c r="M42" s="2914"/>
      <c r="N42" s="2914"/>
      <c r="O42" s="2972"/>
      <c r="P42" s="3414" t="s">
        <v>2326</v>
      </c>
      <c r="Q42" s="1505" t="str">
        <f t="shared" si="14"/>
        <v>工程地质条件</v>
      </c>
      <c r="R42" s="714" t="s">
        <v>17</v>
      </c>
      <c r="S42" s="715">
        <f t="shared" si="10"/>
        <v>100</v>
      </c>
      <c r="T42" s="714" t="s">
        <v>17</v>
      </c>
      <c r="U42" s="715">
        <f t="shared" si="11"/>
        <v>100</v>
      </c>
      <c r="V42" s="714" t="s">
        <v>17</v>
      </c>
      <c r="W42" s="715">
        <f t="shared" si="12"/>
        <v>100</v>
      </c>
      <c r="X42" s="1508"/>
      <c r="Y42" s="3414" t="s">
        <v>2326</v>
      </c>
      <c r="Z42" s="1509" t="str">
        <f t="shared" si="13"/>
        <v>工程地质条件</v>
      </c>
      <c r="AA42" s="1506">
        <f t="shared" si="3"/>
        <v>1</v>
      </c>
      <c r="AB42" s="1506">
        <f t="shared" si="4"/>
        <v>1</v>
      </c>
      <c r="AC42" s="1506">
        <f t="shared" si="5"/>
        <v>1</v>
      </c>
    </row>
    <row r="43" spans="1:29" ht="15" hidden="1">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14"/>
      <c r="Q43" s="1505">
        <f t="shared" si="14"/>
        <v>111</v>
      </c>
      <c r="R43" s="714" t="s">
        <v>17</v>
      </c>
      <c r="S43" s="715">
        <f t="shared" si="10"/>
        <v>100</v>
      </c>
      <c r="T43" s="714" t="s">
        <v>17</v>
      </c>
      <c r="U43" s="715">
        <f t="shared" si="11"/>
        <v>100</v>
      </c>
      <c r="V43" s="714" t="s">
        <v>17</v>
      </c>
      <c r="W43" s="715">
        <f t="shared" si="12"/>
        <v>100</v>
      </c>
      <c r="X43" s="1508"/>
      <c r="Y43" s="3414"/>
      <c r="Z43" s="1509">
        <f t="shared" si="13"/>
        <v>111</v>
      </c>
      <c r="AA43" s="1506">
        <f t="shared" si="3"/>
        <v>1</v>
      </c>
      <c r="AB43" s="1506">
        <f t="shared" si="4"/>
        <v>1</v>
      </c>
      <c r="AC43" s="1506">
        <f t="shared" si="5"/>
        <v>1</v>
      </c>
    </row>
    <row r="44" spans="1:29" ht="15" hidden="1">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14"/>
      <c r="Q44" s="1505">
        <f t="shared" si="14"/>
        <v>111</v>
      </c>
      <c r="R44" s="714" t="s">
        <v>17</v>
      </c>
      <c r="S44" s="715">
        <f t="shared" si="10"/>
        <v>100</v>
      </c>
      <c r="T44" s="714" t="s">
        <v>17</v>
      </c>
      <c r="U44" s="715">
        <f t="shared" si="11"/>
        <v>100</v>
      </c>
      <c r="V44" s="714" t="s">
        <v>17</v>
      </c>
      <c r="W44" s="715">
        <f t="shared" si="12"/>
        <v>100</v>
      </c>
      <c r="X44" s="1508"/>
      <c r="Y44" s="3414"/>
      <c r="Z44" s="1509">
        <f t="shared" si="13"/>
        <v>111</v>
      </c>
      <c r="AA44" s="1506">
        <f t="shared" si="3"/>
        <v>1</v>
      </c>
      <c r="AB44" s="1506">
        <f t="shared" si="4"/>
        <v>1</v>
      </c>
      <c r="AC44" s="1506">
        <f t="shared" si="5"/>
        <v>1</v>
      </c>
    </row>
    <row r="45" spans="1:29" s="430" customFormat="1" ht="15.75" hidden="1"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14"/>
      <c r="Q45" s="1505">
        <f t="shared" si="14"/>
        <v>111</v>
      </c>
      <c r="R45" s="717" t="s">
        <v>17</v>
      </c>
      <c r="S45" s="718">
        <f t="shared" si="10"/>
        <v>100</v>
      </c>
      <c r="T45" s="717" t="s">
        <v>17</v>
      </c>
      <c r="U45" s="718">
        <f t="shared" si="11"/>
        <v>100</v>
      </c>
      <c r="V45" s="717" t="s">
        <v>17</v>
      </c>
      <c r="W45" s="718">
        <f t="shared" si="12"/>
        <v>100</v>
      </c>
      <c r="X45" s="719"/>
      <c r="Y45" s="3414"/>
      <c r="Z45" s="720">
        <f t="shared" si="13"/>
        <v>111</v>
      </c>
      <c r="AA45" s="1506">
        <f t="shared" si="3"/>
        <v>1</v>
      </c>
      <c r="AB45" s="1506">
        <f t="shared" si="4"/>
        <v>1</v>
      </c>
      <c r="AC45" s="1506">
        <f t="shared" si="5"/>
        <v>1</v>
      </c>
    </row>
    <row r="46" spans="1:29" ht="15">
      <c r="A46" s="438" t="s">
        <v>2481</v>
      </c>
      <c r="B46" s="2137" t="s">
        <v>2516</v>
      </c>
      <c r="C46" s="638" t="s">
        <v>1</v>
      </c>
      <c r="D46" s="440"/>
      <c r="E46" s="441">
        <v>814</v>
      </c>
      <c r="F46" s="442"/>
      <c r="G46" s="443">
        <v>819</v>
      </c>
      <c r="H46" s="444"/>
      <c r="I46" s="441">
        <v>813</v>
      </c>
      <c r="J46" s="444"/>
      <c r="K46" s="723"/>
      <c r="L46" s="2922"/>
      <c r="M46" s="2923"/>
      <c r="N46" s="2914"/>
      <c r="O46" s="2923"/>
      <c r="P46" s="3409" t="str">
        <f>A46</f>
        <v>成交单价</v>
      </c>
      <c r="Q46" s="3409"/>
      <c r="R46" s="3415">
        <f>E46</f>
        <v>814</v>
      </c>
      <c r="S46" s="3415"/>
      <c r="T46" s="3415">
        <f>G46</f>
        <v>819</v>
      </c>
      <c r="U46" s="3415"/>
      <c r="V46" s="3415">
        <f>I46</f>
        <v>813</v>
      </c>
      <c r="W46" s="3415"/>
      <c r="X46" s="699"/>
      <c r="Y46" s="721"/>
      <c r="Z46" s="699"/>
      <c r="AA46" s="699"/>
      <c r="AB46" s="699"/>
      <c r="AC46" s="699"/>
    </row>
    <row r="47" spans="1:29" ht="15.75" thickBot="1">
      <c r="A47" s="445" t="s">
        <v>2430</v>
      </c>
      <c r="B47" s="639"/>
      <c r="C47" s="448">
        <f>R48</f>
        <v>711</v>
      </c>
      <c r="D47" s="2507" t="s">
        <v>2820</v>
      </c>
      <c r="E47" s="448">
        <f>R47</f>
        <v>712</v>
      </c>
      <c r="F47" s="2508"/>
      <c r="G47" s="447">
        <f>T47</f>
        <v>716</v>
      </c>
      <c r="H47" s="2508"/>
      <c r="I47" s="448">
        <f>V47</f>
        <v>706</v>
      </c>
      <c r="J47" s="2508"/>
      <c r="K47" s="2510">
        <f>F47+H47+J47</f>
        <v>0</v>
      </c>
      <c r="L47" s="2922"/>
      <c r="M47" s="2923"/>
      <c r="N47" s="2923"/>
      <c r="O47" s="2923"/>
      <c r="P47" s="3409" t="str">
        <f>A47</f>
        <v>比较价值（元/平方米）</v>
      </c>
      <c r="Q47" s="3409"/>
      <c r="R47" s="3402">
        <f>ROUND(PRODUCT(R46,AA7:AA45),0)</f>
        <v>712</v>
      </c>
      <c r="S47" s="3402"/>
      <c r="T47" s="3402">
        <f>ROUND(PRODUCT(T46,AB7:AB45),0)</f>
        <v>716</v>
      </c>
      <c r="U47" s="3402"/>
      <c r="V47" s="3402">
        <f>ROUND(PRODUCT(V46,AC7:AC45),0)</f>
        <v>706</v>
      </c>
      <c r="W47" s="3402"/>
      <c r="X47" s="699"/>
      <c r="Y47" s="699"/>
      <c r="Z47" s="699"/>
      <c r="AA47" s="699"/>
      <c r="AB47" s="699"/>
      <c r="AC47" s="699"/>
    </row>
    <row r="48" spans="1:29" ht="15.75" thickBot="1">
      <c r="A48" s="449" t="s">
        <v>2517</v>
      </c>
      <c r="B48" s="450"/>
      <c r="C48" s="451">
        <f>R48</f>
        <v>711</v>
      </c>
      <c r="D48" s="451"/>
      <c r="E48" s="451"/>
      <c r="F48" s="451"/>
      <c r="G48" s="451"/>
      <c r="H48" s="451"/>
      <c r="I48" s="451"/>
      <c r="J48" s="451"/>
      <c r="K48" s="724"/>
      <c r="L48" s="2922"/>
      <c r="M48" s="2923"/>
      <c r="N48" s="2923"/>
      <c r="O48" s="2923"/>
      <c r="P48" s="3403" t="str">
        <f>A48</f>
        <v>估价对象XX用房的比较价值（楼面单价，元/平方米）</v>
      </c>
      <c r="Q48" s="3404"/>
      <c r="R48" s="3405">
        <f>ROUND(IF(D47="简单平均",AVERAGE(R47:W47),R47*F47+T47*H47+V47*J47),0)</f>
        <v>711</v>
      </c>
      <c r="S48" s="3405"/>
      <c r="T48" s="3405"/>
      <c r="U48" s="3405"/>
      <c r="V48" s="3405"/>
      <c r="W48" s="3405"/>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f>IF(E46&lt;E47,E47/E46-1,E46/E47-1)</f>
        <v>0.14325842696629221</v>
      </c>
      <c r="F51" s="457" t="str">
        <f>IF(OR(E51&gt;=0.3,E51&lt;=-0.3),"超过30%","")</f>
        <v/>
      </c>
      <c r="G51" s="456">
        <f>IF(G46&lt;G47,G47/G46-1,G46/G47-1)</f>
        <v>0.1438547486033519</v>
      </c>
      <c r="H51" s="457" t="str">
        <f>IF(OR(G51&gt;=0.3,G51&lt;=-0.3),"超过30%","")</f>
        <v/>
      </c>
      <c r="I51" s="456">
        <f>IF(I46&lt;I47,I47/I46-1,I46/I47-1)</f>
        <v>0.15155807365439089</v>
      </c>
      <c r="J51" s="457" t="str">
        <f>IF(OR(I51&gt;=0.3,I51&lt;=-0.3),"超过30%","")</f>
        <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f>IF(E47&lt;G47,G47/E47-1,E47/G47-1)</f>
        <v>5.6179775280897903E-3</v>
      </c>
      <c r="F52" s="457" t="str">
        <f>IF(OR(E52&gt;=0.2,E52&lt;=-0.2),"超过20%","")</f>
        <v/>
      </c>
      <c r="G52" s="456">
        <f>IF(G47&lt;I47,I47/G47-1,G47/I47-1)</f>
        <v>1.4164305949008416E-2</v>
      </c>
      <c r="H52" s="457" t="str">
        <f>IF(OR(G52&gt;=0.2,G52&lt;=-0.2),"超过20%","")</f>
        <v/>
      </c>
      <c r="I52" s="456">
        <f>IF(I47&lt;E47,E47/I47-1,I47/E47-1)</f>
        <v>8.4985835694051381E-3</v>
      </c>
      <c r="J52" s="457" t="str">
        <f>IF(OR(I52&gt;=0.2,I52&lt;=-0.2),"超过20%","")</f>
        <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f>IF(E46&lt;G46,G46/E46-1,E46/G46-1)</f>
        <v>6.1425061425062211E-3</v>
      </c>
      <c r="F53" s="457" t="str">
        <f>IF(OR(E53&gt;=0.3,E53&lt;=-0.3),"超过30%","")</f>
        <v/>
      </c>
      <c r="G53" s="456">
        <f>IF(G46&lt;I46,I46/G46-1,G46/I46-1)</f>
        <v>7.3800738007379074E-3</v>
      </c>
      <c r="H53" s="457" t="str">
        <f>IF(OR(G53&gt;=0.3,G53&lt;=-0.3),"超过30%","")</f>
        <v/>
      </c>
      <c r="I53" s="456">
        <f>IF(I46&lt;E46,E46/I46-1,I46/E46-1)</f>
        <v>1.2300123001229846E-3</v>
      </c>
      <c r="J53" s="457" t="str">
        <f>IF(OR(I53&gt;=0.3,I53&lt;=-0.3),"超过30%","")</f>
        <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2518</v>
      </c>
      <c r="B55" s="641" t="s">
        <v>2519</v>
      </c>
      <c r="C55" s="2138" t="s">
        <v>2520</v>
      </c>
      <c r="D55" s="2139" t="s">
        <v>2521</v>
      </c>
      <c r="E55" s="642" t="s">
        <v>2522</v>
      </c>
      <c r="F55" s="1021" t="s">
        <v>2523</v>
      </c>
      <c r="G55" s="3406" t="s">
        <v>2524</v>
      </c>
      <c r="H55" s="3407"/>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2527</v>
      </c>
      <c r="B56" s="645">
        <f>C48</f>
        <v>711</v>
      </c>
      <c r="C56" s="646">
        <v>1</v>
      </c>
      <c r="D56" s="1075">
        <v>1</v>
      </c>
      <c r="E56" s="646">
        <f>'数据-汇总表'!E8+'数据-汇总表'!E9</f>
        <v>142992.4</v>
      </c>
      <c r="F56" s="1017">
        <f t="shared" ref="F56:F65" si="15">ROUND(B56*E56/10000,0)</f>
        <v>10167</v>
      </c>
      <c r="G56" s="3408"/>
      <c r="H56" s="3409"/>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2528</v>
      </c>
      <c r="B57" s="224">
        <f>ROUND($C$48*C57*D57,0)</f>
        <v>0</v>
      </c>
      <c r="C57" s="176">
        <f t="shared" ref="C57:C65" si="16">IF($C$55="北京市系数",I57,J57)</f>
        <v>0</v>
      </c>
      <c r="D57" s="1076">
        <v>0.25</v>
      </c>
      <c r="E57" s="650"/>
      <c r="F57" s="1017">
        <f t="shared" si="15"/>
        <v>0</v>
      </c>
      <c r="G57" s="3410" t="s">
        <v>2529</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2530</v>
      </c>
      <c r="B58" s="224">
        <f t="shared" ref="B58:B65" si="17">ROUND($C$48*C58*D58,0)</f>
        <v>0</v>
      </c>
      <c r="C58" s="176">
        <f t="shared" si="16"/>
        <v>0</v>
      </c>
      <c r="D58" s="1076">
        <v>0.25</v>
      </c>
      <c r="E58" s="650"/>
      <c r="F58" s="1017">
        <f t="shared" si="15"/>
        <v>0</v>
      </c>
      <c r="G58" s="3410"/>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2531</v>
      </c>
      <c r="B59" s="224">
        <f t="shared" si="17"/>
        <v>0</v>
      </c>
      <c r="C59" s="176">
        <f t="shared" si="16"/>
        <v>0</v>
      </c>
      <c r="D59" s="1076">
        <v>0.25</v>
      </c>
      <c r="E59" s="650"/>
      <c r="F59" s="1017">
        <f t="shared" si="15"/>
        <v>0</v>
      </c>
      <c r="G59" s="3410"/>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2532</v>
      </c>
      <c r="B60" s="224">
        <f t="shared" si="17"/>
        <v>0</v>
      </c>
      <c r="C60" s="176">
        <f t="shared" si="16"/>
        <v>0</v>
      </c>
      <c r="D60" s="1076">
        <v>0.25</v>
      </c>
      <c r="E60" s="650"/>
      <c r="F60" s="1017">
        <f t="shared" si="15"/>
        <v>0</v>
      </c>
      <c r="G60" s="3410"/>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2533</v>
      </c>
      <c r="B61" s="224">
        <f t="shared" si="17"/>
        <v>0</v>
      </c>
      <c r="C61" s="176">
        <f t="shared" si="16"/>
        <v>0</v>
      </c>
      <c r="D61" s="1076">
        <v>0.25</v>
      </c>
      <c r="E61" s="223">
        <f>'数据-汇总表'!E11</f>
        <v>0</v>
      </c>
      <c r="F61" s="1017">
        <f t="shared" si="15"/>
        <v>0</v>
      </c>
      <c r="G61" s="2142" t="s">
        <v>2534</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2535</v>
      </c>
      <c r="B62" s="224">
        <f t="shared" si="17"/>
        <v>0</v>
      </c>
      <c r="C62" s="176">
        <f t="shared" si="16"/>
        <v>0</v>
      </c>
      <c r="D62" s="1076">
        <v>0.25</v>
      </c>
      <c r="E62" s="223">
        <f>'数据-汇总表'!E12</f>
        <v>0</v>
      </c>
      <c r="F62" s="1017">
        <f t="shared" si="15"/>
        <v>0</v>
      </c>
      <c r="G62" s="1023" t="s">
        <v>2536</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2537</v>
      </c>
      <c r="B63" s="224">
        <f t="shared" si="17"/>
        <v>0</v>
      </c>
      <c r="C63" s="176">
        <f t="shared" si="16"/>
        <v>0</v>
      </c>
      <c r="D63" s="1076">
        <v>0.25</v>
      </c>
      <c r="E63" s="223">
        <f>'数据-汇总表'!E13</f>
        <v>0</v>
      </c>
      <c r="F63" s="1017">
        <f t="shared" si="15"/>
        <v>0</v>
      </c>
      <c r="G63" s="1023" t="s">
        <v>2538</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2539</v>
      </c>
      <c r="B64" s="224">
        <f t="shared" si="17"/>
        <v>0</v>
      </c>
      <c r="C64" s="176">
        <f t="shared" si="16"/>
        <v>0</v>
      </c>
      <c r="D64" s="1076">
        <v>0.25</v>
      </c>
      <c r="E64" s="223">
        <f>'数据-汇总表'!E14</f>
        <v>0</v>
      </c>
      <c r="F64" s="1017">
        <f t="shared" si="15"/>
        <v>0</v>
      </c>
      <c r="G64" s="2142" t="s">
        <v>2529</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2540</v>
      </c>
      <c r="B65" s="224">
        <f t="shared" si="17"/>
        <v>0</v>
      </c>
      <c r="C65" s="176">
        <f t="shared" si="16"/>
        <v>0</v>
      </c>
      <c r="D65" s="1076">
        <v>0.25</v>
      </c>
      <c r="E65" s="223">
        <f>'数据-汇总表'!E15</f>
        <v>0</v>
      </c>
      <c r="F65" s="1017">
        <f t="shared" si="15"/>
        <v>0</v>
      </c>
      <c r="G65" s="2143" t="s">
        <v>2534</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2541</v>
      </c>
      <c r="B66" s="652" t="s">
        <v>28</v>
      </c>
      <c r="C66" s="652" t="s">
        <v>29</v>
      </c>
      <c r="D66" s="652" t="s">
        <v>997</v>
      </c>
      <c r="E66" s="652">
        <f>IF(B46="楼面地价",SUM(E56:E65),'数据-汇总表'!D3)</f>
        <v>142992.4</v>
      </c>
      <c r="F66" s="653">
        <f>IF(B46="楼面地价",SUM(F56:F65),ROUND(C48*E66/10000,0))</f>
        <v>10167</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2542</v>
      </c>
      <c r="B70" s="1241"/>
      <c r="C70" s="1315" t="str">
        <f>YEAR(C68)&amp;"-"&amp;ROUNDUP(MONTH(C68)/3,0)</f>
        <v>2022-2</v>
      </c>
      <c r="D70" s="1315" t="str">
        <f>YEAR(D68)&amp;"-"&amp;ROUNDUP(MONTH(D68)/3,0)</f>
        <v>2022-1</v>
      </c>
      <c r="E70" s="1315" t="str">
        <f t="shared" ref="E70:O70" si="19">YEAR(E68)&amp;"-"&amp;ROUNDUP(MONTH(E68)/3,0)</f>
        <v>2021-4</v>
      </c>
      <c r="F70" s="1315" t="str">
        <f t="shared" si="19"/>
        <v>2021-3</v>
      </c>
      <c r="G70" s="1315" t="str">
        <f t="shared" si="19"/>
        <v>2021-2</v>
      </c>
      <c r="H70" s="1315" t="str">
        <f t="shared" si="19"/>
        <v>2021-1</v>
      </c>
      <c r="I70" s="1315" t="str">
        <f t="shared" si="19"/>
        <v>2020-4</v>
      </c>
      <c r="J70" s="1315" t="str">
        <f t="shared" si="19"/>
        <v>2020-3</v>
      </c>
      <c r="K70" s="1315" t="str">
        <f t="shared" si="19"/>
        <v>2020-2</v>
      </c>
      <c r="L70" s="1315" t="str">
        <f t="shared" si="19"/>
        <v>2020-1</v>
      </c>
      <c r="M70" s="1315" t="str">
        <f t="shared" si="19"/>
        <v>2019-4</v>
      </c>
      <c r="N70" s="1315" t="str">
        <f t="shared" si="19"/>
        <v>2019-3</v>
      </c>
      <c r="O70" s="1315" t="str">
        <f t="shared" si="19"/>
        <v>2019-2</v>
      </c>
      <c r="P70" s="2974"/>
      <c r="Q70" s="2939"/>
      <c r="R70" s="2939"/>
      <c r="S70" s="2939"/>
      <c r="T70" s="2939"/>
      <c r="U70" s="2939"/>
      <c r="V70" s="2939"/>
      <c r="W70" s="2939"/>
      <c r="X70" s="2939"/>
      <c r="Y70" s="2939"/>
      <c r="Z70" s="2939"/>
      <c r="AA70" s="2939"/>
      <c r="AB70" s="2939"/>
      <c r="AC70" s="2939"/>
    </row>
    <row r="71" spans="1:29" s="113" customFormat="1" ht="30" customHeight="1">
      <c r="A71" s="2145" t="s">
        <v>2543</v>
      </c>
      <c r="B71" s="294" t="str">
        <f>"北京市平均增长率"&amp;TEXT(SUMIF(基准地价修正!N21:N25,A71,基准地价修正!P21:P25),"0.00%")</f>
        <v>北京市平均增长率0.00%</v>
      </c>
      <c r="C71" s="560">
        <v>100</v>
      </c>
      <c r="D71" s="552">
        <v>99.8</v>
      </c>
      <c r="E71" s="552">
        <v>99.6</v>
      </c>
      <c r="F71" s="552">
        <v>99.4</v>
      </c>
      <c r="G71" s="552">
        <v>99.2</v>
      </c>
      <c r="H71" s="552">
        <v>99</v>
      </c>
      <c r="I71" s="552">
        <v>98.8</v>
      </c>
      <c r="J71" s="552">
        <v>98.6</v>
      </c>
      <c r="K71" s="552">
        <v>98.4</v>
      </c>
      <c r="L71" s="552">
        <v>98.2</v>
      </c>
      <c r="M71" s="552">
        <v>98</v>
      </c>
      <c r="N71" s="552">
        <v>97.8</v>
      </c>
      <c r="O71" s="552">
        <v>97.6</v>
      </c>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v>0</v>
      </c>
      <c r="D80" s="506">
        <v>1</v>
      </c>
      <c r="E80" s="506">
        <v>2</v>
      </c>
      <c r="F80" s="506">
        <v>3</v>
      </c>
      <c r="G80" s="506">
        <v>4</v>
      </c>
      <c r="H80" s="506">
        <v>5</v>
      </c>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97</v>
      </c>
      <c r="E81" s="501">
        <f t="shared" si="21"/>
        <v>94</v>
      </c>
      <c r="F81" s="501">
        <f t="shared" si="21"/>
        <v>91</v>
      </c>
      <c r="G81" s="501">
        <f t="shared" si="21"/>
        <v>88</v>
      </c>
      <c r="H81" s="501">
        <f t="shared" si="21"/>
        <v>85</v>
      </c>
      <c r="I81" s="501">
        <f t="shared" si="21"/>
        <v>82</v>
      </c>
      <c r="J81" s="501">
        <f t="shared" si="21"/>
        <v>79</v>
      </c>
      <c r="K81" s="501">
        <f t="shared" si="21"/>
        <v>76</v>
      </c>
      <c r="L81" s="501">
        <f t="shared" si="21"/>
        <v>73</v>
      </c>
      <c r="M81" s="501">
        <f t="shared" si="21"/>
        <v>70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自持</v>
      </c>
      <c r="C82" s="3557">
        <v>0.5</v>
      </c>
      <c r="D82" s="3558" t="s">
        <v>3297</v>
      </c>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v>100</v>
      </c>
      <c r="D83" s="493">
        <v>105</v>
      </c>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0</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0</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2544</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97</v>
      </c>
      <c r="E91" s="501">
        <f>D91-$K17</f>
        <v>94</v>
      </c>
      <c r="F91" s="501">
        <f>E91-$K17</f>
        <v>91</v>
      </c>
      <c r="G91" s="501">
        <f>F91-$K17</f>
        <v>88</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97</v>
      </c>
      <c r="E95" s="501">
        <f>D95-$K21</f>
        <v>94</v>
      </c>
      <c r="F95" s="501">
        <f>E95-$K21</f>
        <v>91</v>
      </c>
      <c r="G95" s="501">
        <f>F95-$K21</f>
        <v>88</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2545</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2546</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97</v>
      </c>
      <c r="E103" s="501">
        <f>D103-$K29</f>
        <v>94</v>
      </c>
      <c r="F103" s="501">
        <f>E103-$K29</f>
        <v>91</v>
      </c>
      <c r="G103" s="501">
        <f>F103-$K29</f>
        <v>88</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2510</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2551</v>
      </c>
      <c r="C116" s="486" t="str">
        <f>C117&amp;"(含)"&amp;"-"&amp;D117</f>
        <v>0(含)-50000</v>
      </c>
      <c r="D116" s="486" t="str">
        <f t="shared" ref="D116:M116" si="25">D117&amp;"(含)"&amp;"-"&amp;E117</f>
        <v>50000(含)-100000</v>
      </c>
      <c r="E116" s="486" t="str">
        <f t="shared" si="25"/>
        <v>100000(含)-150000</v>
      </c>
      <c r="F116" s="486" t="str">
        <f t="shared" si="25"/>
        <v>150000(含)-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v>0</v>
      </c>
      <c r="D117" s="552">
        <v>50000</v>
      </c>
      <c r="E117" s="552">
        <v>100000</v>
      </c>
      <c r="F117" s="552">
        <v>150000</v>
      </c>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v>100</v>
      </c>
      <c r="D118" s="548">
        <v>101</v>
      </c>
      <c r="E118" s="527">
        <v>102</v>
      </c>
      <c r="F118" s="548">
        <v>103</v>
      </c>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2552</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98</v>
      </c>
      <c r="E120" s="501">
        <f t="shared" si="26"/>
        <v>96</v>
      </c>
      <c r="F120" s="501">
        <f t="shared" si="26"/>
        <v>94</v>
      </c>
      <c r="G120" s="501">
        <f t="shared" si="26"/>
        <v>92</v>
      </c>
      <c r="H120" s="501">
        <f t="shared" si="26"/>
        <v>90</v>
      </c>
      <c r="I120" s="501">
        <f t="shared" si="26"/>
        <v>88</v>
      </c>
      <c r="J120" s="501">
        <f t="shared" si="26"/>
        <v>86</v>
      </c>
      <c r="K120" s="501">
        <f t="shared" si="26"/>
        <v>84</v>
      </c>
      <c r="L120" s="501">
        <f t="shared" si="26"/>
        <v>82</v>
      </c>
      <c r="M120" s="502">
        <f t="shared" si="26"/>
        <v>80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2553</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98</v>
      </c>
      <c r="E122" s="501">
        <f t="shared" si="27"/>
        <v>96</v>
      </c>
      <c r="F122" s="501">
        <f t="shared" si="27"/>
        <v>94</v>
      </c>
      <c r="G122" s="501">
        <f t="shared" si="27"/>
        <v>92</v>
      </c>
      <c r="H122" s="501">
        <f t="shared" si="27"/>
        <v>90</v>
      </c>
      <c r="I122" s="501">
        <f t="shared" si="27"/>
        <v>88</v>
      </c>
      <c r="J122" s="501">
        <f t="shared" si="27"/>
        <v>86</v>
      </c>
      <c r="K122" s="501">
        <f t="shared" si="27"/>
        <v>84</v>
      </c>
      <c r="L122" s="501">
        <f t="shared" si="27"/>
        <v>82</v>
      </c>
      <c r="M122" s="502">
        <f t="shared" si="27"/>
        <v>80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2554</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98</v>
      </c>
      <c r="E124" s="501">
        <f t="shared" ref="E124:M124" si="28">D124-$K41</f>
        <v>96</v>
      </c>
      <c r="F124" s="501">
        <f t="shared" si="28"/>
        <v>94</v>
      </c>
      <c r="G124" s="501">
        <f t="shared" si="28"/>
        <v>92</v>
      </c>
      <c r="H124" s="501">
        <f t="shared" si="28"/>
        <v>90</v>
      </c>
      <c r="I124" s="501">
        <f t="shared" si="28"/>
        <v>88</v>
      </c>
      <c r="J124" s="501">
        <f t="shared" si="28"/>
        <v>86</v>
      </c>
      <c r="K124" s="501">
        <f t="shared" si="28"/>
        <v>84</v>
      </c>
      <c r="L124" s="501">
        <f t="shared" si="28"/>
        <v>82</v>
      </c>
      <c r="M124" s="502">
        <f t="shared" si="28"/>
        <v>80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2555</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98</v>
      </c>
      <c r="E126" s="501">
        <f t="shared" si="29"/>
        <v>96</v>
      </c>
      <c r="F126" s="501">
        <f t="shared" si="29"/>
        <v>94</v>
      </c>
      <c r="G126" s="501">
        <f t="shared" si="29"/>
        <v>92</v>
      </c>
      <c r="H126" s="501">
        <f t="shared" si="29"/>
        <v>90</v>
      </c>
      <c r="I126" s="501">
        <f t="shared" si="29"/>
        <v>88</v>
      </c>
      <c r="J126" s="501">
        <f t="shared" si="29"/>
        <v>86</v>
      </c>
      <c r="K126" s="501">
        <f t="shared" si="29"/>
        <v>84</v>
      </c>
      <c r="L126" s="501">
        <f t="shared" si="29"/>
        <v>82</v>
      </c>
      <c r="M126" s="502">
        <f t="shared" si="29"/>
        <v>80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85" zoomScaleNormal="70" zoomScaleSheetLayoutView="85" workbookViewId="0">
      <selection activeCell="F20" sqref="F2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1283</v>
      </c>
      <c r="D1" s="1515" t="s">
        <v>70</v>
      </c>
      <c r="E1" s="1516" t="s">
        <v>1292</v>
      </c>
      <c r="F1" s="1193">
        <f ca="1">J53</f>
        <v>28.26</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95786</v>
      </c>
      <c r="C2" s="1540" t="s">
        <v>1421</v>
      </c>
      <c r="D2" s="1540"/>
      <c r="E2" s="1541"/>
      <c r="F2" s="1542"/>
      <c r="G2" s="2904"/>
      <c r="H2" s="2893"/>
      <c r="I2" s="2893"/>
      <c r="J2" s="2893"/>
      <c r="K2" s="2894"/>
      <c r="L2" s="2893"/>
      <c r="M2" s="2893"/>
    </row>
    <row r="3" spans="1:37" ht="18" customHeight="1" thickBot="1">
      <c r="A3" s="1543" t="s">
        <v>1422</v>
      </c>
      <c r="B3" s="1544">
        <f ca="1">IF(ISERROR(B2*10000/F43),0,ROUND(B2*10000/F43,0))</f>
        <v>5580</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8028</v>
      </c>
      <c r="D5" s="1517" t="s">
        <v>1307</v>
      </c>
      <c r="E5" s="1203"/>
      <c r="F5" s="1204"/>
      <c r="G5" s="1537"/>
      <c r="H5" s="305">
        <v>1</v>
      </c>
      <c r="I5" s="306" t="s">
        <v>1306</v>
      </c>
      <c r="J5" s="1202">
        <f ca="1">J6+J10+J12</f>
        <v>0</v>
      </c>
      <c r="K5" s="1517" t="s">
        <v>1307</v>
      </c>
      <c r="L5" s="1203"/>
      <c r="M5" s="1204"/>
    </row>
    <row r="6" spans="1:37" ht="18" customHeight="1">
      <c r="A6" s="1201" t="s">
        <v>1003</v>
      </c>
      <c r="B6" s="3447" t="s">
        <v>1308</v>
      </c>
      <c r="C6" s="1206">
        <f ca="1">ROUND(F6*F8*F7*(1-F9)/10000,0)</f>
        <v>8008</v>
      </c>
      <c r="D6" s="160" t="s">
        <v>2790</v>
      </c>
      <c r="E6" s="308" t="s">
        <v>1310</v>
      </c>
      <c r="F6" s="309">
        <f ca="1">INDIRECT("'数据-取费表'!u"&amp;$G$1)</f>
        <v>1.42</v>
      </c>
      <c r="G6" s="1537"/>
      <c r="H6" s="1201" t="s">
        <v>1003</v>
      </c>
      <c r="I6" s="3447" t="s">
        <v>1308</v>
      </c>
      <c r="J6" s="307">
        <f ca="1">ROUND(M6*M8*M7*(1-M9)/10000,0)</f>
        <v>0</v>
      </c>
      <c r="K6" s="160" t="s">
        <v>2789</v>
      </c>
      <c r="L6" s="308" t="s">
        <v>1310</v>
      </c>
      <c r="M6" s="309">
        <f ca="1">INDIRECT("'数据-取费表'!z"&amp;$G$1)</f>
        <v>0</v>
      </c>
    </row>
    <row r="7" spans="1:37" ht="18" customHeight="1">
      <c r="A7" s="1205"/>
      <c r="B7" s="3448"/>
      <c r="C7" s="1207"/>
      <c r="D7" s="313"/>
      <c r="E7" s="1208" t="s">
        <v>1311</v>
      </c>
      <c r="F7" s="309">
        <f ca="1">IF(INDIRECT("'数据-取费表'!ah"&amp;$G$1)="",INDIRECT("'数据-取费表'!k"&amp;$G$1),INDIRECT("'数据-取费表'!ah"&amp;$G$1))</f>
        <v>171669.99</v>
      </c>
      <c r="G7" s="1537"/>
      <c r="H7" s="310"/>
      <c r="I7" s="3448"/>
      <c r="J7" s="312"/>
      <c r="K7" s="313"/>
      <c r="L7" s="308" t="s">
        <v>1311</v>
      </c>
      <c r="M7" s="309">
        <f ca="1">F7</f>
        <v>171669.99</v>
      </c>
    </row>
    <row r="8" spans="1:37" ht="18" customHeight="1">
      <c r="A8" s="310"/>
      <c r="B8" s="3448"/>
      <c r="C8" s="312"/>
      <c r="D8" s="313"/>
      <c r="E8" s="308" t="s">
        <v>1312</v>
      </c>
      <c r="F8" s="309">
        <f ca="1">INDIRECT("'数据-取费表'!ai"&amp;$G$1)</f>
        <v>365</v>
      </c>
      <c r="G8" s="1537"/>
      <c r="H8" s="310"/>
      <c r="I8" s="3448"/>
      <c r="J8" s="312"/>
      <c r="K8" s="313"/>
      <c r="L8" s="308" t="s">
        <v>1312</v>
      </c>
      <c r="M8" s="309">
        <f ca="1">INDIRECT("'数据-取费表'!ai"&amp;$G$1)</f>
        <v>365</v>
      </c>
    </row>
    <row r="9" spans="1:37" ht="18" customHeight="1">
      <c r="A9" s="310"/>
      <c r="B9" s="3449"/>
      <c r="C9" s="312"/>
      <c r="D9" s="313"/>
      <c r="E9" s="308" t="s">
        <v>1313</v>
      </c>
      <c r="F9" s="318">
        <f ca="1">INDIRECT("'数据-取费表'!w"&amp;$G$1)</f>
        <v>0.1</v>
      </c>
      <c r="G9" s="1537"/>
      <c r="H9" s="310"/>
      <c r="I9" s="3449"/>
      <c r="J9" s="312"/>
      <c r="K9" s="313"/>
      <c r="L9" s="319" t="s">
        <v>1313</v>
      </c>
      <c r="M9" s="320">
        <f ca="1">INDIRECT("'数据-取费表'!ab"&amp;$G$1)</f>
        <v>0</v>
      </c>
    </row>
    <row r="10" spans="1:37" ht="18" customHeight="1">
      <c r="A10" s="1201" t="s">
        <v>1007</v>
      </c>
      <c r="B10" s="1518" t="s">
        <v>1314</v>
      </c>
      <c r="C10" s="322">
        <f ca="1">ROUND(IF(F10="押一",C6/12*F11,IF(F10="押二",C6/12*2*F11,IF(F10="押三",C6/12*3*F11,C11*F11))),0)</f>
        <v>20</v>
      </c>
      <c r="D10" s="1519" t="s">
        <v>2798</v>
      </c>
      <c r="E10" s="319" t="s">
        <v>1315</v>
      </c>
      <c r="F10" s="1248" t="s">
        <v>3174</v>
      </c>
      <c r="G10" s="1537"/>
      <c r="H10" s="1201" t="s">
        <v>1007</v>
      </c>
      <c r="I10" s="1518" t="s">
        <v>1314</v>
      </c>
      <c r="J10" s="307">
        <f ca="1">ROUND(IF(M10="押一",J6/12*M11,IF(M10="押二",J6/12*2*M11,IF(M10="押三",J6/12*3*M11,J11*M11))),0)</f>
        <v>0</v>
      </c>
      <c r="K10" s="1519" t="s">
        <v>2797</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100958</v>
      </c>
      <c r="D13" s="1213" t="s">
        <v>1320</v>
      </c>
      <c r="E13" s="1213" t="s">
        <v>1321</v>
      </c>
      <c r="F13" s="1214">
        <f ca="1">INDIRECT("'数据-取费表'!y"&amp;$G$1)</f>
        <v>0.88</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77251</v>
      </c>
      <c r="D14" s="1498" t="s">
        <v>1323</v>
      </c>
      <c r="E14" s="1495"/>
      <c r="F14" s="325"/>
      <c r="G14" s="1537"/>
      <c r="H14" s="1113" t="s">
        <v>1003</v>
      </c>
      <c r="I14" s="308" t="s">
        <v>1324</v>
      </c>
      <c r="J14" s="24">
        <f ca="1">C29</f>
        <v>114725</v>
      </c>
      <c r="K14" s="15"/>
      <c r="L14" s="916"/>
      <c r="M14" s="917"/>
    </row>
    <row r="15" spans="1:37" s="1550" customFormat="1" ht="18" customHeight="1" thickBot="1">
      <c r="A15" s="1113" t="s">
        <v>1004</v>
      </c>
      <c r="B15" s="308" t="s">
        <v>1325</v>
      </c>
      <c r="C15" s="24">
        <f ca="1">ROUND(C14*F15,0)</f>
        <v>3863</v>
      </c>
      <c r="D15" s="326" t="s">
        <v>1326</v>
      </c>
      <c r="E15" s="326" t="s">
        <v>1327</v>
      </c>
      <c r="F15" s="327">
        <f>'数据-取费表'!B33</f>
        <v>0.05</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2702</v>
      </c>
      <c r="K16" s="1219" t="s">
        <v>1330</v>
      </c>
      <c r="L16" s="1220"/>
      <c r="M16" s="1204"/>
    </row>
    <row r="17" spans="1:37" s="1550" customFormat="1" ht="18" customHeight="1">
      <c r="A17" s="1113" t="s">
        <v>1295</v>
      </c>
      <c r="B17" s="308" t="s">
        <v>1331</v>
      </c>
      <c r="C17" s="24">
        <f ca="1">ROUND(F17*(F43+INDIRECT("'数据-取费表'!S"&amp;$G$1))/10000,0)</f>
        <v>3433</v>
      </c>
      <c r="D17" s="308" t="s">
        <v>1332</v>
      </c>
      <c r="E17" s="308" t="s">
        <v>1333</v>
      </c>
      <c r="F17" s="26">
        <f>'数据-取费表'!B35</f>
        <v>200</v>
      </c>
      <c r="G17" s="1549"/>
      <c r="H17" s="1113" t="s">
        <v>1003</v>
      </c>
      <c r="I17" s="308" t="s">
        <v>1334</v>
      </c>
      <c r="J17" s="2503">
        <f ca="1">ROUND(IF(AND(项目基本情况!B11="自然人",项目基本情况!B10="北京市"),J6*M17/(1+'数据-取费表'!C42),J18+J19+J20),0)</f>
        <v>981</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1159</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85706</v>
      </c>
      <c r="D19" s="136" t="s">
        <v>1341</v>
      </c>
      <c r="E19" s="1513"/>
      <c r="F19" s="26"/>
      <c r="G19" s="1537"/>
      <c r="H19" s="1113" t="s">
        <v>1004</v>
      </c>
      <c r="I19" s="308" t="s">
        <v>1342</v>
      </c>
      <c r="J19" s="24">
        <f ca="1">IF(K19="按租金收入计税",ROUND(J6*M19/(1+'数据-取费表'!C42),2),ROUND(C29*M19*0.7,2))</f>
        <v>963.69</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1714</v>
      </c>
      <c r="D20" s="329" t="s">
        <v>1345</v>
      </c>
      <c r="E20" s="308" t="s">
        <v>1327</v>
      </c>
      <c r="F20" s="328">
        <f>'数据-取费表'!B37</f>
        <v>0.02</v>
      </c>
      <c r="G20" s="1549"/>
      <c r="H20" s="1113" t="s">
        <v>1294</v>
      </c>
      <c r="I20" s="160" t="s">
        <v>1346</v>
      </c>
      <c r="J20" s="25">
        <f ca="1">ROUND(M20*M21/10000,2)</f>
        <v>17.190000000000001</v>
      </c>
      <c r="K20" s="330" t="s">
        <v>1347</v>
      </c>
      <c r="L20" s="308" t="s">
        <v>1348</v>
      </c>
      <c r="M20" s="331">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0.03</v>
      </c>
      <c r="G21" s="1549"/>
      <c r="H21" s="332"/>
      <c r="I21" s="317"/>
      <c r="J21" s="29"/>
      <c r="K21" s="333"/>
      <c r="L21" s="308" t="s">
        <v>1352</v>
      </c>
      <c r="M21" s="309">
        <f ca="1">INDIRECT("'数据-取费表'!r"&amp;$G$1)</f>
        <v>57307</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1720.9</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4062</v>
      </c>
      <c r="D23" s="335" t="str">
        <f>IF(F23&lt;=1,"(建造成本+管理费用)×利率×(建设周期÷2)","(建造成本+管理费用)×((1+利率)^(建设周期÷2)-1)")</f>
        <v>(建造成本+管理费用)×((1+利率)^(建设周期÷2)-1)</v>
      </c>
      <c r="E23" s="308" t="s">
        <v>1357</v>
      </c>
      <c r="F23" s="331">
        <f>'数据-取费表'!B20</f>
        <v>2.5</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1.4E-3</v>
      </c>
      <c r="D24" s="335" t="str">
        <f>IF(F23&lt;=1,"销售费用×利率×(建设周期÷2)","销售费用×((1+利率)^(建设周期÷2)-1)")</f>
        <v>销售费用×((1+利率)^(建设周期÷2)-1)</v>
      </c>
      <c r="E24" s="308" t="s">
        <v>1363</v>
      </c>
      <c r="F24" s="337">
        <f ca="1">'数据-取费表'!B40</f>
        <v>3.7000000000000005E-2</v>
      </c>
      <c r="G24" s="1549"/>
      <c r="H24" s="1221" t="s">
        <v>1298</v>
      </c>
      <c r="I24" s="1222" t="s">
        <v>1344</v>
      </c>
      <c r="J24" s="1223">
        <f ca="1">ROUND(J5*M24,1)</f>
        <v>0</v>
      </c>
      <c r="K24" s="1224" t="s">
        <v>1364</v>
      </c>
      <c r="L24" s="1222" t="s">
        <v>1360</v>
      </c>
      <c r="M24" s="1218">
        <f ca="1">INDIRECT("'数据-取费表'!Am"&amp;$G$1)</f>
        <v>0.03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-2702</v>
      </c>
      <c r="K25" s="1227" t="s">
        <v>1369</v>
      </c>
      <c r="L25" s="1228"/>
      <c r="M25" s="1229"/>
    </row>
    <row r="26" spans="1:37">
      <c r="A26" s="1113" t="s">
        <v>1002</v>
      </c>
      <c r="B26" s="308" t="s">
        <v>1370</v>
      </c>
      <c r="C26" s="24">
        <f ca="1">ROUND((C19+C20)*F26,0)</f>
        <v>13113</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4.4999999999999997E-3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114725</v>
      </c>
      <c r="D29" s="1224"/>
      <c r="E29" s="1222"/>
      <c r="F29" s="1225"/>
      <c r="G29" s="1549"/>
      <c r="H29" s="340" t="s">
        <v>1001</v>
      </c>
      <c r="I29" s="341" t="s">
        <v>1384</v>
      </c>
      <c r="J29" s="342">
        <f ca="1">ROUND(J26/(1+F40)^F41,0)</f>
        <v>0</v>
      </c>
      <c r="K29" s="343" t="s">
        <v>1385</v>
      </c>
      <c r="L29" s="344"/>
      <c r="M29" s="345">
        <f ca="1">INDIRECT("'数据-取费表'!k"&amp;$G$1)</f>
        <v>171669.99</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3465</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1352</v>
      </c>
      <c r="D31" s="1498" t="s">
        <v>1335</v>
      </c>
      <c r="E31" s="1497" t="s">
        <v>1386</v>
      </c>
      <c r="F31" s="2502" t="str">
        <f>IF(项目基本情况!B11="企业","——",IF('数据-取费表'!B10="住宅",IF(F6*F7*F8/12/(1+'数据-取费表'!F30)&gt;100000,4%,2.5%),IF(F6*F7*F8/12/(1+'数据-取费表'!F30)&gt;100000,12%,7%)))</f>
        <v>——</v>
      </c>
      <c r="G31" s="1537"/>
      <c r="H31" s="3008" t="s">
        <v>2988</v>
      </c>
      <c r="I31" s="1551"/>
      <c r="J31" s="1552"/>
      <c r="K31" s="2670"/>
      <c r="L31" s="2896"/>
      <c r="M31" s="2897"/>
    </row>
    <row r="32" spans="1:37" ht="18" customHeight="1">
      <c r="A32" s="1113" t="s">
        <v>1002</v>
      </c>
      <c r="B32" s="308" t="s">
        <v>1338</v>
      </c>
      <c r="C32" s="24">
        <f ca="1">IF(项目基本情况!B11="自然人","——",ROUND(C6*F32/(1+'数据-取费表'!C42),2))</f>
        <v>419.47</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915.2</v>
      </c>
      <c r="D33" s="1523" t="s">
        <v>3175</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17.190000000000001</v>
      </c>
      <c r="D34" s="330" t="s">
        <v>1347</v>
      </c>
      <c r="E34" s="308" t="s">
        <v>1348</v>
      </c>
      <c r="F34" s="331">
        <f>'数据-取费表'!B52</f>
        <v>3</v>
      </c>
      <c r="G34" s="1537"/>
      <c r="H34" s="2895"/>
      <c r="I34" s="1551"/>
      <c r="J34" s="1552"/>
      <c r="K34" s="2900"/>
      <c r="L34" s="2901"/>
      <c r="M34" s="2901"/>
    </row>
    <row r="35" spans="1:18" ht="18" customHeight="1">
      <c r="A35" s="1235"/>
      <c r="B35" s="1233"/>
      <c r="C35" s="29"/>
      <c r="D35" s="333"/>
      <c r="E35" s="308" t="s">
        <v>1352</v>
      </c>
      <c r="F35" s="309">
        <f ca="1">INDIRECT("'数据-取费表'!r"&amp;$G$1)</f>
        <v>57307</v>
      </c>
      <c r="G35" s="1537"/>
      <c r="H35" s="2895"/>
      <c r="I35" s="1551"/>
      <c r="J35" s="1552"/>
      <c r="K35" s="2899"/>
      <c r="L35" s="2898"/>
      <c r="M35" s="2898"/>
    </row>
    <row r="36" spans="1:18" ht="18" customHeight="1">
      <c r="A36" s="1234" t="s">
        <v>1007</v>
      </c>
      <c r="B36" s="308" t="s">
        <v>1354</v>
      </c>
      <c r="C36" s="24">
        <f ca="1">ROUND(C29*F36,1)</f>
        <v>1720.9</v>
      </c>
      <c r="D36" s="1497" t="s">
        <v>1387</v>
      </c>
      <c r="E36" s="308" t="s">
        <v>1327</v>
      </c>
      <c r="F36" s="334">
        <f ca="1">INDIRECT("'数据-取费表'!Ak"&amp;$G$1)</f>
        <v>1.4999999999999999E-2</v>
      </c>
      <c r="G36" s="1537"/>
      <c r="H36" s="2898"/>
      <c r="I36" s="1551"/>
      <c r="J36" s="1552"/>
      <c r="K36" s="2739"/>
      <c r="L36" s="2898"/>
      <c r="M36" s="2898"/>
    </row>
    <row r="37" spans="1:18" ht="18" customHeight="1">
      <c r="A37" s="1113" t="s">
        <v>1043</v>
      </c>
      <c r="B37" s="308" t="s">
        <v>1358</v>
      </c>
      <c r="C37" s="24">
        <f ca="1">ROUND(C13*F37,1)</f>
        <v>151.4</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240.8</v>
      </c>
      <c r="D38" s="1224" t="s">
        <v>1364</v>
      </c>
      <c r="E38" s="1222" t="s">
        <v>1360</v>
      </c>
      <c r="F38" s="1218">
        <f ca="1">INDIRECT("'数据-取费表'!Am"&amp;$G$1)</f>
        <v>0.03</v>
      </c>
      <c r="G38" s="1537"/>
      <c r="H38" s="2898"/>
      <c r="I38" s="1551"/>
      <c r="J38" s="1552"/>
      <c r="K38" s="2902"/>
      <c r="L38" s="2898"/>
      <c r="M38" s="2898"/>
    </row>
    <row r="39" spans="1:18" ht="24.6" customHeight="1" thickTop="1">
      <c r="A39" s="1211" t="s">
        <v>999</v>
      </c>
      <c r="B39" s="1226" t="s">
        <v>1388</v>
      </c>
      <c r="C39" s="316">
        <f ca="1">C5-C30</f>
        <v>4563</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89842</v>
      </c>
      <c r="D40" s="330" t="s">
        <v>1374</v>
      </c>
      <c r="E40" s="308" t="s">
        <v>1375</v>
      </c>
      <c r="F40" s="318">
        <f ca="1">INDIRECT("'数据-取费表'!I"&amp;$G$1)</f>
        <v>5.5E-2</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28.26</v>
      </c>
      <c r="G41" s="1537"/>
      <c r="H41" s="1324"/>
      <c r="I41" s="1551"/>
      <c r="J41" s="1552"/>
      <c r="K41" s="2739"/>
      <c r="L41" s="1324"/>
      <c r="M41" s="1324"/>
    </row>
    <row r="42" spans="1:18" ht="18" customHeight="1">
      <c r="A42" s="314"/>
      <c r="B42" s="315"/>
      <c r="C42" s="316"/>
      <c r="D42" s="333"/>
      <c r="E42" s="308" t="s">
        <v>1382</v>
      </c>
      <c r="F42" s="318">
        <f ca="1">INDIRECT("'数据-取费表'!v"&amp;$G$1)</f>
        <v>0.03</v>
      </c>
      <c r="G42" s="1537"/>
      <c r="H42" s="1324"/>
      <c r="I42" s="1551"/>
      <c r="J42" s="1552"/>
      <c r="K42" s="2739"/>
      <c r="L42" s="1324"/>
      <c r="M42" s="1324"/>
    </row>
    <row r="43" spans="1:18" ht="18" customHeight="1" thickBot="1">
      <c r="A43" s="340" t="s">
        <v>1001</v>
      </c>
      <c r="B43" s="341" t="s">
        <v>1392</v>
      </c>
      <c r="C43" s="342">
        <f ca="1">ROUND(C40*10000/F43,0)</f>
        <v>5233</v>
      </c>
      <c r="D43" s="343" t="s">
        <v>1393</v>
      </c>
      <c r="E43" s="344" t="s">
        <v>1394</v>
      </c>
      <c r="F43" s="345">
        <f ca="1">INDIRECT("'数据-取费表'!k"&amp;$G$1)</f>
        <v>171669.99</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-253252</v>
      </c>
      <c r="D46" s="1559" t="str">
        <f>C2</f>
        <v>万元</v>
      </c>
      <c r="E46" s="1553"/>
      <c r="F46" s="1553"/>
      <c r="I46" s="1560" t="s">
        <v>1426</v>
      </c>
      <c r="J46" s="1561"/>
      <c r="K46" s="1562"/>
      <c r="L46" s="1563">
        <f ca="1">IF(M47="住宅",0,IF(L48&gt;J51,L60,J60))</f>
        <v>5944</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3176</v>
      </c>
      <c r="K47" s="1569" t="s">
        <v>1432</v>
      </c>
      <c r="L47" s="1570">
        <f ca="1">INDIRECT("'数据-取费表'!d"&amp;$G$1)</f>
        <v>40</v>
      </c>
      <c r="M47" s="1533" t="str">
        <f>IF(ISNUMBER(FIND("住宅",C1)),"住宅","非住宅")</f>
        <v>非住宅</v>
      </c>
      <c r="O47" s="1571" t="s">
        <v>1008</v>
      </c>
      <c r="P47" s="1572" t="s">
        <v>1433</v>
      </c>
      <c r="Q47" s="1573">
        <f ca="1">C40+J29</f>
        <v>89842</v>
      </c>
      <c r="R47" s="1573" t="s">
        <v>1434</v>
      </c>
    </row>
    <row r="48" spans="1:18" s="1537" customFormat="1" ht="28.5" thickBot="1">
      <c r="A48" s="1242" t="s">
        <v>1044</v>
      </c>
      <c r="B48" s="306" t="s">
        <v>1306</v>
      </c>
      <c r="C48" s="1512">
        <f ca="1">C49+C53+C55</f>
        <v>0</v>
      </c>
      <c r="D48" s="1244"/>
      <c r="E48" s="1245"/>
      <c r="F48" s="1093"/>
      <c r="G48" s="731"/>
      <c r="H48" s="732"/>
      <c r="I48" s="1574" t="s">
        <v>1435</v>
      </c>
      <c r="J48" s="1575" t="s">
        <v>3177</v>
      </c>
      <c r="K48" s="1576" t="s">
        <v>1436</v>
      </c>
      <c r="L48" s="1577">
        <f ca="1">INDIRECT("'数据-取费表'!f"&amp;$G$1)</f>
        <v>28.26</v>
      </c>
      <c r="O48" s="1571" t="s">
        <v>1009</v>
      </c>
      <c r="P48" s="1572" t="s">
        <v>1437</v>
      </c>
      <c r="Q48" s="1573">
        <f ca="1">J60</f>
        <v>5944</v>
      </c>
      <c r="R48" s="1573" t="s">
        <v>1438</v>
      </c>
    </row>
    <row r="49" spans="1:18" s="1537" customFormat="1" ht="13.5" thickBot="1">
      <c r="A49" s="1106" t="s">
        <v>1045</v>
      </c>
      <c r="B49" s="1524" t="s">
        <v>1395</v>
      </c>
      <c r="C49" s="1246">
        <f ca="1">ROUND(F49*F51*F50*(1-F52)/10000,0)</f>
        <v>0</v>
      </c>
      <c r="D49" s="1186" t="s">
        <v>2791</v>
      </c>
      <c r="E49" s="1525" t="s">
        <v>1396</v>
      </c>
      <c r="F49" s="1191"/>
      <c r="G49" s="1578"/>
      <c r="H49" s="732"/>
      <c r="I49" s="1574" t="s">
        <v>1439</v>
      </c>
      <c r="J49" s="1579">
        <v>2014</v>
      </c>
      <c r="K49" s="1576" t="s">
        <v>1440</v>
      </c>
      <c r="L49" s="1580"/>
      <c r="O49" s="1581" t="s">
        <v>1010</v>
      </c>
      <c r="P49" s="1572" t="s">
        <v>1441</v>
      </c>
      <c r="Q49" s="1573">
        <f ca="1">C29</f>
        <v>114725</v>
      </c>
      <c r="R49" s="1573" t="s">
        <v>1434</v>
      </c>
    </row>
    <row r="50" spans="1:18" s="1537" customFormat="1" ht="13.5" thickBot="1">
      <c r="A50" s="1107"/>
      <c r="B50" s="1110"/>
      <c r="C50" s="1250"/>
      <c r="D50" s="1084"/>
      <c r="E50" s="1187" t="s">
        <v>1311</v>
      </c>
      <c r="F50" s="1188">
        <f ca="1">F7</f>
        <v>171669.99</v>
      </c>
      <c r="H50" s="732"/>
      <c r="I50" s="1574" t="s">
        <v>1442</v>
      </c>
      <c r="J50" s="1582">
        <f>SUMPRODUCT((I63:I65=J47)*(J62:L62=J48)*(J63:L65))</f>
        <v>60</v>
      </c>
      <c r="K50" s="1576" t="s">
        <v>1443</v>
      </c>
      <c r="L50" s="1580"/>
      <c r="M50" s="1583"/>
      <c r="O50" s="1581" t="s">
        <v>1011</v>
      </c>
      <c r="P50" s="1572" t="s">
        <v>1444</v>
      </c>
      <c r="Q50" s="1584">
        <f ca="1">J58</f>
        <v>0.4</v>
      </c>
      <c r="R50" s="1573"/>
    </row>
    <row r="51" spans="1:18" s="1537" customFormat="1" ht="13.5" thickBot="1">
      <c r="A51" s="1108"/>
      <c r="B51" s="1110"/>
      <c r="C51" s="1111"/>
      <c r="D51" s="1084"/>
      <c r="E51" s="1112" t="s">
        <v>1312</v>
      </c>
      <c r="F51" s="309">
        <f ca="1">F8</f>
        <v>365</v>
      </c>
      <c r="I51" s="1585" t="s">
        <v>1445</v>
      </c>
      <c r="J51" s="1586">
        <f>IF(J49="",J50,J49+J50-YEAR('数据-取费表'!B2))</f>
        <v>52</v>
      </c>
      <c r="K51" s="1587" t="s">
        <v>1446</v>
      </c>
      <c r="L51" s="1588">
        <f ca="1">ROUND(-PV(INDIRECT("'数据-取费表'!h"&amp;$G$1),J51,(C39-C13*C76),0),0)</f>
        <v>-46120</v>
      </c>
      <c r="M51" s="1589"/>
      <c r="O51" s="1581" t="s">
        <v>1012</v>
      </c>
      <c r="P51" s="1572" t="s">
        <v>1447</v>
      </c>
      <c r="Q51" s="1584">
        <f>J52</f>
        <v>7.4999999999999997E-2</v>
      </c>
      <c r="R51" s="1573"/>
    </row>
    <row r="52" spans="1:18" s="1537" customFormat="1" ht="13.5" thickBot="1">
      <c r="A52" s="1108"/>
      <c r="B52" s="1110"/>
      <c r="C52" s="1111"/>
      <c r="D52" s="1084"/>
      <c r="E52" s="1112" t="s">
        <v>1313</v>
      </c>
      <c r="F52" s="1185"/>
      <c r="I52" s="1590" t="s">
        <v>1448</v>
      </c>
      <c r="J52" s="1591">
        <v>7.4999999999999997E-2</v>
      </c>
      <c r="K52" s="1590" t="s">
        <v>1449</v>
      </c>
      <c r="L52" s="1591"/>
      <c r="O52" s="1581" t="s">
        <v>1013</v>
      </c>
      <c r="P52" s="1572" t="s">
        <v>1450</v>
      </c>
      <c r="Q52" s="1573">
        <f ca="1">J53</f>
        <v>28.26</v>
      </c>
      <c r="R52" s="1573" t="s">
        <v>1451</v>
      </c>
    </row>
    <row r="53" spans="1:18" s="1537" customFormat="1" ht="24.75" thickBot="1">
      <c r="A53" s="1286" t="s">
        <v>1046</v>
      </c>
      <c r="B53" s="1526" t="s">
        <v>1314</v>
      </c>
      <c r="C53" s="322">
        <f ca="1">ROUND(IF(F53="押一",C49/12*F11,IF(F53="押二",C49/12*2*F11,IF(F53="押三",C49/12*3*F11,C54*F11))),0)</f>
        <v>0</v>
      </c>
      <c r="D53" s="1519" t="s">
        <v>2797</v>
      </c>
      <c r="E53" s="319" t="s">
        <v>1315</v>
      </c>
      <c r="F53" s="1248"/>
      <c r="I53" s="1592" t="s">
        <v>1452</v>
      </c>
      <c r="J53" s="2355">
        <f ca="1">IF(M47="住宅",IF(D1="——",MAX(J51,L48),MAX(J51,L48-'数据-取费表'!B24)),IF(D1="——",MIN(J51,L48),MIN(J51,L48-'数据-取费表'!B24)))</f>
        <v>28.26</v>
      </c>
      <c r="K53" s="3445" t="s">
        <v>1453</v>
      </c>
      <c r="L53" s="3446"/>
      <c r="O53" s="1571" t="s">
        <v>1014</v>
      </c>
      <c r="P53" s="1572" t="s">
        <v>1454</v>
      </c>
      <c r="Q53" s="1573">
        <f ca="1">Q47+Q48</f>
        <v>95786</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f ca="1">ROUND(IF(J47="钢混",J57/J50,1-(1-2%)*(J50-J57)/J50),3)</f>
        <v>0.39600000000000002</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100958</v>
      </c>
      <c r="D56" s="1600"/>
      <c r="E56" s="1601"/>
      <c r="F56" s="1593"/>
      <c r="I56" s="1602" t="s">
        <v>1459</v>
      </c>
      <c r="J56" s="1603" t="s">
        <v>3178</v>
      </c>
      <c r="K56" s="1574" t="s">
        <v>1460</v>
      </c>
      <c r="L56" s="1577" t="str">
        <f ca="1">IF(L48&lt;J51,"——",L48-J53)</f>
        <v>——</v>
      </c>
      <c r="O56" s="1571" t="s">
        <v>1008</v>
      </c>
      <c r="P56" s="1572" t="s">
        <v>1433</v>
      </c>
      <c r="Q56" s="1573">
        <f ca="1">C40+J29</f>
        <v>89842</v>
      </c>
      <c r="R56" s="1573" t="s">
        <v>1434</v>
      </c>
    </row>
    <row r="57" spans="1:18" s="1537" customFormat="1" ht="24.75" thickBot="1">
      <c r="A57" s="1604"/>
      <c r="B57" s="1081" t="s">
        <v>1383</v>
      </c>
      <c r="C57" s="244">
        <f ca="1">C29</f>
        <v>114725</v>
      </c>
      <c r="D57" s="1605"/>
      <c r="E57" s="1606"/>
      <c r="F57" s="1607"/>
      <c r="I57" s="1608" t="s">
        <v>1461</v>
      </c>
      <c r="J57" s="1609">
        <f ca="1">IF(OR(M47="住宅",J51&lt;L48,J56="是"),"——",J51-L48)</f>
        <v>23.74</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11526</v>
      </c>
      <c r="D58" s="1091" t="s">
        <v>1330</v>
      </c>
      <c r="E58" s="1092"/>
      <c r="F58" s="1093"/>
      <c r="I58" s="1608" t="s">
        <v>1465</v>
      </c>
      <c r="J58" s="1610">
        <f ca="1">IF(J55&lt;0.4,0.4,J55)</f>
        <v>0.4</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9654</v>
      </c>
      <c r="D59" s="1094" t="s">
        <v>1335</v>
      </c>
      <c r="E59" s="1095" t="s">
        <v>1336</v>
      </c>
      <c r="F59" s="2502" t="str">
        <f>IF(项目基本情况!B11="企业","——",IF('数据-取费表'!B10="住宅",IF(F49*F50*F51/12/(1+'数据-取费表'!F30)&gt;100000,4%,2.5%),IF(F49*F50*F51/12/(1+'数据-取费表'!F30)&gt;100000,12%,7%)))</f>
        <v>——</v>
      </c>
      <c r="I59" s="1608" t="s">
        <v>1468</v>
      </c>
      <c r="J59" s="1609">
        <f ca="1">IF(OR(M47="住宅",J51&lt;L48,J56="是"),"——",ROUND(C29*J58,0))</f>
        <v>45890</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f ca="1">IF(OR(M47="住宅",J51&lt;L48,J56="是"),"0",ROUND(J59/(1+J52)^J53,0))</f>
        <v>5944</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9636.9</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17.190000000000001</v>
      </c>
      <c r="D62" s="1096" t="s">
        <v>1402</v>
      </c>
      <c r="E62" s="1081" t="s">
        <v>1403</v>
      </c>
      <c r="F62" s="331">
        <f t="shared" si="0"/>
        <v>3</v>
      </c>
      <c r="I62" s="1615" t="s">
        <v>1475</v>
      </c>
      <c r="J62" s="1616" t="s">
        <v>1476</v>
      </c>
      <c r="K62" s="1616" t="s">
        <v>1477</v>
      </c>
      <c r="L62" s="1616" t="s">
        <v>1478</v>
      </c>
      <c r="M62" s="1617" t="s">
        <v>1479</v>
      </c>
      <c r="O62" s="1571" t="s">
        <v>1014</v>
      </c>
      <c r="P62" s="1572" t="s">
        <v>1480</v>
      </c>
      <c r="Q62" s="1573">
        <f ca="1">Q56+Q57</f>
        <v>89842</v>
      </c>
      <c r="R62" s="1573" t="s">
        <v>1015</v>
      </c>
    </row>
    <row r="63" spans="1:18" s="1537" customFormat="1" ht="13.5" thickBot="1">
      <c r="A63" s="332"/>
      <c r="B63" s="1087"/>
      <c r="C63" s="29"/>
      <c r="D63" s="1097"/>
      <c r="E63" s="1081" t="s">
        <v>1404</v>
      </c>
      <c r="F63" s="309">
        <f t="shared" ca="1" si="0"/>
        <v>57307</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1720.9</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151.4</v>
      </c>
      <c r="D65" s="1095" t="s">
        <v>1359</v>
      </c>
      <c r="E65" s="1081" t="s">
        <v>1360</v>
      </c>
      <c r="F65" s="336">
        <f t="shared" ca="1" si="0"/>
        <v>1.5E-3</v>
      </c>
      <c r="I65" s="1615" t="s">
        <v>1484</v>
      </c>
      <c r="J65" s="1616">
        <v>40</v>
      </c>
      <c r="K65" s="1616">
        <v>30</v>
      </c>
      <c r="L65" s="1616">
        <v>50</v>
      </c>
      <c r="M65" s="1618">
        <v>0.02</v>
      </c>
      <c r="O65" s="1571" t="s">
        <v>1008</v>
      </c>
      <c r="P65" s="1572" t="s">
        <v>1485</v>
      </c>
      <c r="Q65" s="1573">
        <f ca="1">C40+J29</f>
        <v>89842</v>
      </c>
      <c r="R65" s="1573" t="s">
        <v>1434</v>
      </c>
    </row>
    <row r="66" spans="1:18" s="1537" customFormat="1" ht="16.5" thickBot="1">
      <c r="A66" s="1113" t="s">
        <v>1409</v>
      </c>
      <c r="B66" s="1081" t="s">
        <v>1344</v>
      </c>
      <c r="C66" s="24">
        <f ca="1">ROUND(C48*F66,1)</f>
        <v>0</v>
      </c>
      <c r="D66" s="1095" t="s">
        <v>1410</v>
      </c>
      <c r="E66" s="1081" t="s">
        <v>1327</v>
      </c>
      <c r="F66" s="318">
        <f t="shared" ca="1" si="0"/>
        <v>0.03</v>
      </c>
      <c r="O66" s="1571" t="s">
        <v>1009</v>
      </c>
      <c r="P66" s="1572" t="s">
        <v>1463</v>
      </c>
      <c r="Q66" s="1573">
        <f ca="1">L60</f>
        <v>0</v>
      </c>
      <c r="R66" s="1573" t="s">
        <v>1486</v>
      </c>
    </row>
    <row r="67" spans="1:18" s="1537" customFormat="1" ht="16.5" thickBot="1">
      <c r="A67" s="1088" t="s">
        <v>999</v>
      </c>
      <c r="B67" s="1098" t="s">
        <v>1368</v>
      </c>
      <c r="C67" s="322">
        <f ca="1">C48-C58</f>
        <v>-11526</v>
      </c>
      <c r="D67" s="1094" t="s">
        <v>1369</v>
      </c>
      <c r="E67" s="1099"/>
      <c r="F67" s="1100"/>
      <c r="O67" s="1581" t="s">
        <v>1010</v>
      </c>
      <c r="P67" s="1572" t="s">
        <v>1467</v>
      </c>
      <c r="Q67" s="1619">
        <f ca="1">L51</f>
        <v>-46120</v>
      </c>
      <c r="R67" s="1573" t="s">
        <v>1487</v>
      </c>
    </row>
    <row r="68" spans="1:18" s="1537" customFormat="1" ht="16.5" thickBot="1">
      <c r="A68" s="1078" t="s">
        <v>1000</v>
      </c>
      <c r="B68" s="1079" t="s">
        <v>1390</v>
      </c>
      <c r="C68" s="307">
        <f ca="1">ROUND(C67*(1-((1+F70)/(1+F68))^F69)/(F68-F70),0)</f>
        <v>-163410</v>
      </c>
      <c r="D68" s="1096" t="s">
        <v>1374</v>
      </c>
      <c r="E68" s="1081" t="s">
        <v>1375</v>
      </c>
      <c r="F68" s="318">
        <f ca="1">F40</f>
        <v>5.5E-2</v>
      </c>
      <c r="O68" s="1581" t="s">
        <v>1011</v>
      </c>
      <c r="P68" s="1620" t="s">
        <v>1488</v>
      </c>
      <c r="Q68" s="1573">
        <f ca="1">ROUND(Q69-Q70*Q71,0)</f>
        <v>-2504</v>
      </c>
      <c r="R68" s="1573" t="s">
        <v>1019</v>
      </c>
    </row>
    <row r="69" spans="1:18" s="1537" customFormat="1" ht="13.5" thickBot="1">
      <c r="A69" s="1082"/>
      <c r="B69" s="1083"/>
      <c r="C69" s="312"/>
      <c r="D69" s="1101" t="s">
        <v>1378</v>
      </c>
      <c r="E69" s="1081" t="s">
        <v>1379</v>
      </c>
      <c r="F69" s="339">
        <f ca="1">F41</f>
        <v>28.26</v>
      </c>
      <c r="O69" s="1581" t="s">
        <v>1016</v>
      </c>
      <c r="P69" s="1620" t="s">
        <v>1489</v>
      </c>
      <c r="Q69" s="1573">
        <f ca="1">C39</f>
        <v>4563</v>
      </c>
      <c r="R69" s="1573" t="s">
        <v>1434</v>
      </c>
    </row>
    <row r="70" spans="1:18" s="1537" customFormat="1" ht="13.5" thickBot="1">
      <c r="A70" s="1085"/>
      <c r="B70" s="1086"/>
      <c r="C70" s="316"/>
      <c r="D70" s="1097"/>
      <c r="E70" s="1081" t="s">
        <v>1382</v>
      </c>
      <c r="F70" s="1185"/>
      <c r="O70" s="1581" t="s">
        <v>1017</v>
      </c>
      <c r="P70" s="1620" t="s">
        <v>1490</v>
      </c>
      <c r="Q70" s="1573">
        <f ca="1">C13</f>
        <v>100958</v>
      </c>
      <c r="R70" s="1573" t="s">
        <v>1434</v>
      </c>
    </row>
    <row r="71" spans="1:18" s="1537" customFormat="1" ht="13.5" thickBot="1">
      <c r="A71" s="1102" t="s">
        <v>1001</v>
      </c>
      <c r="B71" s="1103" t="s">
        <v>1392</v>
      </c>
      <c r="C71" s="342">
        <f ca="1">ROUND(C68*10000/F71,0)</f>
        <v>-9519</v>
      </c>
      <c r="D71" s="1104" t="s">
        <v>1393</v>
      </c>
      <c r="E71" s="1105" t="s">
        <v>1394</v>
      </c>
      <c r="F71" s="345">
        <f ca="1">F43</f>
        <v>171669.99</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7067</v>
      </c>
      <c r="D75" s="1537"/>
      <c r="E75" s="1537"/>
      <c r="F75" s="1537"/>
      <c r="K75" s="1555"/>
      <c r="L75" s="1537"/>
      <c r="O75" s="1571" t="s">
        <v>1014</v>
      </c>
      <c r="P75" s="1572" t="s">
        <v>1454</v>
      </c>
      <c r="Q75" s="1573">
        <f ca="1">Q65+Q66</f>
        <v>89842</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-0.54899999999999993</v>
      </c>
    </row>
    <row r="80" spans="1:18">
      <c r="B80" s="346" t="s">
        <v>1416</v>
      </c>
      <c r="C80" s="280">
        <f ca="1">ROUND(C75/C39,3)</f>
        <v>1.5489999999999999</v>
      </c>
    </row>
    <row r="81" spans="2:3">
      <c r="B81" s="276" t="s">
        <v>1417</v>
      </c>
      <c r="C81" s="244"/>
    </row>
    <row r="82" spans="2:3">
      <c r="B82" s="279" t="s">
        <v>1418</v>
      </c>
      <c r="C82" s="281">
        <f ca="1">1-C83</f>
        <v>-0.12400000000000011</v>
      </c>
    </row>
    <row r="83" spans="2:3">
      <c r="B83" s="279" t="s">
        <v>1419</v>
      </c>
      <c r="C83" s="280">
        <f ca="1">ROUND(C13/C40,3)</f>
        <v>1.1240000000000001</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47" t="s">
        <v>1308</v>
      </c>
      <c r="C6" s="1206">
        <f ca="1">ROUND(F6*F8*F7*(1-F9),0)</f>
        <v>0</v>
      </c>
      <c r="D6" s="160" t="s">
        <v>2787</v>
      </c>
      <c r="E6" s="308" t="s">
        <v>1310</v>
      </c>
      <c r="F6" s="309">
        <f ca="1">INDIRECT("'数据-取费表'!u"&amp;$G$1)</f>
        <v>0</v>
      </c>
      <c r="G6" s="1537"/>
      <c r="H6" s="1201" t="s">
        <v>1003</v>
      </c>
      <c r="I6" s="3447" t="s">
        <v>1308</v>
      </c>
      <c r="J6" s="307">
        <f ca="1">ROUND(M6*M8*M7*(1-M9),0)</f>
        <v>0</v>
      </c>
      <c r="K6" s="1529" t="s">
        <v>2788</v>
      </c>
      <c r="L6" s="308" t="s">
        <v>1310</v>
      </c>
      <c r="M6" s="309">
        <f ca="1">INDIRECT("'数据-取费表'!z"&amp;$G$1)</f>
        <v>0</v>
      </c>
    </row>
    <row r="7" spans="1:37" ht="18" customHeight="1">
      <c r="A7" s="1205"/>
      <c r="B7" s="3448"/>
      <c r="C7" s="1207"/>
      <c r="D7" s="313"/>
      <c r="E7" s="1208" t="s">
        <v>1311</v>
      </c>
      <c r="F7" s="309">
        <f ca="1">IF(INDIRECT("'数据-取费表'!ah"&amp;$G$1)="",INDIRECT("'数据-取费表'!k"&amp;$G$1),INDIRECT("'数据-取费表'!ah"&amp;$G$1))</f>
        <v>0</v>
      </c>
      <c r="G7" s="1537"/>
      <c r="H7" s="310"/>
      <c r="I7" s="3448"/>
      <c r="J7" s="312"/>
      <c r="K7" s="313"/>
      <c r="L7" s="308" t="s">
        <v>1311</v>
      </c>
      <c r="M7" s="309">
        <f ca="1">F7</f>
        <v>0</v>
      </c>
    </row>
    <row r="8" spans="1:37" ht="18" customHeight="1">
      <c r="A8" s="310"/>
      <c r="B8" s="3448"/>
      <c r="C8" s="312"/>
      <c r="D8" s="313"/>
      <c r="E8" s="308" t="s">
        <v>1312</v>
      </c>
      <c r="F8" s="309">
        <f ca="1">INDIRECT("'数据-取费表'!ai"&amp;$G$1)</f>
        <v>0</v>
      </c>
      <c r="G8" s="1537"/>
      <c r="H8" s="310"/>
      <c r="I8" s="3448"/>
      <c r="J8" s="312"/>
      <c r="K8" s="313"/>
      <c r="L8" s="308" t="s">
        <v>1312</v>
      </c>
      <c r="M8" s="309">
        <f ca="1">INDIRECT("'数据-取费表'!ai"&amp;$G$1)</f>
        <v>0</v>
      </c>
    </row>
    <row r="9" spans="1:37" ht="18" customHeight="1">
      <c r="A9" s="310"/>
      <c r="B9" s="3449"/>
      <c r="C9" s="312"/>
      <c r="D9" s="313"/>
      <c r="E9" s="308" t="s">
        <v>1313</v>
      </c>
      <c r="F9" s="318">
        <f ca="1">INDIRECT("'数据-取费表'!w"&amp;$G$1)</f>
        <v>0</v>
      </c>
      <c r="G9" s="1537"/>
      <c r="H9" s="310"/>
      <c r="I9" s="3449"/>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2797</v>
      </c>
      <c r="E10" s="319" t="s">
        <v>1315</v>
      </c>
      <c r="F10" s="1248"/>
      <c r="G10" s="1537"/>
      <c r="H10" s="1201" t="s">
        <v>1007</v>
      </c>
      <c r="I10" s="1518" t="s">
        <v>1314</v>
      </c>
      <c r="J10" s="307">
        <f ca="1">ROUND(IF(M10="押一",J6/12*M11,IF(M10="押二",J6/12*2*M11,IF(M10="押三",J6/12*3*M11,J11*M11))),0)</f>
        <v>0</v>
      </c>
      <c r="K10" s="1530" t="s">
        <v>2799</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0.05</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0.03</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1.4E-3</v>
      </c>
      <c r="D24" s="335" t="str">
        <f>IF(F23&lt;=1,"销售费用×利率×(建设周期÷2)","销售费用×((1+利率)^(建设周期÷2)-1)")</f>
        <v>销售费用×((1+利率)^(建设周期÷2)-1)</v>
      </c>
      <c r="E24" s="308" t="s">
        <v>1363</v>
      </c>
      <c r="F24" s="337">
        <f ca="1">'数据-取费表'!B40</f>
        <v>3.7000000000000005E-2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2988</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3</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2800</v>
      </c>
      <c r="E53" s="319" t="s">
        <v>1315</v>
      </c>
      <c r="F53" s="1248"/>
      <c r="I53" s="1592" t="s">
        <v>1452</v>
      </c>
      <c r="J53" s="2355">
        <f ca="1">IF(M47="住宅",IF(D1="——",MAX(J51,L48),MAX(J51,L48-'数据-取费表'!B24)),IF(D1="——",MIN(J51,L48),MIN(J51,L48-'数据-取费表'!B24)))</f>
        <v>0</v>
      </c>
      <c r="K53" s="3445" t="s">
        <v>1453</v>
      </c>
      <c r="L53" s="3446"/>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3</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7" sqref="F7:F34"/>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3116</v>
      </c>
      <c r="B1" s="3032"/>
      <c r="C1" s="3044"/>
      <c r="D1" s="3044"/>
      <c r="E1" s="3033"/>
      <c r="F1" s="3034"/>
      <c r="G1" s="3035"/>
      <c r="J1" s="3038" t="s">
        <v>2995</v>
      </c>
      <c r="K1" s="3039"/>
      <c r="L1" s="3039"/>
      <c r="M1" s="3039"/>
      <c r="N1" s="3039"/>
      <c r="O1" s="3039"/>
      <c r="P1" s="3039"/>
      <c r="Q1" s="3039"/>
      <c r="R1" s="3040"/>
      <c r="S1" s="3041"/>
      <c r="T1" s="3041"/>
      <c r="U1" s="3041"/>
    </row>
    <row r="2" spans="1:22" s="3053" customFormat="1" ht="13.15" customHeight="1">
      <c r="A2" s="1538" t="s">
        <v>2996</v>
      </c>
      <c r="B2" s="3043" t="e">
        <f>C40</f>
        <v>#DIV/0!</v>
      </c>
      <c r="C2" s="3044" t="s">
        <v>2997</v>
      </c>
      <c r="D2" s="3044"/>
      <c r="E2" s="3045"/>
      <c r="F2" s="3046"/>
      <c r="G2" s="3047"/>
      <c r="H2" s="3048"/>
      <c r="I2" s="3049"/>
      <c r="J2" s="3456" t="s">
        <v>2998</v>
      </c>
      <c r="K2" s="3457"/>
      <c r="L2" s="3050" t="s">
        <v>2999</v>
      </c>
      <c r="M2" s="3050" t="s">
        <v>3000</v>
      </c>
      <c r="N2" s="3050" t="s">
        <v>3001</v>
      </c>
      <c r="O2" s="3050" t="s">
        <v>3002</v>
      </c>
      <c r="P2" s="3050" t="s">
        <v>3003</v>
      </c>
      <c r="Q2" s="3051" t="s">
        <v>3004</v>
      </c>
      <c r="R2" s="3052" t="s">
        <v>3005</v>
      </c>
      <c r="S2" s="3041"/>
      <c r="T2" s="3041"/>
      <c r="U2" s="3041"/>
      <c r="V2" s="3049"/>
    </row>
    <row r="3" spans="1:22" s="3053" customFormat="1" ht="13.15" customHeight="1">
      <c r="A3" s="3054" t="s">
        <v>3006</v>
      </c>
      <c r="B3" s="3055" t="e">
        <f>ROUND(B2*10000/B4,0)</f>
        <v>#DIV/0!</v>
      </c>
      <c r="C3" s="3044" t="s">
        <v>3007</v>
      </c>
      <c r="D3" s="3044"/>
      <c r="E3" s="3045"/>
      <c r="F3" s="3046"/>
      <c r="G3" s="3047"/>
      <c r="H3" s="3048"/>
      <c r="I3" s="3049"/>
      <c r="J3" s="3458" t="s">
        <v>3008</v>
      </c>
      <c r="K3" s="3459"/>
      <c r="L3" s="3056"/>
      <c r="M3" s="3056"/>
      <c r="N3" s="3056"/>
      <c r="O3" s="3056"/>
      <c r="P3" s="3056"/>
      <c r="Q3" s="3057"/>
      <c r="R3" s="3058">
        <f>SUM(L3:Q3)</f>
        <v>0</v>
      </c>
      <c r="S3" s="3041"/>
      <c r="T3" s="3041"/>
      <c r="U3" s="3041"/>
      <c r="V3" s="3049"/>
    </row>
    <row r="4" spans="1:22" s="3053" customFormat="1" ht="13.15" customHeight="1">
      <c r="A4" s="3059" t="s">
        <v>3009</v>
      </c>
      <c r="B4" s="3060"/>
      <c r="C4" s="3044"/>
      <c r="D4" s="3044"/>
      <c r="E4" s="3045"/>
      <c r="F4" s="3046"/>
      <c r="G4" s="3047"/>
      <c r="H4" s="3048"/>
      <c r="I4" s="3049"/>
      <c r="J4" s="3458" t="s">
        <v>3010</v>
      </c>
      <c r="K4" s="3459"/>
      <c r="L4" s="3061"/>
      <c r="M4" s="3061"/>
      <c r="N4" s="3061"/>
      <c r="O4" s="3061"/>
      <c r="P4" s="3061"/>
      <c r="Q4" s="3062"/>
      <c r="R4" s="3063">
        <f>SUM(L4:Q4)</f>
        <v>0</v>
      </c>
      <c r="S4" s="3041"/>
      <c r="T4" s="3041"/>
      <c r="U4" s="3041"/>
      <c r="V4" s="3049"/>
    </row>
    <row r="5" spans="1:22" s="3053" customFormat="1" ht="13.15" customHeight="1" thickBot="1">
      <c r="A5" s="3064" t="s">
        <v>3011</v>
      </c>
      <c r="B5" s="3065"/>
      <c r="C5" s="3044"/>
      <c r="D5" s="3066"/>
      <c r="E5" s="3046"/>
      <c r="F5" s="3046"/>
      <c r="G5" s="3047"/>
      <c r="H5" s="3048"/>
      <c r="I5" s="3049"/>
      <c r="J5" s="3067" t="s">
        <v>3012</v>
      </c>
      <c r="K5" s="3068"/>
      <c r="L5" s="3068"/>
      <c r="M5" s="3069"/>
      <c r="N5" s="3069"/>
      <c r="O5" s="3069"/>
      <c r="P5" s="3069"/>
      <c r="Q5" s="3069"/>
      <c r="R5" s="3052">
        <f>SUM(R14,R19,R24,R25,R27,R28)</f>
        <v>0</v>
      </c>
      <c r="S5" s="3041"/>
      <c r="T5" s="3041" t="s">
        <v>3013</v>
      </c>
      <c r="U5" s="3041" t="e">
        <f>ROUND(R5*10000/365/R3,1)</f>
        <v>#DIV/0!</v>
      </c>
      <c r="V5" s="3049"/>
    </row>
    <row r="6" spans="1:22" s="3053" customFormat="1" ht="13.15" customHeight="1" thickBot="1">
      <c r="A6" s="3464" t="s">
        <v>3014</v>
      </c>
      <c r="B6" s="3465"/>
      <c r="C6" s="3466"/>
      <c r="D6" s="3070"/>
      <c r="E6" s="3071"/>
      <c r="F6" s="3072"/>
      <c r="G6" s="3073"/>
      <c r="H6" s="3048"/>
      <c r="I6" s="3049"/>
      <c r="J6" s="3450">
        <v>1</v>
      </c>
      <c r="K6" s="3451" t="s">
        <v>3015</v>
      </c>
      <c r="L6" s="3074" t="s">
        <v>3016</v>
      </c>
      <c r="M6" s="3075" t="s">
        <v>3017</v>
      </c>
      <c r="N6" s="3075" t="s">
        <v>3018</v>
      </c>
      <c r="O6" s="3075" t="s">
        <v>3019</v>
      </c>
      <c r="P6" s="3075" t="s">
        <v>3020</v>
      </c>
      <c r="Q6" s="3075" t="s">
        <v>3021</v>
      </c>
      <c r="R6" s="3058" t="s">
        <v>3022</v>
      </c>
      <c r="S6" s="3041"/>
      <c r="T6" s="3041" t="s">
        <v>3023</v>
      </c>
      <c r="U6" s="3041"/>
      <c r="V6" s="3049"/>
    </row>
    <row r="7" spans="1:22" s="3053" customFormat="1" ht="13.15" customHeight="1">
      <c r="A7" s="3076" t="s">
        <v>3024</v>
      </c>
      <c r="B7" s="3077"/>
      <c r="C7" s="3078"/>
      <c r="D7" s="3079">
        <f>SUM(D9,D10,D11,D17,0)</f>
        <v>0</v>
      </c>
      <c r="E7" s="3080" t="e">
        <f>E9+E10+E11+E17</f>
        <v>#DIV/0!</v>
      </c>
      <c r="F7" s="3081"/>
      <c r="G7" s="3082"/>
      <c r="H7" s="3048"/>
      <c r="I7" s="3049"/>
      <c r="J7" s="3450"/>
      <c r="K7" s="3452"/>
      <c r="L7" s="3083" t="s">
        <v>3025</v>
      </c>
      <c r="M7" s="3084"/>
      <c r="N7" s="3060"/>
      <c r="O7" s="3085"/>
      <c r="P7" s="3085"/>
      <c r="Q7" s="3086">
        <v>365</v>
      </c>
      <c r="R7" s="3087">
        <f>ROUND(M7*N7*O7*P7*Q7/10000,0)</f>
        <v>0</v>
      </c>
      <c r="S7" s="3041"/>
      <c r="T7" s="3041" t="s">
        <v>3026</v>
      </c>
      <c r="U7" s="3041"/>
      <c r="V7" s="3049"/>
    </row>
    <row r="8" spans="1:22" s="3053" customFormat="1" ht="13.15" customHeight="1">
      <c r="A8" s="3088" t="s">
        <v>3027</v>
      </c>
      <c r="B8" s="3467" t="s">
        <v>3028</v>
      </c>
      <c r="C8" s="3468"/>
      <c r="D8" s="3089" t="s">
        <v>3029</v>
      </c>
      <c r="E8" s="3090" t="s">
        <v>3030</v>
      </c>
      <c r="F8" s="3091" t="s">
        <v>3031</v>
      </c>
      <c r="G8" s="3092"/>
      <c r="H8" s="3048"/>
      <c r="I8" s="3049"/>
      <c r="J8" s="3450"/>
      <c r="K8" s="3452"/>
      <c r="L8" s="3083" t="s">
        <v>3032</v>
      </c>
      <c r="M8" s="3084"/>
      <c r="N8" s="3060"/>
      <c r="O8" s="3085"/>
      <c r="P8" s="3085"/>
      <c r="Q8" s="3086">
        <v>365</v>
      </c>
      <c r="R8" s="3087">
        <f t="shared" ref="R8:R13" si="0">ROUND(M8*N8*O8*P8*Q8/10000,0)</f>
        <v>0</v>
      </c>
      <c r="S8" s="3041"/>
      <c r="T8" s="3041" t="s">
        <v>3033</v>
      </c>
      <c r="U8" s="3041"/>
      <c r="V8" s="3049"/>
    </row>
    <row r="9" spans="1:22" s="3053" customFormat="1" ht="13.15" customHeight="1">
      <c r="A9" s="3088">
        <v>1</v>
      </c>
      <c r="B9" s="3467" t="s">
        <v>3034</v>
      </c>
      <c r="C9" s="3468"/>
      <c r="D9" s="3089">
        <f>ROUND(D6*E9,0)</f>
        <v>0</v>
      </c>
      <c r="E9" s="3093"/>
      <c r="F9" s="3094" t="s">
        <v>3035</v>
      </c>
      <c r="G9" s="3073"/>
      <c r="H9" s="3048"/>
      <c r="I9" s="3049"/>
      <c r="J9" s="3450"/>
      <c r="K9" s="3452"/>
      <c r="L9" s="3083" t="s">
        <v>3036</v>
      </c>
      <c r="M9" s="3084"/>
      <c r="N9" s="3060"/>
      <c r="O9" s="3085"/>
      <c r="P9" s="3085"/>
      <c r="Q9" s="3086">
        <v>365</v>
      </c>
      <c r="R9" s="3087">
        <f t="shared" si="0"/>
        <v>0</v>
      </c>
      <c r="S9" s="3041"/>
      <c r="T9" s="3041"/>
      <c r="U9" s="3041"/>
      <c r="V9" s="3049"/>
    </row>
    <row r="10" spans="1:22" s="3053" customFormat="1" ht="13.15" customHeight="1">
      <c r="A10" s="3088">
        <v>2</v>
      </c>
      <c r="B10" s="3467" t="s">
        <v>3037</v>
      </c>
      <c r="C10" s="3468"/>
      <c r="D10" s="3089">
        <f>ROUND(D6*E10,0)</f>
        <v>0</v>
      </c>
      <c r="E10" s="3093"/>
      <c r="F10" s="3094" t="s">
        <v>3038</v>
      </c>
      <c r="G10" s="3073"/>
      <c r="H10" s="3048"/>
      <c r="I10" s="3049"/>
      <c r="J10" s="3450"/>
      <c r="K10" s="3452"/>
      <c r="L10" s="3083" t="s">
        <v>3039</v>
      </c>
      <c r="M10" s="3084"/>
      <c r="N10" s="3060"/>
      <c r="O10" s="3085"/>
      <c r="P10" s="3085"/>
      <c r="Q10" s="3086">
        <v>365</v>
      </c>
      <c r="R10" s="3087">
        <f t="shared" si="0"/>
        <v>0</v>
      </c>
      <c r="S10" s="3041"/>
      <c r="T10" s="3041"/>
      <c r="U10" s="3041"/>
      <c r="V10" s="3049"/>
    </row>
    <row r="11" spans="1:22" s="3053" customFormat="1" ht="13.15" customHeight="1">
      <c r="A11" s="3088">
        <v>3</v>
      </c>
      <c r="B11" s="3467" t="s">
        <v>3040</v>
      </c>
      <c r="C11" s="3468"/>
      <c r="D11" s="3089">
        <f>D12+D14+D15+D16</f>
        <v>0</v>
      </c>
      <c r="E11" s="3095" t="e">
        <f>D11/D6</f>
        <v>#DIV/0!</v>
      </c>
      <c r="F11" s="3091"/>
      <c r="G11" s="3092"/>
      <c r="H11" s="3048"/>
      <c r="I11" s="3049"/>
      <c r="J11" s="3450"/>
      <c r="K11" s="3452"/>
      <c r="L11" s="3083" t="s">
        <v>3041</v>
      </c>
      <c r="M11" s="3084"/>
      <c r="N11" s="3060"/>
      <c r="O11" s="3085"/>
      <c r="P11" s="3085"/>
      <c r="Q11" s="3086">
        <v>365</v>
      </c>
      <c r="R11" s="3087">
        <f t="shared" si="0"/>
        <v>0</v>
      </c>
      <c r="S11" s="3041"/>
      <c r="T11" s="3041"/>
      <c r="U11" s="3041"/>
      <c r="V11" s="3049"/>
    </row>
    <row r="12" spans="1:22" s="3053" customFormat="1" ht="13.15" customHeight="1">
      <c r="A12" s="3096" t="s">
        <v>3042</v>
      </c>
      <c r="B12" s="3460" t="s">
        <v>3043</v>
      </c>
      <c r="C12" s="3461"/>
      <c r="D12" s="3097">
        <f>ROUND(D13*1.2%*(1-30%),0)</f>
        <v>0</v>
      </c>
      <c r="E12" s="3098">
        <v>1.2E-2</v>
      </c>
      <c r="F12" s="3091" t="s">
        <v>3044</v>
      </c>
      <c r="G12" s="3092"/>
      <c r="H12" s="3048"/>
      <c r="I12" s="3049"/>
      <c r="J12" s="3450"/>
      <c r="K12" s="3452"/>
      <c r="L12" s="3083" t="s">
        <v>3045</v>
      </c>
      <c r="M12" s="3084"/>
      <c r="N12" s="3060"/>
      <c r="O12" s="3085"/>
      <c r="P12" s="3085"/>
      <c r="Q12" s="3086">
        <v>365</v>
      </c>
      <c r="R12" s="3087">
        <f t="shared" si="0"/>
        <v>0</v>
      </c>
      <c r="S12" s="3041"/>
      <c r="T12" s="3041"/>
      <c r="U12" s="3041"/>
      <c r="V12" s="3049"/>
    </row>
    <row r="13" spans="1:22" s="3053" customFormat="1" ht="13.15" customHeight="1">
      <c r="A13" s="3096"/>
      <c r="B13" s="3099"/>
      <c r="C13" s="3100" t="s">
        <v>3046</v>
      </c>
      <c r="D13" s="3101"/>
      <c r="E13" s="3102"/>
      <c r="F13" s="3091"/>
      <c r="G13" s="3092"/>
      <c r="H13" s="3048"/>
      <c r="I13" s="3049"/>
      <c r="J13" s="3450"/>
      <c r="K13" s="3452"/>
      <c r="L13" s="3083" t="s">
        <v>3047</v>
      </c>
      <c r="M13" s="3084"/>
      <c r="N13" s="3060"/>
      <c r="O13" s="3085"/>
      <c r="P13" s="3085"/>
      <c r="Q13" s="3086">
        <v>365</v>
      </c>
      <c r="R13" s="3087">
        <f t="shared" si="0"/>
        <v>0</v>
      </c>
      <c r="S13" s="3041"/>
      <c r="T13" s="3041"/>
      <c r="U13" s="3041"/>
      <c r="V13" s="3049"/>
    </row>
    <row r="14" spans="1:22" s="3053" customFormat="1" ht="13.15" customHeight="1">
      <c r="A14" s="3096" t="s">
        <v>3048</v>
      </c>
      <c r="B14" s="3460" t="s">
        <v>3049</v>
      </c>
      <c r="C14" s="3461"/>
      <c r="D14" s="3097">
        <f>ROUND(E14*B5/10000,0)</f>
        <v>0</v>
      </c>
      <c r="E14" s="3086"/>
      <c r="F14" s="3091" t="s">
        <v>3050</v>
      </c>
      <c r="G14" s="3092"/>
      <c r="H14" s="3048"/>
      <c r="I14" s="3049"/>
      <c r="J14" s="3450"/>
      <c r="K14" s="3453"/>
      <c r="L14" s="3103" t="s">
        <v>3051</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3052</v>
      </c>
      <c r="B15" s="3460" t="s">
        <v>3053</v>
      </c>
      <c r="C15" s="3461"/>
      <c r="D15" s="3097">
        <f>ROUND(D6*E15,0)</f>
        <v>0</v>
      </c>
      <c r="E15" s="3098">
        <v>5.5E-2</v>
      </c>
      <c r="F15" s="3091" t="s">
        <v>3054</v>
      </c>
      <c r="G15" s="3073"/>
      <c r="H15" s="3048"/>
      <c r="I15" s="3049"/>
      <c r="J15" s="3450">
        <v>2</v>
      </c>
      <c r="K15" s="3451" t="s">
        <v>3055</v>
      </c>
      <c r="L15" s="3083" t="s">
        <v>3056</v>
      </c>
      <c r="M15" s="3084" t="s">
        <v>3057</v>
      </c>
      <c r="N15" s="3084" t="s">
        <v>3058</v>
      </c>
      <c r="O15" s="3085" t="s">
        <v>3059</v>
      </c>
      <c r="P15" s="3085" t="s">
        <v>3021</v>
      </c>
      <c r="Q15" s="3060" t="s">
        <v>3060</v>
      </c>
      <c r="R15" s="3107" t="s">
        <v>3022</v>
      </c>
      <c r="S15" s="3041"/>
      <c r="T15" s="3041"/>
      <c r="U15" s="3041"/>
      <c r="V15" s="3049"/>
    </row>
    <row r="16" spans="1:22" s="3053" customFormat="1" ht="13.15" customHeight="1">
      <c r="A16" s="3096" t="s">
        <v>3061</v>
      </c>
      <c r="B16" s="3460" t="s">
        <v>3062</v>
      </c>
      <c r="C16" s="3461"/>
      <c r="D16" s="3108">
        <f>D6*E16</f>
        <v>0</v>
      </c>
      <c r="E16" s="3109"/>
      <c r="F16" s="3094" t="s">
        <v>3063</v>
      </c>
      <c r="G16" s="3073"/>
      <c r="H16" s="3048"/>
      <c r="I16" s="3049"/>
      <c r="J16" s="3450"/>
      <c r="K16" s="3452"/>
      <c r="L16" s="3083" t="s">
        <v>3064</v>
      </c>
      <c r="M16" s="3084"/>
      <c r="N16" s="3084"/>
      <c r="O16" s="3085"/>
      <c r="P16" s="3086">
        <v>365</v>
      </c>
      <c r="Q16" s="3060"/>
      <c r="R16" s="3107">
        <f>ROUND(M16*N16*O16*P16/10000,0)</f>
        <v>0</v>
      </c>
      <c r="S16" s="3041"/>
      <c r="T16" s="3041"/>
      <c r="U16" s="3041"/>
      <c r="V16" s="3049"/>
    </row>
    <row r="17" spans="1:22" s="3053" customFormat="1" ht="13.15" customHeight="1" thickBot="1">
      <c r="A17" s="3110">
        <v>4</v>
      </c>
      <c r="B17" s="3462" t="s">
        <v>3065</v>
      </c>
      <c r="C17" s="3463"/>
      <c r="D17" s="3111">
        <f>ROUND(D6*E17,0)</f>
        <v>0</v>
      </c>
      <c r="E17" s="3112"/>
      <c r="F17" s="3113" t="s">
        <v>3066</v>
      </c>
      <c r="G17" s="3073"/>
      <c r="H17" s="3048"/>
      <c r="I17" s="3049"/>
      <c r="J17" s="3450"/>
      <c r="K17" s="3452"/>
      <c r="L17" s="3083" t="s">
        <v>3067</v>
      </c>
      <c r="M17" s="3084"/>
      <c r="N17" s="3084"/>
      <c r="O17" s="3085"/>
      <c r="P17" s="3086">
        <v>365</v>
      </c>
      <c r="Q17" s="3060"/>
      <c r="R17" s="3107">
        <f>ROUND(M17*N17*O17*P17/10000,0)</f>
        <v>0</v>
      </c>
      <c r="S17" s="3041"/>
      <c r="T17" s="3041"/>
      <c r="U17" s="3041"/>
      <c r="V17" s="3049"/>
    </row>
    <row r="18" spans="1:22" s="3053" customFormat="1" ht="13.15" customHeight="1" thickBot="1">
      <c r="A18" s="3076" t="s">
        <v>3068</v>
      </c>
      <c r="B18" s="3077"/>
      <c r="C18" s="3077"/>
      <c r="D18" s="3114">
        <f>ROUND(D6*E18,0)</f>
        <v>0</v>
      </c>
      <c r="E18" s="3115"/>
      <c r="F18" s="3116" t="s">
        <v>3069</v>
      </c>
      <c r="G18" s="3073"/>
      <c r="H18" s="3048"/>
      <c r="I18" s="3049"/>
      <c r="J18" s="3450"/>
      <c r="K18" s="3452"/>
      <c r="L18" s="3083" t="s">
        <v>3070</v>
      </c>
      <c r="M18" s="3084"/>
      <c r="N18" s="3084"/>
      <c r="O18" s="3085"/>
      <c r="P18" s="3086">
        <v>365</v>
      </c>
      <c r="Q18" s="3060"/>
      <c r="R18" s="3107">
        <f>ROUND(M18*N18*O18*P18/10000,0)</f>
        <v>0</v>
      </c>
      <c r="S18" s="3041"/>
      <c r="T18" s="3041"/>
      <c r="U18" s="3041"/>
      <c r="V18" s="3049"/>
    </row>
    <row r="19" spans="1:22" s="3053" customFormat="1" ht="13.15" customHeight="1" thickBot="1">
      <c r="A19" s="3117" t="s">
        <v>3071</v>
      </c>
      <c r="B19" s="3071"/>
      <c r="C19" s="3071"/>
      <c r="D19" s="3071"/>
      <c r="E19" s="3071"/>
      <c r="F19" s="3072"/>
      <c r="G19" s="3092"/>
      <c r="H19" s="3048"/>
      <c r="I19" s="3049"/>
      <c r="J19" s="3450"/>
      <c r="K19" s="3453"/>
      <c r="L19" s="3103" t="s">
        <v>3051</v>
      </c>
      <c r="M19" s="3104"/>
      <c r="N19" s="3104">
        <f>SUM(N16:N18)</f>
        <v>0</v>
      </c>
      <c r="O19" s="3105"/>
      <c r="P19" s="3118" t="s">
        <v>3115</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50">
        <v>3</v>
      </c>
      <c r="K20" s="3451" t="s">
        <v>3072</v>
      </c>
      <c r="L20" s="3083" t="s">
        <v>3073</v>
      </c>
      <c r="M20" s="3084" t="s">
        <v>3074</v>
      </c>
      <c r="N20" s="3121" t="s">
        <v>3075</v>
      </c>
      <c r="O20" s="3085" t="s">
        <v>3076</v>
      </c>
      <c r="P20" s="3086" t="s">
        <v>3077</v>
      </c>
      <c r="Q20" s="3060" t="s">
        <v>3078</v>
      </c>
      <c r="R20" s="3107" t="s">
        <v>3079</v>
      </c>
      <c r="S20" s="3122"/>
      <c r="T20" s="3122"/>
      <c r="U20" s="3122"/>
      <c r="V20" s="3049"/>
    </row>
    <row r="21" spans="1:22" s="3053" customFormat="1" ht="13.15" customHeight="1">
      <c r="A21" s="3076"/>
      <c r="B21" s="3077"/>
      <c r="C21" s="3123" t="s">
        <v>3080</v>
      </c>
      <c r="D21" s="3124" t="s">
        <v>3081</v>
      </c>
      <c r="E21" s="3125" t="s">
        <v>3082</v>
      </c>
      <c r="F21" s="3120"/>
      <c r="G21" s="3092"/>
      <c r="H21" s="3048"/>
      <c r="I21" s="3049"/>
      <c r="J21" s="3450"/>
      <c r="K21" s="3452"/>
      <c r="L21" s="3083" t="s">
        <v>3083</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3084</v>
      </c>
      <c r="D22" s="3128" t="s">
        <v>3085</v>
      </c>
      <c r="E22" s="3129" t="s">
        <v>3086</v>
      </c>
      <c r="F22" s="3120"/>
      <c r="G22" s="3130"/>
      <c r="H22" s="3048"/>
      <c r="I22" s="3049"/>
      <c r="J22" s="3450"/>
      <c r="K22" s="3452"/>
      <c r="L22" s="3083" t="s">
        <v>3087</v>
      </c>
      <c r="M22" s="3084"/>
      <c r="N22" s="3084"/>
      <c r="O22" s="3085"/>
      <c r="P22" s="3086">
        <v>365</v>
      </c>
      <c r="Q22" s="3060"/>
      <c r="R22" s="3126">
        <f>ROUND(M22*N22*O22*P22/10000,0)</f>
        <v>0</v>
      </c>
      <c r="S22" s="3122"/>
      <c r="T22" s="3122"/>
      <c r="U22" s="3122"/>
      <c r="V22" s="3049"/>
    </row>
    <row r="23" spans="1:22" s="3053" customFormat="1" ht="13.15" customHeight="1">
      <c r="A23" s="3131">
        <v>1</v>
      </c>
      <c r="B23" s="3132" t="s">
        <v>3088</v>
      </c>
      <c r="C23" s="3133">
        <f>D6</f>
        <v>0</v>
      </c>
      <c r="D23" s="3134">
        <f>C23*(1+D24)</f>
        <v>0</v>
      </c>
      <c r="E23" s="3135">
        <f>D23*(1+E24)</f>
        <v>0</v>
      </c>
      <c r="F23" s="3136"/>
      <c r="G23" s="3137"/>
      <c r="H23" s="3048"/>
      <c r="I23" s="3049"/>
      <c r="J23" s="3450"/>
      <c r="K23" s="3452"/>
      <c r="L23" s="3083" t="s">
        <v>3089</v>
      </c>
      <c r="M23" s="3084"/>
      <c r="N23" s="3084"/>
      <c r="O23" s="3085"/>
      <c r="P23" s="3086">
        <v>365</v>
      </c>
      <c r="Q23" s="3060"/>
      <c r="R23" s="3126">
        <f>ROUND(M23*N23*O23*P23/10000,0)</f>
        <v>0</v>
      </c>
      <c r="S23" s="3041"/>
      <c r="T23" s="3041"/>
      <c r="U23" s="3041"/>
      <c r="V23" s="3049"/>
    </row>
    <row r="24" spans="1:22" s="3053" customFormat="1" ht="13.15" customHeight="1">
      <c r="A24" s="3138"/>
      <c r="B24" s="3139" t="s">
        <v>3090</v>
      </c>
      <c r="C24" s="3140"/>
      <c r="D24" s="3141"/>
      <c r="E24" s="3142"/>
      <c r="F24" s="3143"/>
      <c r="G24" s="3137"/>
      <c r="H24" s="3048"/>
      <c r="I24" s="3049"/>
      <c r="J24" s="3450"/>
      <c r="K24" s="3453"/>
      <c r="L24" s="3103" t="s">
        <v>3051</v>
      </c>
      <c r="M24" s="3104">
        <f>SUM(M21:M23)</f>
        <v>0</v>
      </c>
      <c r="N24" s="3104"/>
      <c r="O24" s="3105"/>
      <c r="P24" s="3118" t="s">
        <v>3115</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3091</v>
      </c>
      <c r="L25" s="3146"/>
      <c r="M25" s="3146"/>
      <c r="N25" s="3146"/>
      <c r="O25" s="3146"/>
      <c r="P25" s="3147"/>
      <c r="Q25" s="3148">
        <v>0</v>
      </c>
      <c r="R25" s="3119">
        <f>ROUND(R14*Q25,0)</f>
        <v>0</v>
      </c>
      <c r="S25" s="3041"/>
      <c r="T25" s="3041"/>
      <c r="U25" s="3041"/>
      <c r="V25" s="3149"/>
    </row>
    <row r="26" spans="1:22" s="3150" customFormat="1" ht="13.15" customHeight="1">
      <c r="A26" s="3131">
        <v>2</v>
      </c>
      <c r="B26" s="3132" t="s">
        <v>3092</v>
      </c>
      <c r="C26" s="3133">
        <f>D7</f>
        <v>0</v>
      </c>
      <c r="D26" s="3134">
        <f>D23*D27</f>
        <v>0</v>
      </c>
      <c r="E26" s="3135">
        <f>E23*E27</f>
        <v>0</v>
      </c>
      <c r="F26" s="3136"/>
      <c r="G26" s="3137"/>
      <c r="H26" s="3048"/>
      <c r="I26" s="3049"/>
      <c r="J26" s="3454">
        <v>5</v>
      </c>
      <c r="K26" s="3151" t="s">
        <v>3093</v>
      </c>
      <c r="L26" s="3152"/>
      <c r="M26" s="3153"/>
      <c r="N26" s="3154" t="s">
        <v>3094</v>
      </c>
      <c r="O26" s="3154" t="s">
        <v>3095</v>
      </c>
      <c r="P26" s="3155" t="s">
        <v>3096</v>
      </c>
      <c r="Q26" s="3155" t="s">
        <v>3097</v>
      </c>
      <c r="R26" s="3058" t="s">
        <v>3022</v>
      </c>
      <c r="S26" s="3156"/>
      <c r="T26" s="3156"/>
      <c r="U26" s="3156"/>
      <c r="V26" s="3149"/>
    </row>
    <row r="27" spans="1:22" s="3053" customFormat="1" ht="13.15" customHeight="1">
      <c r="A27" s="3138"/>
      <c r="B27" s="3139" t="s">
        <v>3098</v>
      </c>
      <c r="C27" s="3157" t="e">
        <f>E7</f>
        <v>#DIV/0!</v>
      </c>
      <c r="D27" s="3141"/>
      <c r="E27" s="3142"/>
      <c r="F27" s="3143"/>
      <c r="G27" s="3137"/>
      <c r="H27" s="3158"/>
      <c r="I27" s="3149"/>
      <c r="J27" s="3455"/>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3099</v>
      </c>
      <c r="F28" s="3143"/>
      <c r="G28" s="3130"/>
      <c r="H28" s="3158"/>
      <c r="I28" s="3149"/>
      <c r="J28" s="3164">
        <v>6</v>
      </c>
      <c r="K28" s="3165" t="s">
        <v>3100</v>
      </c>
      <c r="L28" s="3166" t="s">
        <v>3101</v>
      </c>
      <c r="M28" s="3167"/>
      <c r="N28" s="3166" t="s">
        <v>3102</v>
      </c>
      <c r="O28" s="3168"/>
      <c r="P28" s="3166" t="s">
        <v>3103</v>
      </c>
      <c r="Q28" s="3169">
        <v>1.4999999999999999E-2</v>
      </c>
      <c r="R28" s="3170"/>
      <c r="S28" s="3122"/>
      <c r="T28" s="3122"/>
      <c r="U28" s="3122"/>
      <c r="V28" s="3149"/>
    </row>
    <row r="29" spans="1:22" s="3150" customFormat="1" ht="13.15" customHeight="1">
      <c r="A29" s="3131">
        <v>3</v>
      </c>
      <c r="B29" s="3132" t="s">
        <v>3104</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3098</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3105</v>
      </c>
      <c r="K31" s="3039"/>
      <c r="L31" s="3039"/>
      <c r="M31" s="3039"/>
      <c r="N31" s="3039"/>
      <c r="O31" s="3039"/>
      <c r="P31" s="3039"/>
      <c r="Q31" s="3039"/>
      <c r="R31" s="3040"/>
      <c r="S31" s="3122"/>
      <c r="T31" s="3041"/>
      <c r="U31" s="3041"/>
      <c r="V31" s="3149"/>
    </row>
    <row r="32" spans="1:22" s="3150" customFormat="1" ht="13.15" customHeight="1">
      <c r="A32" s="3131">
        <v>4</v>
      </c>
      <c r="B32" s="3132" t="s">
        <v>3106</v>
      </c>
      <c r="C32" s="3133">
        <f>C23-C26-C29</f>
        <v>0</v>
      </c>
      <c r="D32" s="3134">
        <f>D23-D26-D29</f>
        <v>0</v>
      </c>
      <c r="E32" s="3135">
        <f>E23-E26-E29</f>
        <v>0</v>
      </c>
      <c r="F32" s="3136"/>
      <c r="G32" s="3130"/>
      <c r="H32" s="3048"/>
      <c r="I32" s="3049"/>
      <c r="J32" s="3456" t="s">
        <v>2998</v>
      </c>
      <c r="K32" s="3457"/>
      <c r="L32" s="3050" t="s">
        <v>2999</v>
      </c>
      <c r="M32" s="3050" t="s">
        <v>3000</v>
      </c>
      <c r="N32" s="3050" t="s">
        <v>3001</v>
      </c>
      <c r="O32" s="3050" t="s">
        <v>3002</v>
      </c>
      <c r="P32" s="3050" t="s">
        <v>3003</v>
      </c>
      <c r="Q32" s="3051" t="s">
        <v>3004</v>
      </c>
      <c r="R32" s="3173" t="s">
        <v>3005</v>
      </c>
      <c r="S32" s="3122"/>
      <c r="T32" s="3041"/>
      <c r="U32" s="3041"/>
      <c r="V32" s="3149"/>
    </row>
    <row r="33" spans="1:23" s="3053" customFormat="1" ht="13.15" customHeight="1">
      <c r="A33" s="3131"/>
      <c r="B33" s="3132"/>
      <c r="C33" s="3133"/>
      <c r="D33" s="3174"/>
      <c r="E33" s="3175"/>
      <c r="F33" s="3136"/>
      <c r="G33" s="3130"/>
      <c r="H33" s="3158"/>
      <c r="I33" s="3149"/>
      <c r="J33" s="3458" t="s">
        <v>3008</v>
      </c>
      <c r="K33" s="3459"/>
      <c r="L33" s="3056"/>
      <c r="M33" s="3056"/>
      <c r="N33" s="3056"/>
      <c r="O33" s="3056"/>
      <c r="P33" s="3056"/>
      <c r="Q33" s="3057"/>
      <c r="R33" s="3176">
        <f>SUM(L33:Q33)</f>
        <v>0</v>
      </c>
      <c r="S33" s="3122"/>
      <c r="T33" s="3041"/>
      <c r="U33" s="3041"/>
      <c r="V33" s="3049"/>
    </row>
    <row r="34" spans="1:23" s="3053" customFormat="1" ht="13.15" customHeight="1">
      <c r="A34" s="3131">
        <v>5</v>
      </c>
      <c r="B34" s="3132" t="s">
        <v>3107</v>
      </c>
      <c r="C34" s="3177"/>
      <c r="D34" s="3178"/>
      <c r="E34" s="3179"/>
      <c r="F34" s="3136"/>
      <c r="G34" s="3130"/>
      <c r="H34" s="3158"/>
      <c r="I34" s="3149"/>
      <c r="J34" s="3458" t="s">
        <v>3010</v>
      </c>
      <c r="K34" s="3459"/>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3108</v>
      </c>
      <c r="C35" s="3181"/>
      <c r="D35" s="3182"/>
      <c r="E35" s="3183"/>
      <c r="F35" s="3136"/>
      <c r="G35" s="3184"/>
      <c r="H35" s="3048"/>
      <c r="I35" s="3149"/>
      <c r="J35" s="3067" t="s">
        <v>3012</v>
      </c>
      <c r="K35" s="3068"/>
      <c r="L35" s="3068"/>
      <c r="M35" s="3069"/>
      <c r="N35" s="3069"/>
      <c r="O35" s="3069"/>
      <c r="P35" s="3069"/>
      <c r="Q35" s="3069"/>
      <c r="R35" s="3185">
        <f>R40+R41+R43</f>
        <v>0</v>
      </c>
      <c r="S35" s="3122"/>
      <c r="T35" s="3041" t="s">
        <v>3013</v>
      </c>
      <c r="U35" s="3041"/>
      <c r="V35" s="3049"/>
    </row>
    <row r="36" spans="1:23" s="3053" customFormat="1" ht="13.15" customHeight="1" thickBot="1">
      <c r="A36" s="3131">
        <v>7</v>
      </c>
      <c r="B36" s="3186" t="s">
        <v>3109</v>
      </c>
      <c r="C36" s="3187"/>
      <c r="D36" s="3188"/>
      <c r="E36" s="3189"/>
      <c r="F36" s="3190">
        <f>C36+D36+E36</f>
        <v>0</v>
      </c>
      <c r="G36" s="3130"/>
      <c r="H36" s="3048"/>
      <c r="I36" s="3049"/>
      <c r="J36" s="3450">
        <v>1</v>
      </c>
      <c r="K36" s="3451" t="s">
        <v>3110</v>
      </c>
      <c r="L36" s="3074"/>
      <c r="M36" s="3075"/>
      <c r="N36" s="3075"/>
      <c r="O36" s="3075"/>
      <c r="P36" s="3075"/>
      <c r="Q36" s="3075"/>
      <c r="R36" s="3058" t="s">
        <v>3022</v>
      </c>
      <c r="S36" s="3122"/>
      <c r="T36" s="3041" t="s">
        <v>3023</v>
      </c>
      <c r="U36" s="3041"/>
      <c r="V36" s="3049"/>
    </row>
    <row r="37" spans="1:23" s="3053" customFormat="1" ht="13.15" customHeight="1">
      <c r="A37" s="3131"/>
      <c r="B37" s="3132"/>
      <c r="C37" s="3132"/>
      <c r="D37" s="3132"/>
      <c r="E37" s="3132"/>
      <c r="F37" s="3136"/>
      <c r="G37" s="3130"/>
      <c r="H37" s="3048"/>
      <c r="I37" s="3049"/>
      <c r="J37" s="3450"/>
      <c r="K37" s="3452"/>
      <c r="L37" s="3083"/>
      <c r="M37" s="3084"/>
      <c r="N37" s="3060"/>
      <c r="O37" s="3085"/>
      <c r="P37" s="3085"/>
      <c r="Q37" s="3086"/>
      <c r="R37" s="3087"/>
      <c r="S37" s="3122"/>
      <c r="T37" s="3041" t="s">
        <v>3026</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50"/>
      <c r="K38" s="3452"/>
      <c r="L38" s="3083"/>
      <c r="M38" s="3084"/>
      <c r="N38" s="3060"/>
      <c r="O38" s="3085"/>
      <c r="P38" s="3085"/>
      <c r="Q38" s="3086"/>
      <c r="R38" s="3087"/>
      <c r="S38" s="3122"/>
      <c r="T38" s="3041" t="s">
        <v>3033</v>
      </c>
      <c r="U38" s="3041"/>
      <c r="V38" s="3049"/>
    </row>
    <row r="39" spans="1:23" s="3053" customFormat="1" ht="13.15" customHeight="1">
      <c r="A39" s="3131">
        <v>9</v>
      </c>
      <c r="B39" s="3132" t="s">
        <v>3111</v>
      </c>
      <c r="C39" s="3097" t="e">
        <f>C38</f>
        <v>#DIV/0!</v>
      </c>
      <c r="D39" s="3132">
        <f>D38/(1+D34)^C36</f>
        <v>0</v>
      </c>
      <c r="E39" s="3132">
        <f>E38/(1+E34)^(C36+D36)</f>
        <v>0</v>
      </c>
      <c r="F39" s="3136"/>
      <c r="G39" s="3191"/>
      <c r="H39" s="3048"/>
      <c r="I39" s="3049"/>
      <c r="J39" s="3450"/>
      <c r="K39" s="3452"/>
      <c r="L39" s="3083"/>
      <c r="M39" s="3084"/>
      <c r="N39" s="3060"/>
      <c r="O39" s="3085"/>
      <c r="P39" s="3085"/>
      <c r="Q39" s="3086"/>
      <c r="R39" s="3087"/>
      <c r="S39" s="3122"/>
      <c r="T39" s="3041"/>
      <c r="U39" s="3041"/>
      <c r="V39" s="3049"/>
    </row>
    <row r="40" spans="1:23" s="3053" customFormat="1" ht="13.15" customHeight="1">
      <c r="A40" s="3192">
        <v>10</v>
      </c>
      <c r="B40" s="3132" t="s">
        <v>3112</v>
      </c>
      <c r="C40" s="3193" t="e">
        <f>C39+D39+E39</f>
        <v>#DIV/0!</v>
      </c>
      <c r="D40" s="3194"/>
      <c r="E40" s="3194"/>
      <c r="F40" s="3195"/>
      <c r="G40" s="3130"/>
      <c r="H40" s="3048"/>
      <c r="I40" s="3049"/>
      <c r="J40" s="3450"/>
      <c r="K40" s="3453"/>
      <c r="L40" s="3103" t="s">
        <v>3051</v>
      </c>
      <c r="M40" s="3104"/>
      <c r="N40" s="3104"/>
      <c r="O40" s="3105"/>
      <c r="P40" s="3105"/>
      <c r="Q40" s="3106"/>
      <c r="R40" s="3052">
        <f>SUM(R37:R39)</f>
        <v>0</v>
      </c>
      <c r="S40" s="3122"/>
      <c r="T40" s="3041"/>
      <c r="U40" s="3041"/>
      <c r="V40" s="3049"/>
    </row>
    <row r="41" spans="1:23" s="3053" customFormat="1" ht="13.15" customHeight="1" thickBot="1">
      <c r="A41" s="3196">
        <v>11</v>
      </c>
      <c r="B41" s="3197" t="s">
        <v>3113</v>
      </c>
      <c r="C41" s="3197" t="e">
        <f>ROUND(C40*10000/B4,0)</f>
        <v>#DIV/0!</v>
      </c>
      <c r="D41" s="3198"/>
      <c r="E41" s="3198"/>
      <c r="F41" s="3199"/>
      <c r="G41" s="3200"/>
      <c r="H41" s="3048"/>
      <c r="I41" s="3049"/>
      <c r="J41" s="3144">
        <v>2</v>
      </c>
      <c r="K41" s="3145" t="s">
        <v>3091</v>
      </c>
      <c r="L41" s="3146"/>
      <c r="M41" s="3146"/>
      <c r="N41" s="3146"/>
      <c r="O41" s="3146"/>
      <c r="P41" s="3147"/>
      <c r="Q41" s="3148"/>
      <c r="R41" s="3119">
        <f>ROUND(R40*Q41,0)</f>
        <v>0</v>
      </c>
      <c r="S41" s="3122"/>
      <c r="T41" s="3041"/>
      <c r="U41" s="3156"/>
      <c r="V41" s="3049"/>
    </row>
    <row r="42" spans="1:23" s="3053" customFormat="1" ht="13.15" customHeight="1">
      <c r="G42" s="3200"/>
      <c r="H42" s="3048"/>
      <c r="I42" s="3049"/>
      <c r="J42" s="3454">
        <v>3</v>
      </c>
      <c r="K42" s="3151" t="s">
        <v>3093</v>
      </c>
      <c r="L42" s="3152"/>
      <c r="M42" s="3153"/>
      <c r="N42" s="3154" t="s">
        <v>3094</v>
      </c>
      <c r="O42" s="3154" t="s">
        <v>3095</v>
      </c>
      <c r="P42" s="3155" t="s">
        <v>3096</v>
      </c>
      <c r="Q42" s="3155" t="s">
        <v>3097</v>
      </c>
      <c r="R42" s="3058" t="s">
        <v>3022</v>
      </c>
      <c r="S42" s="3156"/>
      <c r="T42" s="3156"/>
      <c r="U42" s="3041"/>
      <c r="V42" s="3049"/>
    </row>
    <row r="43" spans="1:23" ht="13.15" customHeight="1">
      <c r="A43" s="3053"/>
      <c r="B43" s="3053"/>
      <c r="C43" s="3053"/>
      <c r="D43" s="3053"/>
      <c r="E43" s="3053"/>
      <c r="F43" s="3053"/>
      <c r="I43" s="3036"/>
      <c r="J43" s="3455"/>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3100</v>
      </c>
      <c r="L44" s="3204" t="s">
        <v>3101</v>
      </c>
      <c r="M44" s="3167"/>
      <c r="N44" s="3204" t="s">
        <v>3102</v>
      </c>
      <c r="O44" s="3167"/>
      <c r="P44" s="3204" t="s">
        <v>3103</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34"/>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95786</v>
      </c>
      <c r="C2" s="2027" t="s">
        <v>2280</v>
      </c>
      <c r="D2" s="2028" t="s">
        <v>2281</v>
      </c>
      <c r="E2" s="2802">
        <f>SUM(E6:E13)</f>
        <v>171669.99</v>
      </c>
      <c r="F2" s="2905"/>
      <c r="G2" s="1643"/>
      <c r="H2" s="1643"/>
      <c r="I2" s="1643"/>
      <c r="J2" s="1643"/>
      <c r="K2" s="1643"/>
      <c r="L2" s="1643"/>
      <c r="M2" s="1643"/>
      <c r="N2" s="1643"/>
      <c r="O2" s="1643"/>
      <c r="P2" s="1643"/>
      <c r="Q2" s="1643"/>
      <c r="R2" s="1643"/>
      <c r="S2" s="1643"/>
    </row>
    <row r="3" spans="1:22" ht="15.75">
      <c r="A3" s="2025" t="s">
        <v>1300</v>
      </c>
      <c r="B3" s="2796">
        <f ca="1">ROUND(B2*10000/E2,0)</f>
        <v>5580</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469" t="s">
        <v>2283</v>
      </c>
      <c r="C5" s="3470"/>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95786</v>
      </c>
      <c r="C6" s="2027" t="s">
        <v>2280</v>
      </c>
      <c r="D6" s="2907"/>
      <c r="E6" s="2801">
        <f>IF(OR(A6=0,F6="否"),0,'数据-取费表'!K6+'数据-取费表'!S6)</f>
        <v>171669.99</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171669.99</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06" t="s">
        <v>2297</v>
      </c>
      <c r="D4" s="3419"/>
      <c r="E4" s="3420" t="s">
        <v>2298</v>
      </c>
      <c r="F4" s="3421"/>
      <c r="G4" s="3406" t="s">
        <v>2299</v>
      </c>
      <c r="H4" s="3419"/>
      <c r="I4" s="3406" t="s">
        <v>2300</v>
      </c>
      <c r="J4" s="3419"/>
      <c r="K4" s="2044" t="s">
        <v>2301</v>
      </c>
      <c r="L4" s="2913"/>
      <c r="M4" s="2914"/>
      <c r="N4" s="2914"/>
      <c r="O4" s="2914"/>
      <c r="P4" s="3422" t="s">
        <v>2302</v>
      </c>
      <c r="Q4" s="3423"/>
      <c r="R4" s="3428" t="s">
        <v>2298</v>
      </c>
      <c r="S4" s="3429"/>
      <c r="T4" s="3428" t="s">
        <v>2299</v>
      </c>
      <c r="U4" s="3429"/>
      <c r="V4" s="3415" t="s">
        <v>2300</v>
      </c>
      <c r="W4" s="3415"/>
      <c r="X4" s="1508"/>
      <c r="Y4" s="3428" t="s">
        <v>2302</v>
      </c>
      <c r="Z4" s="3429"/>
      <c r="AA4" s="3416" t="s">
        <v>2298</v>
      </c>
      <c r="AB4" s="3416" t="s">
        <v>2299</v>
      </c>
      <c r="AC4" s="3416" t="s">
        <v>2300</v>
      </c>
    </row>
    <row r="5" spans="1:29" ht="15">
      <c r="A5" s="364"/>
      <c r="B5" s="365"/>
      <c r="C5" s="3436" t="s">
        <v>2303</v>
      </c>
      <c r="D5" s="3437"/>
      <c r="E5" s="3443" t="s">
        <v>2304</v>
      </c>
      <c r="F5" s="3444"/>
      <c r="G5" s="3436" t="s">
        <v>2305</v>
      </c>
      <c r="H5" s="3437"/>
      <c r="I5" s="3436" t="s">
        <v>2306</v>
      </c>
      <c r="J5" s="3437"/>
      <c r="K5" s="2045"/>
      <c r="L5" s="2913"/>
      <c r="M5" s="2914"/>
      <c r="N5" s="2914"/>
      <c r="O5" s="2914"/>
      <c r="P5" s="3424"/>
      <c r="Q5" s="3425"/>
      <c r="R5" s="3430"/>
      <c r="S5" s="3431"/>
      <c r="T5" s="3430"/>
      <c r="U5" s="3431"/>
      <c r="V5" s="3415"/>
      <c r="W5" s="3415"/>
      <c r="X5" s="1508"/>
      <c r="Y5" s="3430"/>
      <c r="Z5" s="3431"/>
      <c r="AA5" s="3417"/>
      <c r="AB5" s="3417"/>
      <c r="AC5" s="3417"/>
    </row>
    <row r="6" spans="1:29" ht="15.75" thickBot="1">
      <c r="A6" s="366"/>
      <c r="B6" s="367"/>
      <c r="C6" s="3434" t="s">
        <v>2307</v>
      </c>
      <c r="D6" s="3435"/>
      <c r="E6" s="3441" t="s">
        <v>2307</v>
      </c>
      <c r="F6" s="3442"/>
      <c r="G6" s="3434" t="s">
        <v>2307</v>
      </c>
      <c r="H6" s="3435"/>
      <c r="I6" s="3434" t="s">
        <v>2307</v>
      </c>
      <c r="J6" s="3435"/>
      <c r="K6" s="2045" t="s">
        <v>2308</v>
      </c>
      <c r="L6" s="2913"/>
      <c r="M6" s="2914"/>
      <c r="N6" s="2914"/>
      <c r="O6" s="2914"/>
      <c r="P6" s="3426"/>
      <c r="Q6" s="3427"/>
      <c r="R6" s="3430"/>
      <c r="S6" s="3431"/>
      <c r="T6" s="3432"/>
      <c r="U6" s="3433"/>
      <c r="V6" s="3415"/>
      <c r="W6" s="3415"/>
      <c r="X6" s="1508"/>
      <c r="Y6" s="3432"/>
      <c r="Z6" s="3433"/>
      <c r="AA6" s="3418"/>
      <c r="AB6" s="3418"/>
      <c r="AC6" s="3418"/>
    </row>
    <row r="7" spans="1:29" s="113" customFormat="1" ht="15.75" thickBot="1">
      <c r="A7" s="368" t="s">
        <v>2309</v>
      </c>
      <c r="B7" s="369"/>
      <c r="C7" s="370">
        <f>'数据-取费表'!B2</f>
        <v>44662</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38" t="s">
        <v>2310</v>
      </c>
      <c r="Q7" s="3440"/>
      <c r="R7" s="710" t="s">
        <v>23</v>
      </c>
      <c r="S7" s="711">
        <f t="shared" ref="S7:S15" si="0">F7</f>
        <v>0</v>
      </c>
      <c r="T7" s="710" t="s">
        <v>23</v>
      </c>
      <c r="U7" s="711">
        <f t="shared" ref="U7:U15" si="1">H7</f>
        <v>0</v>
      </c>
      <c r="V7" s="710" t="s">
        <v>23</v>
      </c>
      <c r="W7" s="711">
        <f t="shared" ref="W7:W15" si="2">J7</f>
        <v>0</v>
      </c>
      <c r="X7" s="712"/>
      <c r="Y7" s="3438" t="s">
        <v>2310</v>
      </c>
      <c r="Z7" s="3439"/>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38" t="s">
        <v>2313</v>
      </c>
      <c r="Q8" s="3439"/>
      <c r="R8" s="710" t="s">
        <v>23</v>
      </c>
      <c r="S8" s="711">
        <f t="shared" si="0"/>
        <v>0</v>
      </c>
      <c r="T8" s="710" t="s">
        <v>23</v>
      </c>
      <c r="U8" s="711">
        <f t="shared" si="1"/>
        <v>0</v>
      </c>
      <c r="V8" s="710" t="s">
        <v>23</v>
      </c>
      <c r="W8" s="711">
        <f t="shared" si="2"/>
        <v>0</v>
      </c>
      <c r="X8" s="712"/>
      <c r="Y8" s="3438" t="s">
        <v>2313</v>
      </c>
      <c r="Z8" s="3439"/>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08" t="s">
        <v>2316</v>
      </c>
      <c r="Q9" s="1496"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08"/>
      <c r="Q10" s="1496"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08"/>
      <c r="Q11" s="1496" t="str">
        <f t="shared" si="6"/>
        <v>容积率</v>
      </c>
      <c r="R11" s="710" t="s">
        <v>21</v>
      </c>
      <c r="S11" s="711" t="e">
        <f t="shared" si="0"/>
        <v>#N/A</v>
      </c>
      <c r="T11" s="710" t="s">
        <v>21</v>
      </c>
      <c r="U11" s="711" t="e">
        <f t="shared" si="1"/>
        <v>#N/A</v>
      </c>
      <c r="V11" s="710" t="s">
        <v>21</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08"/>
      <c r="Q12" s="1496">
        <f t="shared" si="6"/>
        <v>111</v>
      </c>
      <c r="R12" s="710" t="s">
        <v>21</v>
      </c>
      <c r="S12" s="711">
        <f t="shared" si="0"/>
        <v>100</v>
      </c>
      <c r="T12" s="710" t="s">
        <v>21</v>
      </c>
      <c r="U12" s="711">
        <f t="shared" si="1"/>
        <v>100</v>
      </c>
      <c r="V12" s="710" t="s">
        <v>21</v>
      </c>
      <c r="W12" s="711">
        <f t="shared" si="2"/>
        <v>100</v>
      </c>
      <c r="X12" s="712"/>
      <c r="Y12" s="330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08"/>
      <c r="Q13" s="1496">
        <f t="shared" si="6"/>
        <v>111</v>
      </c>
      <c r="R13" s="710" t="s">
        <v>21</v>
      </c>
      <c r="S13" s="711">
        <f t="shared" si="0"/>
        <v>100</v>
      </c>
      <c r="T13" s="710" t="s">
        <v>21</v>
      </c>
      <c r="U13" s="711">
        <f t="shared" si="1"/>
        <v>100</v>
      </c>
      <c r="V13" s="710" t="s">
        <v>21</v>
      </c>
      <c r="W13" s="711">
        <f t="shared" si="2"/>
        <v>100</v>
      </c>
      <c r="X13" s="712"/>
      <c r="Y13" s="3303"/>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08"/>
      <c r="Q14" s="1496">
        <f t="shared" si="6"/>
        <v>111</v>
      </c>
      <c r="R14" s="710" t="s">
        <v>21</v>
      </c>
      <c r="S14" s="711">
        <f t="shared" si="0"/>
        <v>100</v>
      </c>
      <c r="T14" s="710" t="s">
        <v>21</v>
      </c>
      <c r="U14" s="711">
        <f t="shared" si="1"/>
        <v>100</v>
      </c>
      <c r="V14" s="710" t="s">
        <v>21</v>
      </c>
      <c r="W14" s="711">
        <f t="shared" si="2"/>
        <v>100</v>
      </c>
      <c r="X14" s="712"/>
      <c r="Y14" s="3303"/>
      <c r="Z14" s="55">
        <f t="shared" si="7"/>
        <v>111</v>
      </c>
      <c r="AA14" s="713">
        <f t="shared" si="3"/>
        <v>1</v>
      </c>
      <c r="AB14" s="713">
        <f t="shared" si="4"/>
        <v>1</v>
      </c>
      <c r="AC14" s="713">
        <f t="shared" si="5"/>
        <v>1</v>
      </c>
    </row>
    <row r="15" spans="1:29" ht="15">
      <c r="A15" s="399" t="s">
        <v>2320</v>
      </c>
      <c r="B15" s="65" t="s">
        <v>1883</v>
      </c>
      <c r="C15" s="205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77" t="s">
        <v>2321</v>
      </c>
      <c r="Q15" s="1505" t="str">
        <f t="shared" si="6"/>
        <v>居住社区成熟度</v>
      </c>
      <c r="R15" s="714" t="s">
        <v>21</v>
      </c>
      <c r="S15" s="715">
        <f t="shared" si="0"/>
        <v>100</v>
      </c>
      <c r="T15" s="714" t="s">
        <v>21</v>
      </c>
      <c r="U15" s="715">
        <f t="shared" si="1"/>
        <v>100</v>
      </c>
      <c r="V15" s="714" t="s">
        <v>21</v>
      </c>
      <c r="W15" s="715">
        <f t="shared" si="2"/>
        <v>100</v>
      </c>
      <c r="X15" s="1508"/>
      <c r="Y15" s="3411"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478"/>
      <c r="Q16" s="1505"/>
      <c r="R16" s="714"/>
      <c r="S16" s="715"/>
      <c r="T16" s="714"/>
      <c r="U16" s="715"/>
      <c r="V16" s="714"/>
      <c r="W16" s="715"/>
      <c r="X16" s="1508"/>
      <c r="Y16" s="3412"/>
      <c r="Z16" s="1509"/>
      <c r="AA16" s="1506">
        <v>1</v>
      </c>
      <c r="AB16" s="1506">
        <v>1</v>
      </c>
      <c r="AC16" s="1506">
        <v>1</v>
      </c>
    </row>
    <row r="17" spans="1:29" ht="15">
      <c r="A17" s="387"/>
      <c r="B17" s="410" t="s">
        <v>1885</v>
      </c>
      <c r="C17" s="2055">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78"/>
      <c r="Q17" s="1505" t="str">
        <f>B17</f>
        <v>交通便捷度</v>
      </c>
      <c r="R17" s="714" t="s">
        <v>21</v>
      </c>
      <c r="S17" s="715">
        <f>F17</f>
        <v>100</v>
      </c>
      <c r="T17" s="714" t="s">
        <v>21</v>
      </c>
      <c r="U17" s="715">
        <f>H17</f>
        <v>100</v>
      </c>
      <c r="V17" s="714" t="s">
        <v>21</v>
      </c>
      <c r="W17" s="715">
        <f>J17</f>
        <v>100</v>
      </c>
      <c r="X17" s="1508"/>
      <c r="Y17" s="3412"/>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478"/>
      <c r="Q18" s="1505"/>
      <c r="R18" s="714"/>
      <c r="S18" s="715"/>
      <c r="T18" s="714"/>
      <c r="U18" s="715"/>
      <c r="V18" s="714"/>
      <c r="W18" s="715"/>
      <c r="X18" s="1508"/>
      <c r="Y18" s="3412"/>
      <c r="Z18" s="1509"/>
      <c r="AA18" s="1506">
        <v>1</v>
      </c>
      <c r="AB18" s="1506">
        <v>1</v>
      </c>
      <c r="AC18" s="1506">
        <v>1</v>
      </c>
    </row>
    <row r="19" spans="1:29" ht="15">
      <c r="A19" s="387"/>
      <c r="B19" s="410" t="s">
        <v>1884</v>
      </c>
      <c r="C19" s="2055">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78"/>
      <c r="Q19" s="1505" t="str">
        <f>B19</f>
        <v>公共配套设施</v>
      </c>
      <c r="R19" s="714" t="s">
        <v>21</v>
      </c>
      <c r="S19" s="715">
        <f>F19</f>
        <v>100</v>
      </c>
      <c r="T19" s="714" t="s">
        <v>21</v>
      </c>
      <c r="U19" s="715">
        <f>H19</f>
        <v>100</v>
      </c>
      <c r="V19" s="714" t="s">
        <v>21</v>
      </c>
      <c r="W19" s="715">
        <f>J19</f>
        <v>100</v>
      </c>
      <c r="X19" s="1508"/>
      <c r="Y19" s="3412"/>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478"/>
      <c r="Q20" s="1505"/>
      <c r="R20" s="714"/>
      <c r="S20" s="715"/>
      <c r="T20" s="714"/>
      <c r="U20" s="715"/>
      <c r="V20" s="714"/>
      <c r="W20" s="715"/>
      <c r="X20" s="1508"/>
      <c r="Y20" s="3412"/>
      <c r="Z20" s="1509"/>
      <c r="AA20" s="1506">
        <v>1</v>
      </c>
      <c r="AB20" s="1506">
        <v>1</v>
      </c>
      <c r="AC20" s="1506">
        <v>1</v>
      </c>
    </row>
    <row r="21" spans="1:29" ht="15">
      <c r="A21" s="387"/>
      <c r="B21" s="1265" t="s">
        <v>1886</v>
      </c>
      <c r="C21" s="2055">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78"/>
      <c r="Q21" s="1505" t="str">
        <f>B21</f>
        <v>基础设施水平</v>
      </c>
      <c r="R21" s="714" t="s">
        <v>17</v>
      </c>
      <c r="S21" s="715">
        <f>F21</f>
        <v>100</v>
      </c>
      <c r="T21" s="714" t="s">
        <v>17</v>
      </c>
      <c r="U21" s="715">
        <f>H21</f>
        <v>100</v>
      </c>
      <c r="V21" s="714" t="s">
        <v>17</v>
      </c>
      <c r="W21" s="715">
        <f>J21</f>
        <v>100</v>
      </c>
      <c r="X21" s="1508"/>
      <c r="Y21" s="3412"/>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478"/>
      <c r="Q22" s="1505"/>
      <c r="R22" s="714"/>
      <c r="S22" s="715"/>
      <c r="T22" s="714"/>
      <c r="U22" s="715"/>
      <c r="V22" s="714"/>
      <c r="W22" s="715"/>
      <c r="X22" s="1508"/>
      <c r="Y22" s="3412"/>
      <c r="Z22" s="1509"/>
      <c r="AA22" s="1506">
        <v>1</v>
      </c>
      <c r="AB22" s="1506">
        <v>1</v>
      </c>
      <c r="AC22" s="1506">
        <v>1</v>
      </c>
    </row>
    <row r="23" spans="1:29" ht="15">
      <c r="A23" s="387"/>
      <c r="B23" s="410" t="s">
        <v>1887</v>
      </c>
      <c r="C23" s="2055">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78"/>
      <c r="Q23" s="1505" t="str">
        <f>B23</f>
        <v>自然及人文环境</v>
      </c>
      <c r="R23" s="714" t="s">
        <v>21</v>
      </c>
      <c r="S23" s="715">
        <f>F23</f>
        <v>100</v>
      </c>
      <c r="T23" s="714" t="s">
        <v>21</v>
      </c>
      <c r="U23" s="715">
        <f>H23</f>
        <v>100</v>
      </c>
      <c r="V23" s="714" t="s">
        <v>21</v>
      </c>
      <c r="W23" s="715">
        <f>J23</f>
        <v>100</v>
      </c>
      <c r="X23" s="1508"/>
      <c r="Y23" s="3412"/>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478"/>
      <c r="Q24" s="1505"/>
      <c r="R24" s="714"/>
      <c r="S24" s="715"/>
      <c r="T24" s="714"/>
      <c r="U24" s="715"/>
      <c r="V24" s="714"/>
      <c r="W24" s="715"/>
      <c r="X24" s="1508"/>
      <c r="Y24" s="3412"/>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478"/>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12"/>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478"/>
      <c r="Q26" s="1505" t="str">
        <f t="shared" si="11"/>
        <v>朝向</v>
      </c>
      <c r="R26" s="714" t="s">
        <v>21</v>
      </c>
      <c r="S26" s="715">
        <f t="shared" si="12"/>
        <v>100</v>
      </c>
      <c r="T26" s="714" t="s">
        <v>21</v>
      </c>
      <c r="U26" s="715">
        <f t="shared" si="13"/>
        <v>100</v>
      </c>
      <c r="V26" s="714" t="s">
        <v>21</v>
      </c>
      <c r="W26" s="715">
        <f t="shared" si="14"/>
        <v>100</v>
      </c>
      <c r="X26" s="1508"/>
      <c r="Y26" s="3412"/>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78"/>
      <c r="Q27" s="1496">
        <f t="shared" si="11"/>
        <v>111</v>
      </c>
      <c r="R27" s="710" t="s">
        <v>21</v>
      </c>
      <c r="S27" s="711">
        <f t="shared" si="12"/>
        <v>100</v>
      </c>
      <c r="T27" s="710" t="s">
        <v>21</v>
      </c>
      <c r="U27" s="711">
        <f t="shared" si="13"/>
        <v>100</v>
      </c>
      <c r="V27" s="710" t="s">
        <v>21</v>
      </c>
      <c r="W27" s="711">
        <f t="shared" si="14"/>
        <v>100</v>
      </c>
      <c r="X27" s="712"/>
      <c r="Y27" s="3412"/>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78"/>
      <c r="Q28" s="1505">
        <f t="shared" si="11"/>
        <v>111</v>
      </c>
      <c r="R28" s="714" t="s">
        <v>21</v>
      </c>
      <c r="S28" s="715">
        <f t="shared" si="12"/>
        <v>100</v>
      </c>
      <c r="T28" s="714" t="s">
        <v>21</v>
      </c>
      <c r="U28" s="715">
        <f t="shared" si="13"/>
        <v>100</v>
      </c>
      <c r="V28" s="714" t="s">
        <v>21</v>
      </c>
      <c r="W28" s="715">
        <f t="shared" si="14"/>
        <v>100</v>
      </c>
      <c r="X28" s="1508"/>
      <c r="Y28" s="3412"/>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78"/>
      <c r="Q29" s="1505">
        <f t="shared" si="11"/>
        <v>111</v>
      </c>
      <c r="R29" s="714" t="s">
        <v>21</v>
      </c>
      <c r="S29" s="715">
        <f t="shared" si="12"/>
        <v>100</v>
      </c>
      <c r="T29" s="714" t="s">
        <v>21</v>
      </c>
      <c r="U29" s="715">
        <f t="shared" si="13"/>
        <v>100</v>
      </c>
      <c r="V29" s="714" t="s">
        <v>21</v>
      </c>
      <c r="W29" s="715">
        <f t="shared" si="14"/>
        <v>100</v>
      </c>
      <c r="X29" s="1508"/>
      <c r="Y29" s="3412"/>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78"/>
      <c r="Q30" s="1505">
        <f t="shared" si="11"/>
        <v>111</v>
      </c>
      <c r="R30" s="714" t="s">
        <v>21</v>
      </c>
      <c r="S30" s="715">
        <f t="shared" si="12"/>
        <v>100</v>
      </c>
      <c r="T30" s="714" t="s">
        <v>21</v>
      </c>
      <c r="U30" s="715">
        <f t="shared" si="13"/>
        <v>100</v>
      </c>
      <c r="V30" s="714" t="s">
        <v>21</v>
      </c>
      <c r="W30" s="715">
        <f t="shared" si="14"/>
        <v>100</v>
      </c>
      <c r="X30" s="1508"/>
      <c r="Y30" s="3412"/>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78"/>
      <c r="Q31" s="1505">
        <f t="shared" si="11"/>
        <v>111</v>
      </c>
      <c r="R31" s="714" t="s">
        <v>21</v>
      </c>
      <c r="S31" s="715">
        <f t="shared" si="12"/>
        <v>100</v>
      </c>
      <c r="T31" s="714" t="s">
        <v>21</v>
      </c>
      <c r="U31" s="715">
        <f t="shared" si="13"/>
        <v>100</v>
      </c>
      <c r="V31" s="714" t="s">
        <v>21</v>
      </c>
      <c r="W31" s="715">
        <f t="shared" si="14"/>
        <v>100</v>
      </c>
      <c r="X31" s="1508"/>
      <c r="Y31" s="3412"/>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73" t="s">
        <v>2326</v>
      </c>
      <c r="Q32" s="1505" t="str">
        <f t="shared" si="11"/>
        <v>建筑类型</v>
      </c>
      <c r="R32" s="714" t="s">
        <v>21</v>
      </c>
      <c r="S32" s="715">
        <f t="shared" si="12"/>
        <v>100</v>
      </c>
      <c r="T32" s="714" t="s">
        <v>21</v>
      </c>
      <c r="U32" s="715">
        <f t="shared" si="13"/>
        <v>100</v>
      </c>
      <c r="V32" s="714" t="s">
        <v>21</v>
      </c>
      <c r="W32" s="715">
        <f t="shared" si="14"/>
        <v>100</v>
      </c>
      <c r="X32" s="1508"/>
      <c r="Y32" s="3414"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74"/>
      <c r="Q33" s="716" t="str">
        <f t="shared" si="11"/>
        <v>项目建筑规模</v>
      </c>
      <c r="R33" s="717" t="s">
        <v>21</v>
      </c>
      <c r="S33" s="718" t="e">
        <f t="shared" si="12"/>
        <v>#N/A</v>
      </c>
      <c r="T33" s="717" t="s">
        <v>21</v>
      </c>
      <c r="U33" s="718" t="e">
        <f t="shared" si="13"/>
        <v>#N/A</v>
      </c>
      <c r="V33" s="717" t="s">
        <v>21</v>
      </c>
      <c r="W33" s="718" t="e">
        <f t="shared" si="14"/>
        <v>#N/A</v>
      </c>
      <c r="X33" s="719"/>
      <c r="Y33" s="3414"/>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74"/>
      <c r="Q34" s="1505" t="str">
        <f t="shared" si="11"/>
        <v>建筑结构</v>
      </c>
      <c r="R34" s="714" t="s">
        <v>21</v>
      </c>
      <c r="S34" s="715">
        <f t="shared" si="12"/>
        <v>100</v>
      </c>
      <c r="T34" s="714" t="s">
        <v>21</v>
      </c>
      <c r="U34" s="715">
        <f t="shared" si="13"/>
        <v>100</v>
      </c>
      <c r="V34" s="714" t="s">
        <v>21</v>
      </c>
      <c r="W34" s="715">
        <f t="shared" si="14"/>
        <v>100</v>
      </c>
      <c r="X34" s="1508"/>
      <c r="Y34" s="3414"/>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74"/>
      <c r="Q35" s="1505" t="str">
        <f t="shared" si="11"/>
        <v>建筑品质</v>
      </c>
      <c r="R35" s="714" t="s">
        <v>21</v>
      </c>
      <c r="S35" s="715">
        <f t="shared" si="12"/>
        <v>100</v>
      </c>
      <c r="T35" s="714" t="s">
        <v>21</v>
      </c>
      <c r="U35" s="715">
        <f t="shared" si="13"/>
        <v>100</v>
      </c>
      <c r="V35" s="714" t="s">
        <v>21</v>
      </c>
      <c r="W35" s="715">
        <f t="shared" si="14"/>
        <v>100</v>
      </c>
      <c r="X35" s="1508"/>
      <c r="Y35" s="3414"/>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74"/>
      <c r="Q36" s="1505" t="str">
        <f t="shared" si="11"/>
        <v>公共部分装修</v>
      </c>
      <c r="R36" s="714" t="s">
        <v>21</v>
      </c>
      <c r="S36" s="715">
        <f t="shared" si="12"/>
        <v>100</v>
      </c>
      <c r="T36" s="714" t="s">
        <v>21</v>
      </c>
      <c r="U36" s="715">
        <f t="shared" si="13"/>
        <v>100</v>
      </c>
      <c r="V36" s="714" t="s">
        <v>21</v>
      </c>
      <c r="W36" s="715">
        <f t="shared" si="14"/>
        <v>100</v>
      </c>
      <c r="X36" s="1508"/>
      <c r="Y36" s="3414"/>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74"/>
      <c r="Q37" s="1496" t="str">
        <f t="shared" si="11"/>
        <v>成新度</v>
      </c>
      <c r="R37" s="710" t="s">
        <v>21</v>
      </c>
      <c r="S37" s="711" t="e">
        <f t="shared" si="12"/>
        <v>#N/A</v>
      </c>
      <c r="T37" s="710" t="s">
        <v>21</v>
      </c>
      <c r="U37" s="711" t="e">
        <f t="shared" si="13"/>
        <v>#N/A</v>
      </c>
      <c r="V37" s="710" t="s">
        <v>21</v>
      </c>
      <c r="W37" s="711" t="e">
        <f t="shared" si="14"/>
        <v>#N/A</v>
      </c>
      <c r="X37" s="712"/>
      <c r="Y37" s="3414"/>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74" t="s">
        <v>2326</v>
      </c>
      <c r="Q38" s="1505" t="str">
        <f t="shared" si="11"/>
        <v>物业管理</v>
      </c>
      <c r="R38" s="714" t="s">
        <v>21</v>
      </c>
      <c r="S38" s="715">
        <f t="shared" si="12"/>
        <v>100</v>
      </c>
      <c r="T38" s="714" t="s">
        <v>21</v>
      </c>
      <c r="U38" s="715">
        <f t="shared" si="13"/>
        <v>100</v>
      </c>
      <c r="V38" s="714" t="s">
        <v>21</v>
      </c>
      <c r="W38" s="715">
        <f t="shared" si="14"/>
        <v>100</v>
      </c>
      <c r="X38" s="1508"/>
      <c r="Y38" s="3414"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74"/>
      <c r="Q39" s="1505" t="str">
        <f t="shared" si="11"/>
        <v>市政基础设施</v>
      </c>
      <c r="R39" s="714" t="s">
        <v>21</v>
      </c>
      <c r="S39" s="715">
        <f t="shared" si="12"/>
        <v>100</v>
      </c>
      <c r="T39" s="714" t="s">
        <v>21</v>
      </c>
      <c r="U39" s="715">
        <f t="shared" si="13"/>
        <v>100</v>
      </c>
      <c r="V39" s="714" t="s">
        <v>21</v>
      </c>
      <c r="W39" s="715">
        <f t="shared" si="14"/>
        <v>100</v>
      </c>
      <c r="X39" s="1508"/>
      <c r="Y39" s="3414"/>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74"/>
      <c r="Q40" s="1505" t="str">
        <f t="shared" si="11"/>
        <v>房型</v>
      </c>
      <c r="R40" s="714" t="s">
        <v>21</v>
      </c>
      <c r="S40" s="715">
        <f t="shared" si="12"/>
        <v>100</v>
      </c>
      <c r="T40" s="714" t="s">
        <v>21</v>
      </c>
      <c r="U40" s="715">
        <f t="shared" si="13"/>
        <v>100</v>
      </c>
      <c r="V40" s="714" t="s">
        <v>21</v>
      </c>
      <c r="W40" s="715">
        <f t="shared" si="14"/>
        <v>100</v>
      </c>
      <c r="X40" s="1508"/>
      <c r="Y40" s="3414"/>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74"/>
      <c r="Q41" s="716" t="str">
        <f t="shared" si="11"/>
        <v>单套/主力户型建筑面积</v>
      </c>
      <c r="R41" s="717" t="s">
        <v>21</v>
      </c>
      <c r="S41" s="718">
        <f t="shared" si="12"/>
        <v>100</v>
      </c>
      <c r="T41" s="717" t="s">
        <v>21</v>
      </c>
      <c r="U41" s="718">
        <f t="shared" si="13"/>
        <v>100</v>
      </c>
      <c r="V41" s="717" t="s">
        <v>21</v>
      </c>
      <c r="W41" s="718">
        <f t="shared" si="14"/>
        <v>100</v>
      </c>
      <c r="X41" s="719"/>
      <c r="Y41" s="3414"/>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74"/>
      <c r="Q42" s="1505" t="str">
        <f t="shared" si="11"/>
        <v>内部装修</v>
      </c>
      <c r="R42" s="714" t="s">
        <v>21</v>
      </c>
      <c r="S42" s="715">
        <f t="shared" si="12"/>
        <v>100</v>
      </c>
      <c r="T42" s="714" t="s">
        <v>21</v>
      </c>
      <c r="U42" s="715">
        <f t="shared" si="13"/>
        <v>100</v>
      </c>
      <c r="V42" s="714" t="s">
        <v>21</v>
      </c>
      <c r="W42" s="715">
        <f t="shared" si="14"/>
        <v>100</v>
      </c>
      <c r="X42" s="1508"/>
      <c r="Y42" s="3414"/>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74"/>
      <c r="Q43" s="1505" t="str">
        <f t="shared" si="11"/>
        <v>内部装修维护情况</v>
      </c>
      <c r="R43" s="714" t="s">
        <v>21</v>
      </c>
      <c r="S43" s="715">
        <f t="shared" si="12"/>
        <v>100</v>
      </c>
      <c r="T43" s="714" t="s">
        <v>21</v>
      </c>
      <c r="U43" s="715">
        <f t="shared" si="13"/>
        <v>100</v>
      </c>
      <c r="V43" s="714" t="s">
        <v>21</v>
      </c>
      <c r="W43" s="715">
        <f t="shared" si="14"/>
        <v>100</v>
      </c>
      <c r="X43" s="1508"/>
      <c r="Y43" s="3414"/>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74"/>
      <c r="Q44" s="1496">
        <f t="shared" si="11"/>
        <v>111</v>
      </c>
      <c r="R44" s="710" t="s">
        <v>21</v>
      </c>
      <c r="S44" s="711">
        <f t="shared" si="12"/>
        <v>100</v>
      </c>
      <c r="T44" s="710" t="s">
        <v>21</v>
      </c>
      <c r="U44" s="711">
        <f t="shared" si="13"/>
        <v>100</v>
      </c>
      <c r="V44" s="710" t="s">
        <v>21</v>
      </c>
      <c r="W44" s="711">
        <f t="shared" si="14"/>
        <v>100</v>
      </c>
      <c r="X44" s="712"/>
      <c r="Y44" s="3414"/>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74"/>
      <c r="Q45" s="1505">
        <f t="shared" si="11"/>
        <v>111</v>
      </c>
      <c r="R45" s="714" t="s">
        <v>21</v>
      </c>
      <c r="S45" s="715">
        <f t="shared" si="12"/>
        <v>100</v>
      </c>
      <c r="T45" s="714" t="s">
        <v>21</v>
      </c>
      <c r="U45" s="715">
        <f t="shared" si="13"/>
        <v>100</v>
      </c>
      <c r="V45" s="714" t="s">
        <v>21</v>
      </c>
      <c r="W45" s="715">
        <f t="shared" si="14"/>
        <v>100</v>
      </c>
      <c r="X45" s="1508"/>
      <c r="Y45" s="3414"/>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75"/>
      <c r="Q46" s="1505">
        <f t="shared" si="11"/>
        <v>111</v>
      </c>
      <c r="R46" s="714" t="s">
        <v>20</v>
      </c>
      <c r="S46" s="715">
        <f t="shared" si="12"/>
        <v>100</v>
      </c>
      <c r="T46" s="714" t="s">
        <v>20</v>
      </c>
      <c r="U46" s="715">
        <f t="shared" si="13"/>
        <v>100</v>
      </c>
      <c r="V46" s="714" t="s">
        <v>20</v>
      </c>
      <c r="W46" s="715">
        <f t="shared" si="14"/>
        <v>100</v>
      </c>
      <c r="X46" s="1508"/>
      <c r="Y46" s="3476"/>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409" t="str">
        <f>A47</f>
        <v>成交单价（元/平方米）</v>
      </c>
      <c r="Q47" s="3409"/>
      <c r="R47" s="3472">
        <f>E47</f>
        <v>0</v>
      </c>
      <c r="S47" s="3472"/>
      <c r="T47" s="3472">
        <f>G47</f>
        <v>0</v>
      </c>
      <c r="U47" s="3472"/>
      <c r="V47" s="3472">
        <f>I47</f>
        <v>0</v>
      </c>
      <c r="W47" s="3472"/>
      <c r="X47" s="699"/>
      <c r="Y47" s="721"/>
      <c r="Z47" s="699"/>
      <c r="AA47" s="699"/>
      <c r="AB47" s="699"/>
      <c r="AC47" s="699"/>
    </row>
    <row r="48" spans="1:29" ht="15.75" thickBot="1">
      <c r="A48" s="445" t="s">
        <v>2339</v>
      </c>
      <c r="B48" s="446"/>
      <c r="C48" s="1294" t="e">
        <f>R49</f>
        <v>#DIV/0!</v>
      </c>
      <c r="D48" s="2507" t="s">
        <v>2820</v>
      </c>
      <c r="E48" s="1295" t="e">
        <f>R48</f>
        <v>#DIV/0!</v>
      </c>
      <c r="F48" s="2508"/>
      <c r="G48" s="1294" t="e">
        <f>T48</f>
        <v>#DIV/0!</v>
      </c>
      <c r="H48" s="2508"/>
      <c r="I48" s="1295" t="e">
        <f>V48</f>
        <v>#DIV/0!</v>
      </c>
      <c r="J48" s="2508"/>
      <c r="K48" s="2509">
        <f>F48+H48+J48</f>
        <v>0</v>
      </c>
      <c r="L48" s="2922"/>
      <c r="M48" s="2923"/>
      <c r="N48" s="2923"/>
      <c r="O48" s="2923"/>
      <c r="P48" s="3409" t="str">
        <f>A48</f>
        <v>比较价值（元/平方米）</v>
      </c>
      <c r="Q48" s="3409"/>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03" t="str">
        <f>A49</f>
        <v>估价对象XX用房的比较价值（楼面单价，元/平方米）</v>
      </c>
      <c r="Q49" s="3404"/>
      <c r="R49" s="3471" t="e">
        <f>IF(F1="售价",ROUND(IF(D48="简单平均",AVERAGE(R48:V48),R48*F48+T48*H48+V48*J48),0),ROUND(IF(D48="简单平均",AVERAGE(R48:V48),R48*F48+T48*H48+V48*J48),1))</f>
        <v>#DIV/0!</v>
      </c>
      <c r="S49" s="3471"/>
      <c r="T49" s="3471"/>
      <c r="U49" s="3471"/>
      <c r="V49" s="3471"/>
      <c r="W49" s="3471"/>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2022-4</v>
      </c>
      <c r="D58" s="1318">
        <f>EDATE(C58,-1)</f>
        <v>44621</v>
      </c>
      <c r="E58" s="1318">
        <f>EDATE(D58,-1)</f>
        <v>44593</v>
      </c>
      <c r="F58" s="1318">
        <f t="shared" ref="F58:O58" si="19">EDATE(E58,-1)</f>
        <v>44562</v>
      </c>
      <c r="G58" s="1318">
        <f t="shared" si="19"/>
        <v>44531</v>
      </c>
      <c r="H58" s="1318">
        <f t="shared" si="19"/>
        <v>44501</v>
      </c>
      <c r="I58" s="1318">
        <f t="shared" si="19"/>
        <v>44470</v>
      </c>
      <c r="J58" s="1318">
        <f t="shared" si="19"/>
        <v>44440</v>
      </c>
      <c r="K58" s="1318">
        <f t="shared" si="19"/>
        <v>44409</v>
      </c>
      <c r="L58" s="1318">
        <f t="shared" si="19"/>
        <v>44378</v>
      </c>
      <c r="M58" s="1318">
        <f t="shared" si="19"/>
        <v>44348</v>
      </c>
      <c r="N58" s="1318">
        <f t="shared" si="19"/>
        <v>44317</v>
      </c>
      <c r="O58" s="1318">
        <f t="shared" si="19"/>
        <v>44287</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171669.99</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06" t="s">
        <v>2407</v>
      </c>
      <c r="D4" s="3419"/>
      <c r="E4" s="3420" t="s">
        <v>2408</v>
      </c>
      <c r="F4" s="3421"/>
      <c r="G4" s="3406" t="s">
        <v>2409</v>
      </c>
      <c r="H4" s="3419"/>
      <c r="I4" s="3406" t="s">
        <v>2410</v>
      </c>
      <c r="J4" s="3419"/>
      <c r="K4" s="567" t="s">
        <v>2411</v>
      </c>
      <c r="L4" s="2913"/>
      <c r="M4" s="2914"/>
      <c r="N4" s="2914"/>
      <c r="O4" s="2914"/>
      <c r="P4" s="3422" t="s">
        <v>2412</v>
      </c>
      <c r="Q4" s="3423"/>
      <c r="R4" s="3428" t="s">
        <v>2408</v>
      </c>
      <c r="S4" s="3429"/>
      <c r="T4" s="3428" t="s">
        <v>2409</v>
      </c>
      <c r="U4" s="3429"/>
      <c r="V4" s="3415" t="s">
        <v>2410</v>
      </c>
      <c r="W4" s="3415"/>
      <c r="X4" s="1508"/>
      <c r="Y4" s="3428" t="s">
        <v>2412</v>
      </c>
      <c r="Z4" s="3429"/>
      <c r="AA4" s="3416" t="s">
        <v>2408</v>
      </c>
      <c r="AB4" s="3415" t="s">
        <v>2409</v>
      </c>
      <c r="AC4" s="3416" t="s">
        <v>2410</v>
      </c>
    </row>
    <row r="5" spans="1:29" ht="15">
      <c r="A5" s="364"/>
      <c r="B5" s="365"/>
      <c r="C5" s="3436" t="s">
        <v>2303</v>
      </c>
      <c r="D5" s="3437"/>
      <c r="E5" s="3443" t="s">
        <v>2304</v>
      </c>
      <c r="F5" s="3444"/>
      <c r="G5" s="3436" t="s">
        <v>2305</v>
      </c>
      <c r="H5" s="3437"/>
      <c r="I5" s="3436" t="s">
        <v>2306</v>
      </c>
      <c r="J5" s="3437"/>
      <c r="K5" s="567"/>
      <c r="L5" s="2913"/>
      <c r="M5" s="2914"/>
      <c r="N5" s="2914"/>
      <c r="O5" s="2914"/>
      <c r="P5" s="3424"/>
      <c r="Q5" s="3425"/>
      <c r="R5" s="3430"/>
      <c r="S5" s="3431"/>
      <c r="T5" s="3430"/>
      <c r="U5" s="3431"/>
      <c r="V5" s="3415"/>
      <c r="W5" s="3415"/>
      <c r="X5" s="1508"/>
      <c r="Y5" s="3430"/>
      <c r="Z5" s="3431"/>
      <c r="AA5" s="3417"/>
      <c r="AB5" s="3415"/>
      <c r="AC5" s="3417"/>
    </row>
    <row r="6" spans="1:29" ht="15.75" thickBot="1">
      <c r="A6" s="366"/>
      <c r="B6" s="367"/>
      <c r="C6" s="3434" t="s">
        <v>2307</v>
      </c>
      <c r="D6" s="3435"/>
      <c r="E6" s="3441" t="s">
        <v>2307</v>
      </c>
      <c r="F6" s="3442"/>
      <c r="G6" s="3434" t="s">
        <v>2307</v>
      </c>
      <c r="H6" s="3435"/>
      <c r="I6" s="3434" t="s">
        <v>2307</v>
      </c>
      <c r="J6" s="3435"/>
      <c r="K6" s="567" t="s">
        <v>2308</v>
      </c>
      <c r="L6" s="2913"/>
      <c r="M6" s="2914"/>
      <c r="N6" s="2914"/>
      <c r="O6" s="2914"/>
      <c r="P6" s="3426"/>
      <c r="Q6" s="3427"/>
      <c r="R6" s="3430"/>
      <c r="S6" s="3431"/>
      <c r="T6" s="3432"/>
      <c r="U6" s="3433"/>
      <c r="V6" s="3415"/>
      <c r="W6" s="3415"/>
      <c r="X6" s="1508"/>
      <c r="Y6" s="3432"/>
      <c r="Z6" s="3433"/>
      <c r="AA6" s="3418"/>
      <c r="AB6" s="3415"/>
      <c r="AC6" s="3418"/>
    </row>
    <row r="7" spans="1:29" s="113" customFormat="1" ht="15.75" thickBot="1">
      <c r="A7" s="368" t="s">
        <v>2309</v>
      </c>
      <c r="B7" s="369"/>
      <c r="C7" s="370">
        <f>'数据-取费表'!B2</f>
        <v>44662</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38" t="s">
        <v>2310</v>
      </c>
      <c r="Q7" s="3440"/>
      <c r="R7" s="710" t="s">
        <v>17</v>
      </c>
      <c r="S7" s="711">
        <f t="shared" ref="S7:S15" si="0">F7</f>
        <v>0</v>
      </c>
      <c r="T7" s="710" t="s">
        <v>17</v>
      </c>
      <c r="U7" s="711">
        <f t="shared" ref="U7:U15" si="1">H7</f>
        <v>0</v>
      </c>
      <c r="V7" s="710" t="s">
        <v>17</v>
      </c>
      <c r="W7" s="711">
        <f t="shared" ref="W7:W15" si="2">J7</f>
        <v>0</v>
      </c>
      <c r="X7" s="712"/>
      <c r="Y7" s="3438" t="s">
        <v>2310</v>
      </c>
      <c r="Z7" s="3439"/>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38" t="s">
        <v>2313</v>
      </c>
      <c r="Q8" s="3439"/>
      <c r="R8" s="710" t="s">
        <v>17</v>
      </c>
      <c r="S8" s="711">
        <f t="shared" si="0"/>
        <v>0</v>
      </c>
      <c r="T8" s="710" t="s">
        <v>17</v>
      </c>
      <c r="U8" s="711">
        <f t="shared" si="1"/>
        <v>0</v>
      </c>
      <c r="V8" s="710" t="s">
        <v>17</v>
      </c>
      <c r="W8" s="711">
        <f t="shared" si="2"/>
        <v>0</v>
      </c>
      <c r="X8" s="712"/>
      <c r="Y8" s="3438" t="s">
        <v>2313</v>
      </c>
      <c r="Z8" s="3439"/>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08" t="s">
        <v>2316</v>
      </c>
      <c r="Q9" s="1496"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08"/>
      <c r="Q10" s="1496"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08"/>
      <c r="Q11" s="1496"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08"/>
      <c r="Q12" s="1496">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08"/>
      <c r="Q13" s="1496">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08"/>
      <c r="Q14" s="1496">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713">
        <f t="shared" si="5"/>
        <v>1</v>
      </c>
    </row>
    <row r="15" spans="1:29" ht="15">
      <c r="A15" s="399" t="s">
        <v>2320</v>
      </c>
      <c r="B15" s="65" t="s">
        <v>2414</v>
      </c>
      <c r="C15" s="205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77" t="s">
        <v>2321</v>
      </c>
      <c r="Q15" s="1505" t="str">
        <f t="shared" si="6"/>
        <v>商业繁华度</v>
      </c>
      <c r="R15" s="714" t="s">
        <v>17</v>
      </c>
      <c r="S15" s="715">
        <f t="shared" si="0"/>
        <v>100</v>
      </c>
      <c r="T15" s="714" t="s">
        <v>17</v>
      </c>
      <c r="U15" s="715">
        <f t="shared" si="1"/>
        <v>100</v>
      </c>
      <c r="V15" s="714" t="s">
        <v>17</v>
      </c>
      <c r="W15" s="715">
        <f t="shared" si="2"/>
        <v>100</v>
      </c>
      <c r="X15" s="1508"/>
      <c r="Y15" s="3411"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478"/>
      <c r="Q16" s="1505"/>
      <c r="R16" s="714"/>
      <c r="S16" s="715"/>
      <c r="T16" s="714"/>
      <c r="U16" s="715"/>
      <c r="V16" s="714"/>
      <c r="W16" s="715"/>
      <c r="X16" s="1508"/>
      <c r="Y16" s="3412"/>
      <c r="Z16" s="1509"/>
      <c r="AA16" s="1506">
        <v>1</v>
      </c>
      <c r="AB16" s="1506">
        <v>1</v>
      </c>
      <c r="AC16" s="1506">
        <v>1</v>
      </c>
    </row>
    <row r="17" spans="1:29" ht="15">
      <c r="A17" s="387"/>
      <c r="B17" s="410" t="s">
        <v>1885</v>
      </c>
      <c r="C17" s="2055">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78"/>
      <c r="Q17" s="1505" t="str">
        <f>B17</f>
        <v>交通便捷度</v>
      </c>
      <c r="R17" s="714" t="s">
        <v>17</v>
      </c>
      <c r="S17" s="715">
        <f>F17</f>
        <v>100</v>
      </c>
      <c r="T17" s="714" t="s">
        <v>17</v>
      </c>
      <c r="U17" s="715">
        <f>H17</f>
        <v>100</v>
      </c>
      <c r="V17" s="714" t="s">
        <v>17</v>
      </c>
      <c r="W17" s="715">
        <f>J17</f>
        <v>100</v>
      </c>
      <c r="X17" s="1508"/>
      <c r="Y17" s="3412"/>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478"/>
      <c r="Q18" s="1505"/>
      <c r="R18" s="714"/>
      <c r="S18" s="715"/>
      <c r="T18" s="714"/>
      <c r="U18" s="715"/>
      <c r="V18" s="714"/>
      <c r="W18" s="715"/>
      <c r="X18" s="1508"/>
      <c r="Y18" s="3412"/>
      <c r="Z18" s="1509"/>
      <c r="AA18" s="1506">
        <v>1</v>
      </c>
      <c r="AB18" s="1506">
        <v>1</v>
      </c>
      <c r="AC18" s="1506">
        <v>1</v>
      </c>
    </row>
    <row r="19" spans="1:29" ht="15">
      <c r="A19" s="387"/>
      <c r="B19" s="410" t="s">
        <v>2415</v>
      </c>
      <c r="C19" s="2055">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78"/>
      <c r="Q19" s="1505" t="str">
        <f>B19</f>
        <v>公共配套设施</v>
      </c>
      <c r="R19" s="714" t="s">
        <v>17</v>
      </c>
      <c r="S19" s="715">
        <f>F19</f>
        <v>100</v>
      </c>
      <c r="T19" s="714" t="s">
        <v>17</v>
      </c>
      <c r="U19" s="715">
        <f>H19</f>
        <v>100</v>
      </c>
      <c r="V19" s="714" t="s">
        <v>17</v>
      </c>
      <c r="W19" s="715">
        <f>J19</f>
        <v>100</v>
      </c>
      <c r="X19" s="1508"/>
      <c r="Y19" s="3412"/>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478"/>
      <c r="Q20" s="1505"/>
      <c r="R20" s="714"/>
      <c r="S20" s="715"/>
      <c r="T20" s="714"/>
      <c r="U20" s="715"/>
      <c r="V20" s="714"/>
      <c r="W20" s="715"/>
      <c r="X20" s="1508"/>
      <c r="Y20" s="3412"/>
      <c r="Z20" s="1509"/>
      <c r="AA20" s="1506">
        <v>1</v>
      </c>
      <c r="AB20" s="1506">
        <v>1</v>
      </c>
      <c r="AC20" s="1506">
        <v>1</v>
      </c>
    </row>
    <row r="21" spans="1:29" ht="15">
      <c r="A21" s="387"/>
      <c r="B21" s="1265" t="s">
        <v>2416</v>
      </c>
      <c r="C21" s="2055">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78"/>
      <c r="Q21" s="1505" t="str">
        <f>B21</f>
        <v>基础设施水平</v>
      </c>
      <c r="R21" s="714" t="s">
        <v>17</v>
      </c>
      <c r="S21" s="715">
        <f>F21</f>
        <v>100</v>
      </c>
      <c r="T21" s="714" t="s">
        <v>17</v>
      </c>
      <c r="U21" s="715">
        <f>H21</f>
        <v>100</v>
      </c>
      <c r="V21" s="714" t="s">
        <v>17</v>
      </c>
      <c r="W21" s="715">
        <f>J21</f>
        <v>100</v>
      </c>
      <c r="X21" s="1508"/>
      <c r="Y21" s="3412"/>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478"/>
      <c r="Q22" s="1505"/>
      <c r="R22" s="714"/>
      <c r="S22" s="715"/>
      <c r="T22" s="714"/>
      <c r="U22" s="715"/>
      <c r="V22" s="714"/>
      <c r="W22" s="715"/>
      <c r="X22" s="1508"/>
      <c r="Y22" s="3412"/>
      <c r="Z22" s="1509"/>
      <c r="AA22" s="1506">
        <v>1</v>
      </c>
      <c r="AB22" s="1506">
        <v>1</v>
      </c>
      <c r="AC22" s="1506">
        <v>1</v>
      </c>
    </row>
    <row r="23" spans="1:29" ht="15">
      <c r="A23" s="387"/>
      <c r="B23" s="410" t="s">
        <v>1887</v>
      </c>
      <c r="C23" s="2110">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78"/>
      <c r="Q23" s="1505" t="str">
        <f>B23</f>
        <v>自然及人文环境</v>
      </c>
      <c r="R23" s="714" t="s">
        <v>17</v>
      </c>
      <c r="S23" s="715">
        <f>F23</f>
        <v>100</v>
      </c>
      <c r="T23" s="714" t="s">
        <v>17</v>
      </c>
      <c r="U23" s="715">
        <f>H23</f>
        <v>100</v>
      </c>
      <c r="V23" s="714" t="s">
        <v>17</v>
      </c>
      <c r="W23" s="715">
        <f>J23</f>
        <v>100</v>
      </c>
      <c r="X23" s="1508"/>
      <c r="Y23" s="3412"/>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478"/>
      <c r="Q24" s="1505"/>
      <c r="R24" s="714"/>
      <c r="S24" s="715"/>
      <c r="T24" s="714"/>
      <c r="U24" s="715"/>
      <c r="V24" s="714"/>
      <c r="W24" s="715"/>
      <c r="X24" s="1508"/>
      <c r="Y24" s="3412"/>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78"/>
      <c r="Q25" s="1505" t="str">
        <f t="shared" ref="Q25:Q46" si="11">B25</f>
        <v>临街状况</v>
      </c>
      <c r="R25" s="714" t="s">
        <v>17</v>
      </c>
      <c r="S25" s="715">
        <f>F25</f>
        <v>100</v>
      </c>
      <c r="T25" s="714" t="s">
        <v>17</v>
      </c>
      <c r="U25" s="715">
        <f>H25</f>
        <v>100</v>
      </c>
      <c r="V25" s="714" t="s">
        <v>17</v>
      </c>
      <c r="W25" s="715">
        <f>J25</f>
        <v>100</v>
      </c>
      <c r="X25" s="1508"/>
      <c r="Y25" s="3412"/>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78"/>
      <c r="Q26" s="1505" t="str">
        <f t="shared" si="11"/>
        <v>平面位置/可视性</v>
      </c>
      <c r="R26" s="714" t="s">
        <v>17</v>
      </c>
      <c r="S26" s="715">
        <f>F26</f>
        <v>100</v>
      </c>
      <c r="T26" s="714" t="s">
        <v>17</v>
      </c>
      <c r="U26" s="715">
        <f>H26</f>
        <v>100</v>
      </c>
      <c r="V26" s="714" t="s">
        <v>17</v>
      </c>
      <c r="W26" s="715">
        <f>J26</f>
        <v>100</v>
      </c>
      <c r="X26" s="1508"/>
      <c r="Y26" s="3412"/>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78"/>
      <c r="Q27" s="1496" t="str">
        <f t="shared" si="11"/>
        <v>人流量</v>
      </c>
      <c r="R27" s="710" t="s">
        <v>17</v>
      </c>
      <c r="S27" s="711">
        <f>F27</f>
        <v>100</v>
      </c>
      <c r="T27" s="710" t="s">
        <v>17</v>
      </c>
      <c r="U27" s="711">
        <f>H27</f>
        <v>100</v>
      </c>
      <c r="V27" s="710" t="s">
        <v>17</v>
      </c>
      <c r="W27" s="711">
        <f>J27</f>
        <v>100</v>
      </c>
      <c r="X27" s="712"/>
      <c r="Y27" s="3412"/>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78"/>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12"/>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78"/>
      <c r="Q29" s="1505">
        <f t="shared" si="11"/>
        <v>111</v>
      </c>
      <c r="R29" s="714" t="s">
        <v>17</v>
      </c>
      <c r="S29" s="715">
        <f t="shared" si="12"/>
        <v>100</v>
      </c>
      <c r="T29" s="714" t="s">
        <v>17</v>
      </c>
      <c r="U29" s="715">
        <f t="shared" si="13"/>
        <v>100</v>
      </c>
      <c r="V29" s="714" t="s">
        <v>17</v>
      </c>
      <c r="W29" s="715">
        <f t="shared" si="14"/>
        <v>100</v>
      </c>
      <c r="X29" s="1508"/>
      <c r="Y29" s="3412"/>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78"/>
      <c r="Q30" s="1505">
        <f t="shared" si="11"/>
        <v>111</v>
      </c>
      <c r="R30" s="714" t="s">
        <v>17</v>
      </c>
      <c r="S30" s="715">
        <f t="shared" si="12"/>
        <v>100</v>
      </c>
      <c r="T30" s="714" t="s">
        <v>17</v>
      </c>
      <c r="U30" s="715">
        <f t="shared" si="13"/>
        <v>100</v>
      </c>
      <c r="V30" s="714" t="s">
        <v>17</v>
      </c>
      <c r="W30" s="715">
        <f t="shared" si="14"/>
        <v>100</v>
      </c>
      <c r="X30" s="1508"/>
      <c r="Y30" s="3412"/>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78"/>
      <c r="Q31" s="1505">
        <f t="shared" si="11"/>
        <v>111</v>
      </c>
      <c r="R31" s="714" t="s">
        <v>17</v>
      </c>
      <c r="S31" s="715">
        <f t="shared" si="12"/>
        <v>100</v>
      </c>
      <c r="T31" s="714" t="s">
        <v>17</v>
      </c>
      <c r="U31" s="715">
        <f t="shared" si="13"/>
        <v>100</v>
      </c>
      <c r="V31" s="714" t="s">
        <v>17</v>
      </c>
      <c r="W31" s="715">
        <f t="shared" si="14"/>
        <v>100</v>
      </c>
      <c r="X31" s="1508"/>
      <c r="Y31" s="3412"/>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73" t="s">
        <v>2326</v>
      </c>
      <c r="Q32" s="1505" t="str">
        <f t="shared" si="11"/>
        <v>商业类型</v>
      </c>
      <c r="R32" s="714" t="s">
        <v>17</v>
      </c>
      <c r="S32" s="715">
        <f t="shared" si="12"/>
        <v>100</v>
      </c>
      <c r="T32" s="714" t="s">
        <v>17</v>
      </c>
      <c r="U32" s="715">
        <f t="shared" si="13"/>
        <v>100</v>
      </c>
      <c r="V32" s="714" t="s">
        <v>17</v>
      </c>
      <c r="W32" s="715">
        <f t="shared" si="14"/>
        <v>100</v>
      </c>
      <c r="X32" s="1508"/>
      <c r="Y32" s="3414"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74"/>
      <c r="Q33" s="716" t="str">
        <f t="shared" si="11"/>
        <v>项目建筑规模</v>
      </c>
      <c r="R33" s="717" t="s">
        <v>17</v>
      </c>
      <c r="S33" s="718" t="e">
        <f t="shared" si="12"/>
        <v>#N/A</v>
      </c>
      <c r="T33" s="717" t="s">
        <v>17</v>
      </c>
      <c r="U33" s="718" t="e">
        <f t="shared" si="13"/>
        <v>#N/A</v>
      </c>
      <c r="V33" s="717" t="s">
        <v>17</v>
      </c>
      <c r="W33" s="718" t="e">
        <f t="shared" si="14"/>
        <v>#N/A</v>
      </c>
      <c r="X33" s="719"/>
      <c r="Y33" s="3414"/>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74"/>
      <c r="Q34" s="1505" t="str">
        <f t="shared" si="11"/>
        <v>建筑结构</v>
      </c>
      <c r="R34" s="714" t="s">
        <v>17</v>
      </c>
      <c r="S34" s="715">
        <f t="shared" si="12"/>
        <v>100</v>
      </c>
      <c r="T34" s="714" t="s">
        <v>17</v>
      </c>
      <c r="U34" s="715">
        <f t="shared" si="13"/>
        <v>100</v>
      </c>
      <c r="V34" s="714" t="s">
        <v>17</v>
      </c>
      <c r="W34" s="715">
        <f t="shared" si="14"/>
        <v>100</v>
      </c>
      <c r="X34" s="1508"/>
      <c r="Y34" s="3414"/>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74"/>
      <c r="Q35" s="1505" t="str">
        <f t="shared" si="11"/>
        <v>公共部分装修</v>
      </c>
      <c r="R35" s="714" t="s">
        <v>17</v>
      </c>
      <c r="S35" s="715">
        <f t="shared" si="12"/>
        <v>100</v>
      </c>
      <c r="T35" s="714" t="s">
        <v>17</v>
      </c>
      <c r="U35" s="715">
        <f t="shared" si="13"/>
        <v>100</v>
      </c>
      <c r="V35" s="714" t="s">
        <v>17</v>
      </c>
      <c r="W35" s="715">
        <f t="shared" si="14"/>
        <v>100</v>
      </c>
      <c r="X35" s="1508"/>
      <c r="Y35" s="3414"/>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74"/>
      <c r="Q36" s="1505" t="str">
        <f t="shared" si="11"/>
        <v>成新度</v>
      </c>
      <c r="R36" s="714" t="s">
        <v>17</v>
      </c>
      <c r="S36" s="715" t="e">
        <f t="shared" si="12"/>
        <v>#N/A</v>
      </c>
      <c r="T36" s="714" t="s">
        <v>17</v>
      </c>
      <c r="U36" s="715" t="e">
        <f t="shared" si="13"/>
        <v>#N/A</v>
      </c>
      <c r="V36" s="714" t="s">
        <v>17</v>
      </c>
      <c r="W36" s="715" t="e">
        <f t="shared" si="14"/>
        <v>#N/A</v>
      </c>
      <c r="X36" s="1508"/>
      <c r="Y36" s="3414"/>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74"/>
      <c r="Q37" s="1496" t="str">
        <f t="shared" si="11"/>
        <v>市政基础设施</v>
      </c>
      <c r="R37" s="710" t="s">
        <v>17</v>
      </c>
      <c r="S37" s="711">
        <f t="shared" si="12"/>
        <v>100</v>
      </c>
      <c r="T37" s="710" t="s">
        <v>17</v>
      </c>
      <c r="U37" s="711">
        <f t="shared" si="13"/>
        <v>100</v>
      </c>
      <c r="V37" s="710" t="s">
        <v>17</v>
      </c>
      <c r="W37" s="711">
        <f t="shared" si="14"/>
        <v>100</v>
      </c>
      <c r="X37" s="712"/>
      <c r="Y37" s="3414"/>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74" t="s">
        <v>2326</v>
      </c>
      <c r="Q38" s="1505" t="str">
        <f t="shared" si="11"/>
        <v>业态</v>
      </c>
      <c r="R38" s="714" t="s">
        <v>17</v>
      </c>
      <c r="S38" s="715">
        <f t="shared" si="12"/>
        <v>100</v>
      </c>
      <c r="T38" s="714" t="s">
        <v>17</v>
      </c>
      <c r="U38" s="715">
        <f t="shared" si="13"/>
        <v>100</v>
      </c>
      <c r="V38" s="714" t="s">
        <v>17</v>
      </c>
      <c r="W38" s="715">
        <f t="shared" si="14"/>
        <v>100</v>
      </c>
      <c r="X38" s="1508"/>
      <c r="Y38" s="3414"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74"/>
      <c r="Q39" s="1505" t="str">
        <f t="shared" si="11"/>
        <v>层高</v>
      </c>
      <c r="R39" s="714" t="s">
        <v>17</v>
      </c>
      <c r="S39" s="715">
        <f t="shared" si="12"/>
        <v>100</v>
      </c>
      <c r="T39" s="714" t="s">
        <v>17</v>
      </c>
      <c r="U39" s="715">
        <f t="shared" si="13"/>
        <v>100</v>
      </c>
      <c r="V39" s="714" t="s">
        <v>17</v>
      </c>
      <c r="W39" s="715">
        <f t="shared" si="14"/>
        <v>100</v>
      </c>
      <c r="X39" s="1508"/>
      <c r="Y39" s="3414"/>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74"/>
      <c r="Q40" s="1505" t="str">
        <f t="shared" si="11"/>
        <v>单套建筑面积</v>
      </c>
      <c r="R40" s="714" t="s">
        <v>17</v>
      </c>
      <c r="S40" s="715">
        <f t="shared" si="12"/>
        <v>100</v>
      </c>
      <c r="T40" s="714" t="s">
        <v>17</v>
      </c>
      <c r="U40" s="715">
        <f t="shared" si="13"/>
        <v>100</v>
      </c>
      <c r="V40" s="714" t="s">
        <v>17</v>
      </c>
      <c r="W40" s="715">
        <f t="shared" si="14"/>
        <v>100</v>
      </c>
      <c r="X40" s="1508"/>
      <c r="Y40" s="3414"/>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74"/>
      <c r="Q41" s="716" t="str">
        <f t="shared" si="11"/>
        <v>进深比</v>
      </c>
      <c r="R41" s="717" t="s">
        <v>17</v>
      </c>
      <c r="S41" s="718">
        <f t="shared" si="12"/>
        <v>100</v>
      </c>
      <c r="T41" s="717" t="s">
        <v>17</v>
      </c>
      <c r="U41" s="718">
        <f t="shared" si="13"/>
        <v>100</v>
      </c>
      <c r="V41" s="717" t="s">
        <v>17</v>
      </c>
      <c r="W41" s="718">
        <f t="shared" si="14"/>
        <v>100</v>
      </c>
      <c r="X41" s="719"/>
      <c r="Y41" s="3414"/>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74"/>
      <c r="Q42" s="1505" t="str">
        <f t="shared" si="11"/>
        <v>内部装修</v>
      </c>
      <c r="R42" s="714" t="s">
        <v>17</v>
      </c>
      <c r="S42" s="715">
        <f t="shared" si="12"/>
        <v>100</v>
      </c>
      <c r="T42" s="714" t="s">
        <v>17</v>
      </c>
      <c r="U42" s="715">
        <f t="shared" si="13"/>
        <v>100</v>
      </c>
      <c r="V42" s="714" t="s">
        <v>17</v>
      </c>
      <c r="W42" s="715">
        <f t="shared" si="14"/>
        <v>100</v>
      </c>
      <c r="X42" s="1508"/>
      <c r="Y42" s="3414"/>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74"/>
      <c r="Q43" s="1505" t="str">
        <f t="shared" si="11"/>
        <v>内部装修维护情况</v>
      </c>
      <c r="R43" s="714" t="s">
        <v>17</v>
      </c>
      <c r="S43" s="715">
        <f t="shared" si="12"/>
        <v>100</v>
      </c>
      <c r="T43" s="714" t="s">
        <v>17</v>
      </c>
      <c r="U43" s="715">
        <f t="shared" si="13"/>
        <v>100</v>
      </c>
      <c r="V43" s="714" t="s">
        <v>17</v>
      </c>
      <c r="W43" s="715">
        <f t="shared" si="14"/>
        <v>100</v>
      </c>
      <c r="X43" s="1508"/>
      <c r="Y43" s="3414"/>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74"/>
      <c r="Q44" s="1496">
        <f t="shared" si="11"/>
        <v>111</v>
      </c>
      <c r="R44" s="710" t="s">
        <v>17</v>
      </c>
      <c r="S44" s="711">
        <f t="shared" si="12"/>
        <v>100</v>
      </c>
      <c r="T44" s="710" t="s">
        <v>17</v>
      </c>
      <c r="U44" s="711">
        <f t="shared" si="13"/>
        <v>100</v>
      </c>
      <c r="V44" s="710" t="s">
        <v>17</v>
      </c>
      <c r="W44" s="711">
        <f t="shared" si="14"/>
        <v>100</v>
      </c>
      <c r="X44" s="712"/>
      <c r="Y44" s="3414"/>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74"/>
      <c r="Q45" s="1505">
        <f t="shared" si="11"/>
        <v>111</v>
      </c>
      <c r="R45" s="714" t="s">
        <v>17</v>
      </c>
      <c r="S45" s="715">
        <f t="shared" si="12"/>
        <v>100</v>
      </c>
      <c r="T45" s="714" t="s">
        <v>17</v>
      </c>
      <c r="U45" s="715">
        <f t="shared" si="13"/>
        <v>100</v>
      </c>
      <c r="V45" s="714" t="s">
        <v>17</v>
      </c>
      <c r="W45" s="715">
        <f t="shared" si="14"/>
        <v>100</v>
      </c>
      <c r="X45" s="1508"/>
      <c r="Y45" s="3414"/>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75"/>
      <c r="Q46" s="1505">
        <f t="shared" si="11"/>
        <v>111</v>
      </c>
      <c r="R46" s="714" t="s">
        <v>17</v>
      </c>
      <c r="S46" s="715">
        <f t="shared" si="12"/>
        <v>100</v>
      </c>
      <c r="T46" s="714" t="s">
        <v>17</v>
      </c>
      <c r="U46" s="715">
        <f t="shared" si="13"/>
        <v>100</v>
      </c>
      <c r="V46" s="714" t="s">
        <v>17</v>
      </c>
      <c r="W46" s="715">
        <f t="shared" si="14"/>
        <v>100</v>
      </c>
      <c r="X46" s="1508"/>
      <c r="Y46" s="3476"/>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409" t="str">
        <f>A47</f>
        <v>成交单价（元/平方米）</v>
      </c>
      <c r="Q47" s="3409"/>
      <c r="R47" s="3415">
        <f>E47</f>
        <v>0</v>
      </c>
      <c r="S47" s="3415"/>
      <c r="T47" s="3415">
        <f>G47</f>
        <v>0</v>
      </c>
      <c r="U47" s="3415"/>
      <c r="V47" s="3415">
        <f>I47</f>
        <v>0</v>
      </c>
      <c r="W47" s="3415"/>
      <c r="X47" s="699"/>
      <c r="Y47" s="721"/>
      <c r="Z47" s="699"/>
      <c r="AA47" s="699"/>
      <c r="AB47" s="699"/>
      <c r="AC47" s="699"/>
    </row>
    <row r="48" spans="1:29" ht="15.75" thickBot="1">
      <c r="A48" s="445" t="s">
        <v>2430</v>
      </c>
      <c r="B48" s="446"/>
      <c r="C48" s="1294" t="e">
        <f>R49</f>
        <v>#DIV/0!</v>
      </c>
      <c r="D48" s="2507" t="s">
        <v>2820</v>
      </c>
      <c r="E48" s="1295" t="e">
        <f>R48</f>
        <v>#DIV/0!</v>
      </c>
      <c r="F48" s="2508"/>
      <c r="G48" s="1294" t="e">
        <f>T48</f>
        <v>#DIV/0!</v>
      </c>
      <c r="H48" s="2508"/>
      <c r="I48" s="1295" t="e">
        <f>V48</f>
        <v>#DIV/0!</v>
      </c>
      <c r="J48" s="2508"/>
      <c r="K48" s="2510">
        <f>F48+H48+J48</f>
        <v>0</v>
      </c>
      <c r="L48" s="2922"/>
      <c r="M48" s="2923"/>
      <c r="N48" s="2914"/>
      <c r="O48" s="2923"/>
      <c r="P48" s="3409" t="str">
        <f>A48</f>
        <v>比较价值（元/平方米）</v>
      </c>
      <c r="Q48" s="3409"/>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03" t="str">
        <f>A49</f>
        <v>估价对象XX用房的比较价值（楼面单价，元/平方米）</v>
      </c>
      <c r="Q49" s="3404"/>
      <c r="R49" s="3471" t="e">
        <f>IF(F1="售价",ROUND(IF(D48="简单平均",AVERAGE(R48:V48),R48*F48+T48*H48+V48*J48),0),ROUND(IF(D48="简单平均",AVERAGE(R48:V48),R48*F48+T48*H48+V48*J48),1))</f>
        <v>#DIV/0!</v>
      </c>
      <c r="S49" s="3471"/>
      <c r="T49" s="3471"/>
      <c r="U49" s="3471"/>
      <c r="V49" s="3471"/>
      <c r="W49" s="3471"/>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2022-4</v>
      </c>
      <c r="D58" s="1318">
        <f>EDATE(C58,-1)</f>
        <v>44621</v>
      </c>
      <c r="E58" s="1318">
        <f t="shared" ref="E58:N58" si="16">EDATE(D58,-1)</f>
        <v>44593</v>
      </c>
      <c r="F58" s="1318">
        <f t="shared" si="16"/>
        <v>44562</v>
      </c>
      <c r="G58" s="1318">
        <f t="shared" si="16"/>
        <v>44531</v>
      </c>
      <c r="H58" s="1318">
        <f t="shared" si="16"/>
        <v>44501</v>
      </c>
      <c r="I58" s="1318">
        <f t="shared" si="16"/>
        <v>44470</v>
      </c>
      <c r="J58" s="1318">
        <f t="shared" si="16"/>
        <v>44440</v>
      </c>
      <c r="K58" s="1318">
        <f t="shared" si="16"/>
        <v>44409</v>
      </c>
      <c r="L58" s="1318">
        <f t="shared" si="16"/>
        <v>44378</v>
      </c>
      <c r="M58" s="1318">
        <f t="shared" si="16"/>
        <v>44348</v>
      </c>
      <c r="N58" s="1318">
        <f t="shared" si="16"/>
        <v>44317</v>
      </c>
      <c r="O58" s="1318">
        <f>EDATE(N58,-1)</f>
        <v>44287</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受贵公司委托，我公司对房地产抵押价值进行了预评估。</v>
      </c>
    </row>
    <row r="5" spans="1:1" ht="18.75">
      <c r="A5" s="1635" t="s">
        <v>1517</v>
      </c>
    </row>
    <row r="6" spans="1:1" ht="18.75">
      <c r="A6" s="1636" t="s">
        <v>1518</v>
      </c>
    </row>
    <row r="7" spans="1:1" ht="36">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估价对象为房地产，为所有。根据《国有土地使用证》[]，估价对象（分摊）出让国有建设用地使用权面积为57307平方米，建筑面积为171669.99平方米。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估价对象为房地产,属开发建设的，该项目尚在开发建设中。根据《国有土地使用证》[]，估价对象（分摊）出让国有建设用地使用权面积为57307平方米，规划建筑面积为171669.99平方米。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2022年4月11日（评估专业人员实地查勘之日）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11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4" t="str">
        <f>IF(项目基本情况!B9="房地产市场价值","——",IF(项目基本情况!E9="——","",定义!C57))</f>
        <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171669.99</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06" t="s">
        <v>2407</v>
      </c>
      <c r="D4" s="3419"/>
      <c r="E4" s="3420" t="s">
        <v>2408</v>
      </c>
      <c r="F4" s="3421"/>
      <c r="G4" s="3406" t="s">
        <v>2409</v>
      </c>
      <c r="H4" s="3419"/>
      <c r="I4" s="3406" t="s">
        <v>2410</v>
      </c>
      <c r="J4" s="3419"/>
      <c r="K4" s="567" t="s">
        <v>2411</v>
      </c>
      <c r="L4" s="2913"/>
      <c r="M4" s="2914"/>
      <c r="N4" s="2914"/>
      <c r="O4" s="2914"/>
      <c r="P4" s="3485" t="s">
        <v>2412</v>
      </c>
      <c r="Q4" s="3486"/>
      <c r="R4" s="3489" t="s">
        <v>2408</v>
      </c>
      <c r="S4" s="3490"/>
      <c r="T4" s="3489" t="s">
        <v>2409</v>
      </c>
      <c r="U4" s="3490"/>
      <c r="V4" s="3491" t="s">
        <v>2410</v>
      </c>
      <c r="W4" s="3491"/>
      <c r="X4" s="2113"/>
      <c r="Y4" s="3489" t="s">
        <v>2412</v>
      </c>
      <c r="Z4" s="3490"/>
      <c r="AA4" s="3493" t="s">
        <v>2408</v>
      </c>
      <c r="AB4" s="3493" t="s">
        <v>2409</v>
      </c>
      <c r="AC4" s="3482" t="s">
        <v>2410</v>
      </c>
    </row>
    <row r="5" spans="1:29" ht="15">
      <c r="A5" s="364"/>
      <c r="B5" s="365"/>
      <c r="C5" s="3436" t="s">
        <v>2303</v>
      </c>
      <c r="D5" s="3437"/>
      <c r="E5" s="3443" t="s">
        <v>2304</v>
      </c>
      <c r="F5" s="3444"/>
      <c r="G5" s="3436" t="s">
        <v>2305</v>
      </c>
      <c r="H5" s="3437"/>
      <c r="I5" s="3436" t="s">
        <v>2306</v>
      </c>
      <c r="J5" s="3437"/>
      <c r="K5" s="567"/>
      <c r="L5" s="2913"/>
      <c r="M5" s="2914"/>
      <c r="N5" s="2914"/>
      <c r="O5" s="2914"/>
      <c r="P5" s="3487"/>
      <c r="Q5" s="3425"/>
      <c r="R5" s="3430"/>
      <c r="S5" s="3431"/>
      <c r="T5" s="3430"/>
      <c r="U5" s="3431"/>
      <c r="V5" s="3415"/>
      <c r="W5" s="3415"/>
      <c r="X5" s="1508"/>
      <c r="Y5" s="3430"/>
      <c r="Z5" s="3431"/>
      <c r="AA5" s="3417"/>
      <c r="AB5" s="3417"/>
      <c r="AC5" s="3483"/>
    </row>
    <row r="6" spans="1:29" ht="15.75" thickBot="1">
      <c r="A6" s="366"/>
      <c r="B6" s="367"/>
      <c r="C6" s="3434" t="s">
        <v>2307</v>
      </c>
      <c r="D6" s="3435"/>
      <c r="E6" s="3441" t="s">
        <v>2307</v>
      </c>
      <c r="F6" s="3442"/>
      <c r="G6" s="3434" t="s">
        <v>2307</v>
      </c>
      <c r="H6" s="3435"/>
      <c r="I6" s="3434" t="s">
        <v>2307</v>
      </c>
      <c r="J6" s="3435"/>
      <c r="K6" s="567" t="s">
        <v>2308</v>
      </c>
      <c r="L6" s="2913"/>
      <c r="M6" s="2914"/>
      <c r="N6" s="2914"/>
      <c r="O6" s="2914"/>
      <c r="P6" s="3488"/>
      <c r="Q6" s="3427"/>
      <c r="R6" s="3430"/>
      <c r="S6" s="3431"/>
      <c r="T6" s="3432"/>
      <c r="U6" s="3433"/>
      <c r="V6" s="3415"/>
      <c r="W6" s="3415"/>
      <c r="X6" s="1508"/>
      <c r="Y6" s="3432"/>
      <c r="Z6" s="3433"/>
      <c r="AA6" s="3418"/>
      <c r="AB6" s="3418"/>
      <c r="AC6" s="3484"/>
    </row>
    <row r="7" spans="1:29" s="113" customFormat="1" ht="15.75" thickBot="1">
      <c r="A7" s="368" t="s">
        <v>2309</v>
      </c>
      <c r="B7" s="369"/>
      <c r="C7" s="370">
        <f>'数据-取费表'!B2</f>
        <v>44662</v>
      </c>
      <c r="D7" s="371">
        <v>100</v>
      </c>
      <c r="E7" s="372"/>
      <c r="F7" s="373">
        <f>SUMIF(59:59,YEAR(E7)&amp;"-"&amp;MONTH(E7),60:60)</f>
        <v>0</v>
      </c>
      <c r="G7" s="372"/>
      <c r="H7" s="371">
        <f>SUMIF(59:59,YEAR(G7)&amp;"-"&amp;MONTH(G7),60:60)</f>
        <v>0</v>
      </c>
      <c r="I7" s="372"/>
      <c r="J7" s="371">
        <f>SUMIF(59:59,YEAR(I7)&amp;"-"&amp;MONTH(I7),60:60)</f>
        <v>0</v>
      </c>
      <c r="K7" s="568"/>
      <c r="L7" s="2915"/>
      <c r="M7" s="2916"/>
      <c r="N7" s="2916"/>
      <c r="O7" s="2916"/>
      <c r="P7" s="3492" t="s">
        <v>2310</v>
      </c>
      <c r="Q7" s="3440"/>
      <c r="R7" s="710" t="s">
        <v>17</v>
      </c>
      <c r="S7" s="711">
        <f t="shared" ref="S7:S15" si="0">F7</f>
        <v>0</v>
      </c>
      <c r="T7" s="710" t="s">
        <v>17</v>
      </c>
      <c r="U7" s="711">
        <f t="shared" ref="U7:U15" si="1">H7</f>
        <v>0</v>
      </c>
      <c r="V7" s="710" t="s">
        <v>17</v>
      </c>
      <c r="W7" s="711">
        <f t="shared" ref="W7:W15" si="2">J7</f>
        <v>0</v>
      </c>
      <c r="X7" s="712"/>
      <c r="Y7" s="3438" t="s">
        <v>2310</v>
      </c>
      <c r="Z7" s="3439"/>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492" t="s">
        <v>2313</v>
      </c>
      <c r="Q8" s="3439"/>
      <c r="R8" s="710" t="s">
        <v>17</v>
      </c>
      <c r="S8" s="711">
        <f t="shared" si="0"/>
        <v>0</v>
      </c>
      <c r="T8" s="710" t="s">
        <v>17</v>
      </c>
      <c r="U8" s="711">
        <f t="shared" si="1"/>
        <v>0</v>
      </c>
      <c r="V8" s="710" t="s">
        <v>17</v>
      </c>
      <c r="W8" s="711">
        <f t="shared" si="2"/>
        <v>0</v>
      </c>
      <c r="X8" s="712"/>
      <c r="Y8" s="3438" t="s">
        <v>2313</v>
      </c>
      <c r="Z8" s="3439"/>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08" t="s">
        <v>2316</v>
      </c>
      <c r="Q9" s="1496"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08"/>
      <c r="Q10" s="1496"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08"/>
      <c r="Q11" s="1496"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08"/>
      <c r="Q12" s="1496">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08"/>
      <c r="Q13" s="1496">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08"/>
      <c r="Q14" s="1496">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2114">
        <f t="shared" si="5"/>
        <v>1</v>
      </c>
    </row>
    <row r="15" spans="1:29" ht="15">
      <c r="A15" s="399" t="s">
        <v>2320</v>
      </c>
      <c r="B15" s="585" t="s">
        <v>2448</v>
      </c>
      <c r="C15" s="211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77" t="s">
        <v>2321</v>
      </c>
      <c r="Q15" s="1505" t="str">
        <f t="shared" si="6"/>
        <v>办公集聚程度</v>
      </c>
      <c r="R15" s="714" t="s">
        <v>17</v>
      </c>
      <c r="S15" s="715">
        <f t="shared" si="0"/>
        <v>100</v>
      </c>
      <c r="T15" s="714" t="s">
        <v>17</v>
      </c>
      <c r="U15" s="715">
        <f t="shared" si="1"/>
        <v>100</v>
      </c>
      <c r="V15" s="714" t="s">
        <v>17</v>
      </c>
      <c r="W15" s="715">
        <f t="shared" si="2"/>
        <v>100</v>
      </c>
      <c r="X15" s="1508"/>
      <c r="Y15" s="3411"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478"/>
      <c r="Q16" s="1505"/>
      <c r="R16" s="714"/>
      <c r="S16" s="715"/>
      <c r="T16" s="714"/>
      <c r="U16" s="715"/>
      <c r="V16" s="714"/>
      <c r="W16" s="715"/>
      <c r="X16" s="1508"/>
      <c r="Y16" s="3412"/>
      <c r="Z16" s="1509"/>
      <c r="AA16" s="1506">
        <v>1</v>
      </c>
      <c r="AB16" s="1506">
        <v>1</v>
      </c>
      <c r="AC16" s="2117">
        <v>1</v>
      </c>
    </row>
    <row r="17" spans="1:29" ht="15">
      <c r="A17" s="387"/>
      <c r="B17" s="587" t="s">
        <v>1885</v>
      </c>
      <c r="C17" s="211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78"/>
      <c r="Q17" s="1505" t="str">
        <f>B17</f>
        <v>交通便捷度</v>
      </c>
      <c r="R17" s="714" t="s">
        <v>17</v>
      </c>
      <c r="S17" s="715">
        <f>F17</f>
        <v>100</v>
      </c>
      <c r="T17" s="714" t="s">
        <v>17</v>
      </c>
      <c r="U17" s="715">
        <f>H17</f>
        <v>100</v>
      </c>
      <c r="V17" s="714" t="s">
        <v>17</v>
      </c>
      <c r="W17" s="715">
        <f>J17</f>
        <v>100</v>
      </c>
      <c r="X17" s="1508"/>
      <c r="Y17" s="3412"/>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478"/>
      <c r="Q18" s="1505"/>
      <c r="R18" s="714"/>
      <c r="S18" s="715"/>
      <c r="T18" s="714"/>
      <c r="U18" s="715"/>
      <c r="V18" s="714"/>
      <c r="W18" s="715"/>
      <c r="X18" s="1508"/>
      <c r="Y18" s="3412"/>
      <c r="Z18" s="1509"/>
      <c r="AA18" s="1506">
        <v>1</v>
      </c>
      <c r="AB18" s="1506">
        <v>1</v>
      </c>
      <c r="AC18" s="2117">
        <v>1</v>
      </c>
    </row>
    <row r="19" spans="1:29" ht="15">
      <c r="A19" s="387"/>
      <c r="B19" s="587" t="s">
        <v>2449</v>
      </c>
      <c r="C19" s="211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78"/>
      <c r="Q19" s="1505" t="str">
        <f>B19</f>
        <v>公共配套设施</v>
      </c>
      <c r="R19" s="714" t="s">
        <v>17</v>
      </c>
      <c r="S19" s="715">
        <f>F19</f>
        <v>100</v>
      </c>
      <c r="T19" s="714" t="s">
        <v>17</v>
      </c>
      <c r="U19" s="715">
        <f>H19</f>
        <v>100</v>
      </c>
      <c r="V19" s="714" t="s">
        <v>17</v>
      </c>
      <c r="W19" s="715">
        <f>J19</f>
        <v>100</v>
      </c>
      <c r="X19" s="1508"/>
      <c r="Y19" s="3412"/>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478"/>
      <c r="Q20" s="1505"/>
      <c r="R20" s="714"/>
      <c r="S20" s="715"/>
      <c r="T20" s="714"/>
      <c r="U20" s="715"/>
      <c r="V20" s="714"/>
      <c r="W20" s="715"/>
      <c r="X20" s="1508"/>
      <c r="Y20" s="3412"/>
      <c r="Z20" s="1509"/>
      <c r="AA20" s="1506">
        <v>1</v>
      </c>
      <c r="AB20" s="1506">
        <v>1</v>
      </c>
      <c r="AC20" s="2117">
        <v>1</v>
      </c>
    </row>
    <row r="21" spans="1:29" ht="15">
      <c r="A21" s="387"/>
      <c r="B21" s="589" t="s">
        <v>2450</v>
      </c>
      <c r="C21" s="2118">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78"/>
      <c r="Q21" s="1505" t="str">
        <f>B21</f>
        <v>基础设施水平</v>
      </c>
      <c r="R21" s="714" t="s">
        <v>17</v>
      </c>
      <c r="S21" s="715">
        <f>F21</f>
        <v>100</v>
      </c>
      <c r="T21" s="714" t="s">
        <v>17</v>
      </c>
      <c r="U21" s="715">
        <f>H21</f>
        <v>100</v>
      </c>
      <c r="V21" s="714" t="s">
        <v>17</v>
      </c>
      <c r="W21" s="715">
        <f>J21</f>
        <v>100</v>
      </c>
      <c r="X21" s="1508"/>
      <c r="Y21" s="3412"/>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78"/>
      <c r="Q22" s="1505"/>
      <c r="R22" s="714"/>
      <c r="S22" s="715"/>
      <c r="T22" s="714"/>
      <c r="U22" s="715"/>
      <c r="V22" s="714"/>
      <c r="W22" s="715"/>
      <c r="X22" s="1508"/>
      <c r="Y22" s="3412"/>
      <c r="Z22" s="1509"/>
      <c r="AA22" s="1506">
        <v>1</v>
      </c>
      <c r="AB22" s="1506">
        <v>1</v>
      </c>
      <c r="AC22" s="2117">
        <v>1</v>
      </c>
    </row>
    <row r="23" spans="1:29" ht="15">
      <c r="A23" s="387"/>
      <c r="B23" s="587" t="s">
        <v>2451</v>
      </c>
      <c r="C23" s="211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78"/>
      <c r="Q23" s="1505" t="str">
        <f>B23</f>
        <v>环境质量</v>
      </c>
      <c r="R23" s="714" t="s">
        <v>17</v>
      </c>
      <c r="S23" s="715">
        <f>F23</f>
        <v>100</v>
      </c>
      <c r="T23" s="714" t="s">
        <v>17</v>
      </c>
      <c r="U23" s="715">
        <f>H23</f>
        <v>100</v>
      </c>
      <c r="V23" s="714" t="s">
        <v>17</v>
      </c>
      <c r="W23" s="715">
        <f>J23</f>
        <v>100</v>
      </c>
      <c r="X23" s="1508"/>
      <c r="Y23" s="3412"/>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478"/>
      <c r="Q24" s="1505"/>
      <c r="R24" s="714"/>
      <c r="S24" s="715"/>
      <c r="T24" s="714"/>
      <c r="U24" s="715"/>
      <c r="V24" s="714"/>
      <c r="W24" s="715"/>
      <c r="X24" s="1508"/>
      <c r="Y24" s="3412"/>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78"/>
      <c r="Q25" s="1505" t="str">
        <f>B25</f>
        <v>毗邻道路的类型与等级</v>
      </c>
      <c r="R25" s="714" t="s">
        <v>17</v>
      </c>
      <c r="S25" s="715">
        <f>F25</f>
        <v>100</v>
      </c>
      <c r="T25" s="714" t="s">
        <v>17</v>
      </c>
      <c r="U25" s="715">
        <f>H25</f>
        <v>100</v>
      </c>
      <c r="V25" s="714" t="s">
        <v>17</v>
      </c>
      <c r="W25" s="715">
        <f>J25</f>
        <v>100</v>
      </c>
      <c r="X25" s="1508"/>
      <c r="Y25" s="3412"/>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478"/>
      <c r="Q26" s="1505"/>
      <c r="R26" s="714"/>
      <c r="S26" s="715"/>
      <c r="T26" s="714"/>
      <c r="U26" s="715"/>
      <c r="V26" s="714"/>
      <c r="W26" s="715"/>
      <c r="X26" s="1508"/>
      <c r="Y26" s="3412"/>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78"/>
      <c r="Q27" s="1505" t="str">
        <f t="shared" ref="Q27:Q47" si="11">B27</f>
        <v>楼层</v>
      </c>
      <c r="R27" s="714" t="s">
        <v>17</v>
      </c>
      <c r="S27" s="715">
        <f>F27</f>
        <v>100</v>
      </c>
      <c r="T27" s="714" t="s">
        <v>17</v>
      </c>
      <c r="U27" s="715">
        <f>H27</f>
        <v>100</v>
      </c>
      <c r="V27" s="714" t="s">
        <v>17</v>
      </c>
      <c r="W27" s="715">
        <f>J27</f>
        <v>100</v>
      </c>
      <c r="X27" s="1508"/>
      <c r="Y27" s="3412"/>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78"/>
      <c r="Q28" s="1496" t="str">
        <f t="shared" si="11"/>
        <v>朝向</v>
      </c>
      <c r="R28" s="710" t="s">
        <v>17</v>
      </c>
      <c r="S28" s="711">
        <f>F28</f>
        <v>100</v>
      </c>
      <c r="T28" s="710" t="s">
        <v>17</v>
      </c>
      <c r="U28" s="711">
        <f>H28</f>
        <v>100</v>
      </c>
      <c r="V28" s="710" t="s">
        <v>17</v>
      </c>
      <c r="W28" s="711">
        <f>J28</f>
        <v>100</v>
      </c>
      <c r="X28" s="712"/>
      <c r="Y28" s="3412"/>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78"/>
      <c r="Q29" s="1505">
        <f t="shared" si="11"/>
        <v>111</v>
      </c>
      <c r="R29" s="714" t="s">
        <v>17</v>
      </c>
      <c r="S29" s="715">
        <f t="shared" ref="S29:S47" si="12">F29</f>
        <v>100</v>
      </c>
      <c r="T29" s="714" t="s">
        <v>17</v>
      </c>
      <c r="U29" s="715">
        <f t="shared" ref="U29:U47" si="13">H29</f>
        <v>100</v>
      </c>
      <c r="V29" s="714" t="s">
        <v>17</v>
      </c>
      <c r="W29" s="715">
        <f t="shared" ref="W29:W47" si="14">J29</f>
        <v>100</v>
      </c>
      <c r="X29" s="1508"/>
      <c r="Y29" s="3412"/>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78"/>
      <c r="Q30" s="1505">
        <f t="shared" si="11"/>
        <v>111</v>
      </c>
      <c r="R30" s="714" t="s">
        <v>17</v>
      </c>
      <c r="S30" s="715">
        <f t="shared" si="12"/>
        <v>100</v>
      </c>
      <c r="T30" s="714" t="s">
        <v>17</v>
      </c>
      <c r="U30" s="715">
        <f t="shared" si="13"/>
        <v>100</v>
      </c>
      <c r="V30" s="714" t="s">
        <v>17</v>
      </c>
      <c r="W30" s="715">
        <f t="shared" si="14"/>
        <v>100</v>
      </c>
      <c r="X30" s="1508"/>
      <c r="Y30" s="3412"/>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78"/>
      <c r="Q31" s="1505">
        <f t="shared" si="11"/>
        <v>111</v>
      </c>
      <c r="R31" s="714" t="s">
        <v>17</v>
      </c>
      <c r="S31" s="715">
        <f t="shared" si="12"/>
        <v>100</v>
      </c>
      <c r="T31" s="714" t="s">
        <v>17</v>
      </c>
      <c r="U31" s="715">
        <f t="shared" si="13"/>
        <v>100</v>
      </c>
      <c r="V31" s="714" t="s">
        <v>17</v>
      </c>
      <c r="W31" s="715">
        <f t="shared" si="14"/>
        <v>100</v>
      </c>
      <c r="X31" s="1508"/>
      <c r="Y31" s="3412"/>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78"/>
      <c r="Q32" s="1505">
        <f t="shared" si="11"/>
        <v>111</v>
      </c>
      <c r="R32" s="714" t="s">
        <v>17</v>
      </c>
      <c r="S32" s="715">
        <f t="shared" si="12"/>
        <v>100</v>
      </c>
      <c r="T32" s="714" t="s">
        <v>17</v>
      </c>
      <c r="U32" s="715">
        <f t="shared" si="13"/>
        <v>100</v>
      </c>
      <c r="V32" s="714" t="s">
        <v>17</v>
      </c>
      <c r="W32" s="715">
        <f t="shared" si="14"/>
        <v>100</v>
      </c>
      <c r="X32" s="1508"/>
      <c r="Y32" s="3412"/>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73" t="s">
        <v>2326</v>
      </c>
      <c r="Q33" s="1505" t="str">
        <f t="shared" si="11"/>
        <v>建筑类型</v>
      </c>
      <c r="R33" s="714" t="s">
        <v>17</v>
      </c>
      <c r="S33" s="715">
        <f t="shared" si="12"/>
        <v>100</v>
      </c>
      <c r="T33" s="714" t="s">
        <v>17</v>
      </c>
      <c r="U33" s="715">
        <f t="shared" si="13"/>
        <v>100</v>
      </c>
      <c r="V33" s="714" t="s">
        <v>17</v>
      </c>
      <c r="W33" s="715">
        <f t="shared" si="14"/>
        <v>100</v>
      </c>
      <c r="X33" s="1508"/>
      <c r="Y33" s="3414"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74"/>
      <c r="Q34" s="716" t="str">
        <f t="shared" si="11"/>
        <v>项目建筑规模</v>
      </c>
      <c r="R34" s="717" t="s">
        <v>17</v>
      </c>
      <c r="S34" s="718" t="e">
        <f t="shared" si="12"/>
        <v>#N/A</v>
      </c>
      <c r="T34" s="717" t="s">
        <v>17</v>
      </c>
      <c r="U34" s="718" t="e">
        <f t="shared" si="13"/>
        <v>#N/A</v>
      </c>
      <c r="V34" s="717" t="s">
        <v>17</v>
      </c>
      <c r="W34" s="718" t="e">
        <f t="shared" si="14"/>
        <v>#N/A</v>
      </c>
      <c r="X34" s="719"/>
      <c r="Y34" s="3414"/>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74"/>
      <c r="Q35" s="1505" t="str">
        <f t="shared" si="11"/>
        <v>建筑结构</v>
      </c>
      <c r="R35" s="714" t="s">
        <v>17</v>
      </c>
      <c r="S35" s="715">
        <f t="shared" si="12"/>
        <v>100</v>
      </c>
      <c r="T35" s="714" t="s">
        <v>17</v>
      </c>
      <c r="U35" s="715">
        <f t="shared" si="13"/>
        <v>100</v>
      </c>
      <c r="V35" s="714" t="s">
        <v>17</v>
      </c>
      <c r="W35" s="715">
        <f t="shared" si="14"/>
        <v>100</v>
      </c>
      <c r="X35" s="1508"/>
      <c r="Y35" s="3414"/>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74"/>
      <c r="Q36" s="1505" t="str">
        <f t="shared" si="11"/>
        <v>公共部分装修</v>
      </c>
      <c r="R36" s="714" t="s">
        <v>17</v>
      </c>
      <c r="S36" s="715">
        <f t="shared" si="12"/>
        <v>100</v>
      </c>
      <c r="T36" s="714" t="s">
        <v>17</v>
      </c>
      <c r="U36" s="715">
        <f t="shared" si="13"/>
        <v>100</v>
      </c>
      <c r="V36" s="714" t="s">
        <v>17</v>
      </c>
      <c r="W36" s="715">
        <f t="shared" si="14"/>
        <v>100</v>
      </c>
      <c r="X36" s="1508"/>
      <c r="Y36" s="3414"/>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74"/>
      <c r="Q37" s="1505" t="str">
        <f t="shared" si="11"/>
        <v>成新度</v>
      </c>
      <c r="R37" s="714" t="s">
        <v>17</v>
      </c>
      <c r="S37" s="715" t="e">
        <f t="shared" si="12"/>
        <v>#N/A</v>
      </c>
      <c r="T37" s="714" t="s">
        <v>17</v>
      </c>
      <c r="U37" s="715" t="e">
        <f t="shared" si="13"/>
        <v>#N/A</v>
      </c>
      <c r="V37" s="714" t="s">
        <v>17</v>
      </c>
      <c r="W37" s="715" t="e">
        <f t="shared" si="14"/>
        <v>#N/A</v>
      </c>
      <c r="X37" s="1508"/>
      <c r="Y37" s="3414"/>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74"/>
      <c r="Q38" s="1496" t="str">
        <f t="shared" si="11"/>
        <v>写字楼等级</v>
      </c>
      <c r="R38" s="710" t="s">
        <v>17</v>
      </c>
      <c r="S38" s="711">
        <f t="shared" si="12"/>
        <v>100</v>
      </c>
      <c r="T38" s="710" t="s">
        <v>17</v>
      </c>
      <c r="U38" s="711">
        <f t="shared" si="13"/>
        <v>100</v>
      </c>
      <c r="V38" s="710" t="s">
        <v>17</v>
      </c>
      <c r="W38" s="711">
        <f t="shared" si="14"/>
        <v>100</v>
      </c>
      <c r="X38" s="712"/>
      <c r="Y38" s="3414"/>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74" t="s">
        <v>2326</v>
      </c>
      <c r="Q39" s="1505" t="str">
        <f t="shared" si="11"/>
        <v>物业管理</v>
      </c>
      <c r="R39" s="714" t="s">
        <v>17</v>
      </c>
      <c r="S39" s="715">
        <f t="shared" si="12"/>
        <v>100</v>
      </c>
      <c r="T39" s="714" t="s">
        <v>17</v>
      </c>
      <c r="U39" s="715">
        <f t="shared" si="13"/>
        <v>100</v>
      </c>
      <c r="V39" s="714" t="s">
        <v>17</v>
      </c>
      <c r="W39" s="715">
        <f t="shared" si="14"/>
        <v>100</v>
      </c>
      <c r="X39" s="1508"/>
      <c r="Y39" s="3414"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74"/>
      <c r="Q40" s="1505" t="str">
        <f t="shared" si="11"/>
        <v>市政基础设施</v>
      </c>
      <c r="R40" s="714" t="s">
        <v>17</v>
      </c>
      <c r="S40" s="715">
        <f t="shared" si="12"/>
        <v>100</v>
      </c>
      <c r="T40" s="714" t="s">
        <v>17</v>
      </c>
      <c r="U40" s="715">
        <f t="shared" si="13"/>
        <v>100</v>
      </c>
      <c r="V40" s="714" t="s">
        <v>17</v>
      </c>
      <c r="W40" s="715">
        <f t="shared" si="14"/>
        <v>100</v>
      </c>
      <c r="X40" s="1508"/>
      <c r="Y40" s="3414"/>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74"/>
      <c r="Q41" s="1505" t="str">
        <f t="shared" si="11"/>
        <v>层高</v>
      </c>
      <c r="R41" s="714" t="s">
        <v>17</v>
      </c>
      <c r="S41" s="715">
        <f t="shared" si="12"/>
        <v>100</v>
      </c>
      <c r="T41" s="714" t="s">
        <v>17</v>
      </c>
      <c r="U41" s="715">
        <f t="shared" si="13"/>
        <v>100</v>
      </c>
      <c r="V41" s="714" t="s">
        <v>17</v>
      </c>
      <c r="W41" s="715">
        <f t="shared" si="14"/>
        <v>100</v>
      </c>
      <c r="X41" s="1508"/>
      <c r="Y41" s="3414"/>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74"/>
      <c r="Q42" s="716" t="str">
        <f t="shared" si="11"/>
        <v>单套建筑面积</v>
      </c>
      <c r="R42" s="717" t="s">
        <v>17</v>
      </c>
      <c r="S42" s="718">
        <f t="shared" si="12"/>
        <v>100</v>
      </c>
      <c r="T42" s="717" t="s">
        <v>17</v>
      </c>
      <c r="U42" s="718">
        <f t="shared" si="13"/>
        <v>100</v>
      </c>
      <c r="V42" s="717" t="s">
        <v>17</v>
      </c>
      <c r="W42" s="718">
        <f t="shared" si="14"/>
        <v>100</v>
      </c>
      <c r="X42" s="719"/>
      <c r="Y42" s="3414"/>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74"/>
      <c r="Q43" s="1505" t="str">
        <f t="shared" si="11"/>
        <v>内部装修</v>
      </c>
      <c r="R43" s="714" t="s">
        <v>17</v>
      </c>
      <c r="S43" s="715">
        <f t="shared" si="12"/>
        <v>100</v>
      </c>
      <c r="T43" s="714" t="s">
        <v>17</v>
      </c>
      <c r="U43" s="715">
        <f t="shared" si="13"/>
        <v>100</v>
      </c>
      <c r="V43" s="714" t="s">
        <v>17</v>
      </c>
      <c r="W43" s="715">
        <f t="shared" si="14"/>
        <v>100</v>
      </c>
      <c r="X43" s="1508"/>
      <c r="Y43" s="3414"/>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74"/>
      <c r="Q44" s="1505" t="str">
        <f t="shared" si="11"/>
        <v>内部装修维护情况</v>
      </c>
      <c r="R44" s="714" t="s">
        <v>17</v>
      </c>
      <c r="S44" s="715">
        <f t="shared" si="12"/>
        <v>100</v>
      </c>
      <c r="T44" s="714" t="s">
        <v>17</v>
      </c>
      <c r="U44" s="715">
        <f t="shared" si="13"/>
        <v>100</v>
      </c>
      <c r="V44" s="714" t="s">
        <v>17</v>
      </c>
      <c r="W44" s="715">
        <f t="shared" si="14"/>
        <v>100</v>
      </c>
      <c r="X44" s="1508"/>
      <c r="Y44" s="3414"/>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74"/>
      <c r="Q45" s="1496">
        <f t="shared" si="11"/>
        <v>111</v>
      </c>
      <c r="R45" s="710" t="s">
        <v>17</v>
      </c>
      <c r="S45" s="711">
        <f t="shared" si="12"/>
        <v>100</v>
      </c>
      <c r="T45" s="710" t="s">
        <v>17</v>
      </c>
      <c r="U45" s="711">
        <f t="shared" si="13"/>
        <v>100</v>
      </c>
      <c r="V45" s="710" t="s">
        <v>17</v>
      </c>
      <c r="W45" s="711">
        <f t="shared" si="14"/>
        <v>100</v>
      </c>
      <c r="X45" s="712"/>
      <c r="Y45" s="3414"/>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74"/>
      <c r="Q46" s="1505">
        <f t="shared" si="11"/>
        <v>111</v>
      </c>
      <c r="R46" s="714" t="s">
        <v>17</v>
      </c>
      <c r="S46" s="715">
        <f t="shared" si="12"/>
        <v>100</v>
      </c>
      <c r="T46" s="714" t="s">
        <v>17</v>
      </c>
      <c r="U46" s="715">
        <f t="shared" si="13"/>
        <v>100</v>
      </c>
      <c r="V46" s="714" t="s">
        <v>17</v>
      </c>
      <c r="W46" s="715">
        <f t="shared" si="14"/>
        <v>100</v>
      </c>
      <c r="X46" s="1508"/>
      <c r="Y46" s="3414"/>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75"/>
      <c r="Q47" s="1505">
        <f t="shared" si="11"/>
        <v>111</v>
      </c>
      <c r="R47" s="714" t="s">
        <v>17</v>
      </c>
      <c r="S47" s="715">
        <f t="shared" si="12"/>
        <v>100</v>
      </c>
      <c r="T47" s="714" t="s">
        <v>17</v>
      </c>
      <c r="U47" s="715">
        <f t="shared" si="13"/>
        <v>100</v>
      </c>
      <c r="V47" s="714" t="s">
        <v>17</v>
      </c>
      <c r="W47" s="715">
        <f t="shared" si="14"/>
        <v>100</v>
      </c>
      <c r="X47" s="1508"/>
      <c r="Y47" s="3476"/>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08" t="str">
        <f>A48</f>
        <v>成交单价（元/平方米）</v>
      </c>
      <c r="Q48" s="3409"/>
      <c r="R48" s="3472">
        <f>E48</f>
        <v>0</v>
      </c>
      <c r="S48" s="3472"/>
      <c r="T48" s="3472">
        <f>G48</f>
        <v>0</v>
      </c>
      <c r="U48" s="3472"/>
      <c r="V48" s="3472">
        <f>I48</f>
        <v>0</v>
      </c>
      <c r="W48" s="3472"/>
      <c r="X48" s="405"/>
      <c r="Y48" s="721"/>
      <c r="Z48" s="405"/>
      <c r="AA48" s="405"/>
      <c r="AB48" s="405"/>
      <c r="AC48" s="586"/>
    </row>
    <row r="49" spans="1:29" ht="15.75" thickBot="1">
      <c r="A49" s="445" t="s">
        <v>2430</v>
      </c>
      <c r="B49" s="446"/>
      <c r="C49" s="1294" t="e">
        <f>R50</f>
        <v>#DIV/0!</v>
      </c>
      <c r="D49" s="2507" t="s">
        <v>2820</v>
      </c>
      <c r="E49" s="1295" t="e">
        <f>R49</f>
        <v>#DIV/0!</v>
      </c>
      <c r="F49" s="2508"/>
      <c r="G49" s="1294" t="e">
        <f>T49</f>
        <v>#DIV/0!</v>
      </c>
      <c r="H49" s="2508"/>
      <c r="I49" s="1295" t="e">
        <f>V49</f>
        <v>#DIV/0!</v>
      </c>
      <c r="J49" s="2508"/>
      <c r="K49" s="2510">
        <f>F49+H49+J49</f>
        <v>0</v>
      </c>
      <c r="L49" s="2922"/>
      <c r="M49" s="2914"/>
      <c r="N49" s="2914"/>
      <c r="O49" s="2914"/>
      <c r="P49" s="3408" t="str">
        <f>A49</f>
        <v>比较价值（元/平方米）</v>
      </c>
      <c r="Q49" s="3409"/>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479" t="str">
        <f>A50</f>
        <v>估价对象XX用房的比较价值（楼面单价，元/平方米）</v>
      </c>
      <c r="Q50" s="3480"/>
      <c r="R50" s="3481" t="e">
        <f>IF(F1="售价",ROUND(IF(D49="简单平均",AVERAGE(R49:V49),R49*F49+T49*H49+V49*J49),0),ROUND(IF(D49="简单平均",AVERAGE(R49:V49),R49*F49+T49*H49+V49*J49),1))</f>
        <v>#DIV/0!</v>
      </c>
      <c r="S50" s="3481"/>
      <c r="T50" s="3481"/>
      <c r="U50" s="3481"/>
      <c r="V50" s="3481"/>
      <c r="W50" s="3481"/>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2022-4</v>
      </c>
      <c r="D59" s="1318">
        <f>EDATE(C59,-1)</f>
        <v>44621</v>
      </c>
      <c r="E59" s="1318">
        <f>EDATE(D59,-1)</f>
        <v>44593</v>
      </c>
      <c r="F59" s="1318">
        <f t="shared" ref="F59:O59" si="16">EDATE(E59,-1)</f>
        <v>44562</v>
      </c>
      <c r="G59" s="1318">
        <f t="shared" si="16"/>
        <v>44531</v>
      </c>
      <c r="H59" s="1318">
        <f t="shared" si="16"/>
        <v>44501</v>
      </c>
      <c r="I59" s="1318">
        <f t="shared" si="16"/>
        <v>44470</v>
      </c>
      <c r="J59" s="1318">
        <f t="shared" si="16"/>
        <v>44440</v>
      </c>
      <c r="K59" s="1318">
        <f t="shared" si="16"/>
        <v>44409</v>
      </c>
      <c r="L59" s="1318">
        <f t="shared" si="16"/>
        <v>44378</v>
      </c>
      <c r="M59" s="1318">
        <f t="shared" si="16"/>
        <v>44348</v>
      </c>
      <c r="N59" s="1318">
        <f t="shared" si="16"/>
        <v>44317</v>
      </c>
      <c r="O59" s="1318">
        <f t="shared" si="16"/>
        <v>44287</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171669.99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06" t="s">
        <v>2407</v>
      </c>
      <c r="D4" s="3419"/>
      <c r="E4" s="3420" t="s">
        <v>2408</v>
      </c>
      <c r="F4" s="3421"/>
      <c r="G4" s="3406" t="s">
        <v>2409</v>
      </c>
      <c r="H4" s="3419"/>
      <c r="I4" s="3406" t="s">
        <v>2410</v>
      </c>
      <c r="J4" s="3419"/>
      <c r="K4" s="567" t="s">
        <v>2411</v>
      </c>
      <c r="L4" s="1044"/>
      <c r="M4" s="1045"/>
      <c r="N4" s="1045"/>
      <c r="O4" s="1045"/>
      <c r="P4" s="3422" t="s">
        <v>2412</v>
      </c>
      <c r="Q4" s="3423"/>
      <c r="R4" s="3428" t="s">
        <v>2408</v>
      </c>
      <c r="S4" s="3429"/>
      <c r="T4" s="3428" t="s">
        <v>2409</v>
      </c>
      <c r="U4" s="3429"/>
      <c r="V4" s="3415" t="s">
        <v>2410</v>
      </c>
      <c r="W4" s="3415"/>
      <c r="X4" s="1508"/>
      <c r="Y4" s="3428" t="s">
        <v>2412</v>
      </c>
      <c r="Z4" s="3429"/>
      <c r="AA4" s="3416" t="s">
        <v>2408</v>
      </c>
      <c r="AB4" s="3417" t="s">
        <v>2409</v>
      </c>
      <c r="AC4" s="3416" t="s">
        <v>2410</v>
      </c>
    </row>
    <row r="5" spans="1:29" ht="15">
      <c r="A5" s="364"/>
      <c r="B5" s="365"/>
      <c r="C5" s="3436" t="s">
        <v>2303</v>
      </c>
      <c r="D5" s="3437"/>
      <c r="E5" s="3443" t="s">
        <v>2304</v>
      </c>
      <c r="F5" s="3444"/>
      <c r="G5" s="3436" t="s">
        <v>2305</v>
      </c>
      <c r="H5" s="3437"/>
      <c r="I5" s="3436" t="s">
        <v>2306</v>
      </c>
      <c r="J5" s="3437"/>
      <c r="K5" s="567"/>
      <c r="L5" s="1044"/>
      <c r="M5" s="1045"/>
      <c r="N5" s="1045"/>
      <c r="O5" s="1045"/>
      <c r="P5" s="3424"/>
      <c r="Q5" s="3425"/>
      <c r="R5" s="3430"/>
      <c r="S5" s="3431"/>
      <c r="T5" s="3430"/>
      <c r="U5" s="3431"/>
      <c r="V5" s="3415"/>
      <c r="W5" s="3415"/>
      <c r="X5" s="1508"/>
      <c r="Y5" s="3430"/>
      <c r="Z5" s="3431"/>
      <c r="AA5" s="3417"/>
      <c r="AB5" s="3417"/>
      <c r="AC5" s="3417"/>
    </row>
    <row r="6" spans="1:29" ht="15.75" thickBot="1">
      <c r="A6" s="366"/>
      <c r="B6" s="367"/>
      <c r="C6" s="3434" t="s">
        <v>2307</v>
      </c>
      <c r="D6" s="3435"/>
      <c r="E6" s="3441" t="s">
        <v>2307</v>
      </c>
      <c r="F6" s="3442"/>
      <c r="G6" s="3434" t="s">
        <v>2307</v>
      </c>
      <c r="H6" s="3435"/>
      <c r="I6" s="3434" t="s">
        <v>2307</v>
      </c>
      <c r="J6" s="3435"/>
      <c r="K6" s="567" t="s">
        <v>2308</v>
      </c>
      <c r="L6" s="1044"/>
      <c r="M6" s="1045"/>
      <c r="N6" s="1045"/>
      <c r="O6" s="1045"/>
      <c r="P6" s="3426"/>
      <c r="Q6" s="3427"/>
      <c r="R6" s="3430"/>
      <c r="S6" s="3431"/>
      <c r="T6" s="3432"/>
      <c r="U6" s="3433"/>
      <c r="V6" s="3415"/>
      <c r="W6" s="3415"/>
      <c r="X6" s="1508"/>
      <c r="Y6" s="3432"/>
      <c r="Z6" s="3433"/>
      <c r="AA6" s="3418"/>
      <c r="AB6" s="3418"/>
      <c r="AC6" s="3418"/>
    </row>
    <row r="7" spans="1:29" s="113" customFormat="1" ht="15.75" thickBot="1">
      <c r="A7" s="368" t="s">
        <v>2309</v>
      </c>
      <c r="B7" s="369"/>
      <c r="C7" s="370">
        <f>'数据-取费表'!B2</f>
        <v>44662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8" t="s">
        <v>2310</v>
      </c>
      <c r="Q7" s="3440"/>
      <c r="R7" s="710" t="s">
        <v>17</v>
      </c>
      <c r="S7" s="711">
        <f t="shared" ref="S7:S15" si="0">F7</f>
        <v>0</v>
      </c>
      <c r="T7" s="710" t="s">
        <v>17</v>
      </c>
      <c r="U7" s="711">
        <f t="shared" ref="U7:U15" si="1">H7</f>
        <v>0</v>
      </c>
      <c r="V7" s="710" t="s">
        <v>17</v>
      </c>
      <c r="W7" s="711">
        <f t="shared" ref="W7:W15" si="2">J7</f>
        <v>0</v>
      </c>
      <c r="X7" s="712"/>
      <c r="Y7" s="3438" t="s">
        <v>2310</v>
      </c>
      <c r="Z7" s="3439"/>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8" t="s">
        <v>2313</v>
      </c>
      <c r="Q8" s="3439"/>
      <c r="R8" s="710" t="s">
        <v>17</v>
      </c>
      <c r="S8" s="711">
        <f t="shared" si="0"/>
        <v>0</v>
      </c>
      <c r="T8" s="710" t="s">
        <v>17</v>
      </c>
      <c r="U8" s="711">
        <f t="shared" si="1"/>
        <v>0</v>
      </c>
      <c r="V8" s="710" t="s">
        <v>17</v>
      </c>
      <c r="W8" s="711">
        <f t="shared" si="2"/>
        <v>0</v>
      </c>
      <c r="X8" s="712"/>
      <c r="Y8" s="3438" t="s">
        <v>2313</v>
      </c>
      <c r="Z8" s="3439"/>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09" t="s">
        <v>2316</v>
      </c>
      <c r="Q9" s="1496"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09"/>
      <c r="Q10" s="1496"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09"/>
      <c r="Q11" s="1496"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09"/>
      <c r="Q12" s="1496">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09"/>
      <c r="Q13" s="1496">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09"/>
      <c r="Q14" s="1496">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713">
        <f t="shared" si="5"/>
        <v>1</v>
      </c>
    </row>
    <row r="15" spans="1:29" ht="15">
      <c r="A15" s="399" t="s">
        <v>2320</v>
      </c>
      <c r="B15" s="65" t="s">
        <v>2464</v>
      </c>
      <c r="C15" s="212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11" t="s">
        <v>2321</v>
      </c>
      <c r="Q15" s="1505" t="str">
        <f t="shared" si="6"/>
        <v>产业集聚程度</v>
      </c>
      <c r="R15" s="714" t="s">
        <v>17</v>
      </c>
      <c r="S15" s="715">
        <f t="shared" si="0"/>
        <v>100</v>
      </c>
      <c r="T15" s="714" t="s">
        <v>17</v>
      </c>
      <c r="U15" s="715">
        <f t="shared" si="1"/>
        <v>100</v>
      </c>
      <c r="V15" s="714" t="s">
        <v>17</v>
      </c>
      <c r="W15" s="715">
        <f t="shared" si="2"/>
        <v>100</v>
      </c>
      <c r="X15" s="1508"/>
      <c r="Y15" s="3411"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12"/>
      <c r="Q16" s="1505"/>
      <c r="R16" s="714"/>
      <c r="S16" s="715"/>
      <c r="T16" s="714"/>
      <c r="U16" s="715"/>
      <c r="V16" s="714"/>
      <c r="W16" s="715"/>
      <c r="X16" s="1508"/>
      <c r="Y16" s="3412"/>
      <c r="Z16" s="1509"/>
      <c r="AA16" s="1506">
        <v>1</v>
      </c>
      <c r="AB16" s="1506">
        <v>1</v>
      </c>
      <c r="AC16" s="1506">
        <v>1</v>
      </c>
    </row>
    <row r="17" spans="1:29" ht="15">
      <c r="A17" s="387"/>
      <c r="B17" s="410" t="s">
        <v>1885</v>
      </c>
      <c r="C17" s="205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12"/>
      <c r="Q17" s="1505" t="str">
        <f>B17</f>
        <v>交通便捷度</v>
      </c>
      <c r="R17" s="714" t="s">
        <v>17</v>
      </c>
      <c r="S17" s="715">
        <f>F17</f>
        <v>100</v>
      </c>
      <c r="T17" s="714" t="s">
        <v>17</v>
      </c>
      <c r="U17" s="715">
        <f>H17</f>
        <v>100</v>
      </c>
      <c r="V17" s="714" t="s">
        <v>17</v>
      </c>
      <c r="W17" s="715">
        <f>J17</f>
        <v>100</v>
      </c>
      <c r="X17" s="1508"/>
      <c r="Y17" s="3412"/>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12"/>
      <c r="Q18" s="1505"/>
      <c r="R18" s="714"/>
      <c r="S18" s="715"/>
      <c r="T18" s="714"/>
      <c r="U18" s="715"/>
      <c r="V18" s="714"/>
      <c r="W18" s="715"/>
      <c r="X18" s="1508"/>
      <c r="Y18" s="3412"/>
      <c r="Z18" s="1509"/>
      <c r="AA18" s="1506">
        <v>1</v>
      </c>
      <c r="AB18" s="1506">
        <v>1</v>
      </c>
      <c r="AC18" s="1506">
        <v>1</v>
      </c>
    </row>
    <row r="19" spans="1:29" ht="15">
      <c r="A19" s="387"/>
      <c r="B19" s="410" t="s">
        <v>2449</v>
      </c>
      <c r="C19" s="205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12"/>
      <c r="Q19" s="1505" t="str">
        <f>B19</f>
        <v>公共配套设施</v>
      </c>
      <c r="R19" s="714" t="s">
        <v>17</v>
      </c>
      <c r="S19" s="715">
        <f>F19</f>
        <v>100</v>
      </c>
      <c r="T19" s="714" t="s">
        <v>17</v>
      </c>
      <c r="U19" s="715">
        <f>H19</f>
        <v>100</v>
      </c>
      <c r="V19" s="714" t="s">
        <v>17</v>
      </c>
      <c r="W19" s="715">
        <f>J19</f>
        <v>100</v>
      </c>
      <c r="X19" s="1508"/>
      <c r="Y19" s="3412"/>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12"/>
      <c r="Q20" s="1505"/>
      <c r="R20" s="714"/>
      <c r="S20" s="715"/>
      <c r="T20" s="714"/>
      <c r="U20" s="715"/>
      <c r="V20" s="714"/>
      <c r="W20" s="715"/>
      <c r="X20" s="1508"/>
      <c r="Y20" s="3412"/>
      <c r="Z20" s="1509"/>
      <c r="AA20" s="1506">
        <v>1</v>
      </c>
      <c r="AB20" s="1506">
        <v>1</v>
      </c>
      <c r="AC20" s="1506">
        <v>1</v>
      </c>
    </row>
    <row r="21" spans="1:29" ht="15">
      <c r="A21" s="387"/>
      <c r="B21" s="1265" t="s">
        <v>2450</v>
      </c>
      <c r="C21" s="205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12"/>
      <c r="Q21" s="1505" t="str">
        <f>B21</f>
        <v>基础设施水平</v>
      </c>
      <c r="R21" s="714" t="s">
        <v>17</v>
      </c>
      <c r="S21" s="715">
        <f>F21</f>
        <v>100</v>
      </c>
      <c r="T21" s="714" t="s">
        <v>17</v>
      </c>
      <c r="U21" s="715">
        <f>H21</f>
        <v>100</v>
      </c>
      <c r="V21" s="714" t="s">
        <v>17</v>
      </c>
      <c r="W21" s="715">
        <f>J21</f>
        <v>100</v>
      </c>
      <c r="X21" s="1508"/>
      <c r="Y21" s="3412"/>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12"/>
      <c r="Q22" s="1505"/>
      <c r="R22" s="714"/>
      <c r="S22" s="715"/>
      <c r="T22" s="714"/>
      <c r="U22" s="715"/>
      <c r="V22" s="714"/>
      <c r="W22" s="715"/>
      <c r="X22" s="1508"/>
      <c r="Y22" s="3412"/>
      <c r="Z22" s="1509"/>
      <c r="AA22" s="1506">
        <v>1</v>
      </c>
      <c r="AB22" s="1506">
        <v>1</v>
      </c>
      <c r="AC22" s="1506">
        <v>1</v>
      </c>
    </row>
    <row r="23" spans="1:29" ht="15">
      <c r="A23" s="387"/>
      <c r="B23" s="410" t="s">
        <v>2451</v>
      </c>
      <c r="C23" s="205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12"/>
      <c r="Q23" s="1505" t="str">
        <f>B23</f>
        <v>环境质量</v>
      </c>
      <c r="R23" s="714" t="s">
        <v>17</v>
      </c>
      <c r="S23" s="715">
        <f>F23</f>
        <v>100</v>
      </c>
      <c r="T23" s="714" t="s">
        <v>17</v>
      </c>
      <c r="U23" s="715">
        <f>H23</f>
        <v>100</v>
      </c>
      <c r="V23" s="714" t="s">
        <v>17</v>
      </c>
      <c r="W23" s="715">
        <f>J23</f>
        <v>100</v>
      </c>
      <c r="X23" s="1508"/>
      <c r="Y23" s="3412"/>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12"/>
      <c r="Q24" s="1505"/>
      <c r="R24" s="714"/>
      <c r="S24" s="715"/>
      <c r="T24" s="714"/>
      <c r="U24" s="715"/>
      <c r="V24" s="714"/>
      <c r="W24" s="715"/>
      <c r="X24" s="1508"/>
      <c r="Y24" s="3412"/>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12"/>
      <c r="Q25" s="1505">
        <f>B25</f>
        <v>111</v>
      </c>
      <c r="R25" s="714" t="s">
        <v>17</v>
      </c>
      <c r="S25" s="715">
        <f>F25</f>
        <v>100</v>
      </c>
      <c r="T25" s="714" t="s">
        <v>17</v>
      </c>
      <c r="U25" s="715">
        <f>H25</f>
        <v>100</v>
      </c>
      <c r="V25" s="714" t="s">
        <v>17</v>
      </c>
      <c r="W25" s="715">
        <f>J25</f>
        <v>100</v>
      </c>
      <c r="X25" s="1508"/>
      <c r="Y25" s="3412"/>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12"/>
      <c r="Q26" s="1505">
        <f t="shared" ref="Q26:Q40" si="11">B26</f>
        <v>111</v>
      </c>
      <c r="R26" s="714" t="s">
        <v>17</v>
      </c>
      <c r="S26" s="715">
        <f>F26</f>
        <v>100</v>
      </c>
      <c r="T26" s="714" t="s">
        <v>17</v>
      </c>
      <c r="U26" s="715">
        <f>H26</f>
        <v>100</v>
      </c>
      <c r="V26" s="714" t="s">
        <v>17</v>
      </c>
      <c r="W26" s="715">
        <f>J26</f>
        <v>100</v>
      </c>
      <c r="X26" s="1508"/>
      <c r="Y26" s="3412"/>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12"/>
      <c r="Q27" s="1496">
        <f t="shared" si="11"/>
        <v>111</v>
      </c>
      <c r="R27" s="710" t="s">
        <v>17</v>
      </c>
      <c r="S27" s="711">
        <f>F27</f>
        <v>100</v>
      </c>
      <c r="T27" s="710" t="s">
        <v>17</v>
      </c>
      <c r="U27" s="711">
        <f>H27</f>
        <v>100</v>
      </c>
      <c r="V27" s="710" t="s">
        <v>17</v>
      </c>
      <c r="W27" s="711">
        <f>J27</f>
        <v>100</v>
      </c>
      <c r="X27" s="712"/>
      <c r="Y27" s="3412"/>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12"/>
      <c r="Q28" s="1505">
        <f t="shared" si="11"/>
        <v>111</v>
      </c>
      <c r="R28" s="714" t="s">
        <v>17</v>
      </c>
      <c r="S28" s="715">
        <f t="shared" ref="S28:S40" si="12">F28</f>
        <v>100</v>
      </c>
      <c r="T28" s="714" t="s">
        <v>17</v>
      </c>
      <c r="U28" s="715">
        <f t="shared" ref="U28:U40" si="13">H28</f>
        <v>100</v>
      </c>
      <c r="V28" s="714" t="s">
        <v>17</v>
      </c>
      <c r="W28" s="715">
        <f t="shared" ref="W28:W40" si="14">J28</f>
        <v>100</v>
      </c>
      <c r="X28" s="1508"/>
      <c r="Y28" s="3412"/>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13" t="s">
        <v>2326</v>
      </c>
      <c r="Q29" s="1505" t="str">
        <f t="shared" si="11"/>
        <v>建筑类型</v>
      </c>
      <c r="R29" s="714" t="s">
        <v>17</v>
      </c>
      <c r="S29" s="715">
        <f t="shared" si="12"/>
        <v>100</v>
      </c>
      <c r="T29" s="714" t="s">
        <v>17</v>
      </c>
      <c r="U29" s="715">
        <f t="shared" si="13"/>
        <v>100</v>
      </c>
      <c r="V29" s="714" t="s">
        <v>17</v>
      </c>
      <c r="W29" s="715">
        <f t="shared" si="14"/>
        <v>100</v>
      </c>
      <c r="X29" s="1508"/>
      <c r="Y29" s="3414"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14"/>
      <c r="Q30" s="716" t="str">
        <f t="shared" si="11"/>
        <v>项目建筑规模</v>
      </c>
      <c r="R30" s="717" t="s">
        <v>17</v>
      </c>
      <c r="S30" s="718" t="e">
        <f t="shared" si="12"/>
        <v>#N/A</v>
      </c>
      <c r="T30" s="717" t="s">
        <v>17</v>
      </c>
      <c r="U30" s="718" t="e">
        <f t="shared" si="13"/>
        <v>#N/A</v>
      </c>
      <c r="V30" s="717" t="s">
        <v>17</v>
      </c>
      <c r="W30" s="718" t="e">
        <f t="shared" si="14"/>
        <v>#N/A</v>
      </c>
      <c r="X30" s="719"/>
      <c r="Y30" s="3414"/>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14"/>
      <c r="Q31" s="1505" t="str">
        <f t="shared" si="11"/>
        <v>建筑结构</v>
      </c>
      <c r="R31" s="714" t="s">
        <v>17</v>
      </c>
      <c r="S31" s="715">
        <f t="shared" si="12"/>
        <v>100</v>
      </c>
      <c r="T31" s="714" t="s">
        <v>17</v>
      </c>
      <c r="U31" s="715">
        <f t="shared" si="13"/>
        <v>100</v>
      </c>
      <c r="V31" s="714" t="s">
        <v>17</v>
      </c>
      <c r="W31" s="715">
        <f t="shared" si="14"/>
        <v>100</v>
      </c>
      <c r="X31" s="1508"/>
      <c r="Y31" s="3414"/>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14"/>
      <c r="Q32" s="1505" t="str">
        <f t="shared" si="11"/>
        <v>公共部分装修</v>
      </c>
      <c r="R32" s="714" t="s">
        <v>17</v>
      </c>
      <c r="S32" s="715">
        <f t="shared" si="12"/>
        <v>100</v>
      </c>
      <c r="T32" s="714" t="s">
        <v>17</v>
      </c>
      <c r="U32" s="715">
        <f t="shared" si="13"/>
        <v>100</v>
      </c>
      <c r="V32" s="714" t="s">
        <v>17</v>
      </c>
      <c r="W32" s="715">
        <f t="shared" si="14"/>
        <v>100</v>
      </c>
      <c r="X32" s="1508"/>
      <c r="Y32" s="3414"/>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14"/>
      <c r="Q33" s="1505" t="str">
        <f t="shared" si="11"/>
        <v>成新度</v>
      </c>
      <c r="R33" s="714" t="s">
        <v>17</v>
      </c>
      <c r="S33" s="715" t="e">
        <f t="shared" si="12"/>
        <v>#N/A</v>
      </c>
      <c r="T33" s="714" t="s">
        <v>17</v>
      </c>
      <c r="U33" s="715" t="e">
        <f t="shared" si="13"/>
        <v>#N/A</v>
      </c>
      <c r="V33" s="714" t="s">
        <v>17</v>
      </c>
      <c r="W33" s="715" t="e">
        <f t="shared" si="14"/>
        <v>#N/A</v>
      </c>
      <c r="X33" s="1508"/>
      <c r="Y33" s="3414"/>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14"/>
      <c r="Q34" s="1496" t="str">
        <f t="shared" si="11"/>
        <v>物业管理</v>
      </c>
      <c r="R34" s="710" t="s">
        <v>17</v>
      </c>
      <c r="S34" s="711">
        <f t="shared" si="12"/>
        <v>100</v>
      </c>
      <c r="T34" s="710" t="s">
        <v>17</v>
      </c>
      <c r="U34" s="711">
        <f t="shared" si="13"/>
        <v>100</v>
      </c>
      <c r="V34" s="710" t="s">
        <v>17</v>
      </c>
      <c r="W34" s="711">
        <f t="shared" si="14"/>
        <v>100</v>
      </c>
      <c r="X34" s="712"/>
      <c r="Y34" s="3414"/>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14" t="s">
        <v>2326</v>
      </c>
      <c r="Q35" s="1505" t="str">
        <f t="shared" si="11"/>
        <v>市政基础设施</v>
      </c>
      <c r="R35" s="714" t="s">
        <v>17</v>
      </c>
      <c r="S35" s="715">
        <f t="shared" si="12"/>
        <v>100</v>
      </c>
      <c r="T35" s="714" t="s">
        <v>17</v>
      </c>
      <c r="U35" s="715">
        <f t="shared" si="13"/>
        <v>100</v>
      </c>
      <c r="V35" s="714" t="s">
        <v>17</v>
      </c>
      <c r="W35" s="715">
        <f t="shared" si="14"/>
        <v>100</v>
      </c>
      <c r="X35" s="1508"/>
      <c r="Y35" s="3414"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14"/>
      <c r="Q36" s="1505" t="str">
        <f t="shared" si="11"/>
        <v>内部装修</v>
      </c>
      <c r="R36" s="714" t="s">
        <v>17</v>
      </c>
      <c r="S36" s="715">
        <f t="shared" si="12"/>
        <v>100</v>
      </c>
      <c r="T36" s="714" t="s">
        <v>17</v>
      </c>
      <c r="U36" s="715">
        <f t="shared" si="13"/>
        <v>100</v>
      </c>
      <c r="V36" s="714" t="s">
        <v>17</v>
      </c>
      <c r="W36" s="715">
        <f t="shared" si="14"/>
        <v>100</v>
      </c>
      <c r="X36" s="1508"/>
      <c r="Y36" s="3414"/>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14"/>
      <c r="Q37" s="1505" t="str">
        <f t="shared" si="11"/>
        <v>内部装修状况</v>
      </c>
      <c r="R37" s="714" t="s">
        <v>17</v>
      </c>
      <c r="S37" s="715">
        <f t="shared" si="12"/>
        <v>100</v>
      </c>
      <c r="T37" s="714" t="s">
        <v>17</v>
      </c>
      <c r="U37" s="715">
        <f t="shared" si="13"/>
        <v>100</v>
      </c>
      <c r="V37" s="714" t="s">
        <v>17</v>
      </c>
      <c r="W37" s="715">
        <f t="shared" si="14"/>
        <v>100</v>
      </c>
      <c r="X37" s="1508"/>
      <c r="Y37" s="3414"/>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14"/>
      <c r="Q38" s="716">
        <f t="shared" si="11"/>
        <v>111</v>
      </c>
      <c r="R38" s="717" t="s">
        <v>17</v>
      </c>
      <c r="S38" s="718">
        <f t="shared" si="12"/>
        <v>100</v>
      </c>
      <c r="T38" s="717" t="s">
        <v>17</v>
      </c>
      <c r="U38" s="718">
        <f t="shared" si="13"/>
        <v>100</v>
      </c>
      <c r="V38" s="717" t="s">
        <v>17</v>
      </c>
      <c r="W38" s="718">
        <f t="shared" si="14"/>
        <v>100</v>
      </c>
      <c r="X38" s="719"/>
      <c r="Y38" s="3414"/>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14"/>
      <c r="Q39" s="1505">
        <f t="shared" si="11"/>
        <v>111</v>
      </c>
      <c r="R39" s="714" t="s">
        <v>17</v>
      </c>
      <c r="S39" s="715">
        <f t="shared" si="12"/>
        <v>100</v>
      </c>
      <c r="T39" s="714" t="s">
        <v>17</v>
      </c>
      <c r="U39" s="715">
        <f t="shared" si="13"/>
        <v>100</v>
      </c>
      <c r="V39" s="714" t="s">
        <v>17</v>
      </c>
      <c r="W39" s="715">
        <f t="shared" si="14"/>
        <v>100</v>
      </c>
      <c r="X39" s="1508"/>
      <c r="Y39" s="3414"/>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6"/>
      <c r="Q40" s="1505">
        <f t="shared" si="11"/>
        <v>111</v>
      </c>
      <c r="R40" s="714" t="s">
        <v>17</v>
      </c>
      <c r="S40" s="715">
        <f t="shared" si="12"/>
        <v>100</v>
      </c>
      <c r="T40" s="714" t="s">
        <v>17</v>
      </c>
      <c r="U40" s="715">
        <f t="shared" si="13"/>
        <v>100</v>
      </c>
      <c r="V40" s="714" t="s">
        <v>17</v>
      </c>
      <c r="W40" s="715">
        <f t="shared" si="14"/>
        <v>100</v>
      </c>
      <c r="X40" s="1508"/>
      <c r="Y40" s="3476"/>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09" t="str">
        <f>A41</f>
        <v>成交单价（元/平方米）</v>
      </c>
      <c r="Q41" s="3409"/>
      <c r="R41" s="3472">
        <f>E41</f>
        <v>0</v>
      </c>
      <c r="S41" s="3472"/>
      <c r="T41" s="3472">
        <f>G41</f>
        <v>0</v>
      </c>
      <c r="U41" s="3472"/>
      <c r="V41" s="3472">
        <f>I41</f>
        <v>0</v>
      </c>
      <c r="W41" s="3472"/>
      <c r="X41" s="699"/>
      <c r="Y41" s="721"/>
      <c r="Z41" s="699"/>
      <c r="AA41" s="699"/>
      <c r="AB41" s="699"/>
      <c r="AC41" s="699"/>
    </row>
    <row r="42" spans="1:29" ht="15.75" thickBot="1">
      <c r="A42" s="445" t="s">
        <v>2430</v>
      </c>
      <c r="B42" s="446"/>
      <c r="C42" s="1294" t="e">
        <f>R43</f>
        <v>#DIV/0!</v>
      </c>
      <c r="D42" s="2507" t="s">
        <v>2820</v>
      </c>
      <c r="E42" s="1295" t="e">
        <f>R42</f>
        <v>#DIV/0!</v>
      </c>
      <c r="F42" s="2508"/>
      <c r="G42" s="1294" t="e">
        <f>T42</f>
        <v>#DIV/0!</v>
      </c>
      <c r="H42" s="2508"/>
      <c r="I42" s="1295" t="e">
        <f>V42</f>
        <v>#DIV/0!</v>
      </c>
      <c r="J42" s="2508"/>
      <c r="K42" s="2510">
        <f>F42+H42+J42</f>
        <v>0</v>
      </c>
      <c r="L42" s="1057"/>
      <c r="M42" s="1058"/>
      <c r="N42" s="1045"/>
      <c r="O42" s="1058"/>
      <c r="P42" s="3409" t="str">
        <f>A42</f>
        <v>比较价值（元/平方米）</v>
      </c>
      <c r="Q42" s="3409"/>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03" t="str">
        <f>A43</f>
        <v>估价对象XX用房的比较价值（楼面单价，元/平方米）</v>
      </c>
      <c r="Q43" s="3404"/>
      <c r="R43" s="3471" t="e">
        <f>IF(F1="售价",ROUND(IF(D42="简单平均",AVERAGE(R42:V42),R42*F42+T42*H42+V42*J42),0),ROUND(IF(D42="简单平均",AVERAGE(R42:V42),R42*F42+T42*H42+V42*J42),1))</f>
        <v>#DIV/0!</v>
      </c>
      <c r="S43" s="3471"/>
      <c r="T43" s="3471"/>
      <c r="U43" s="3471"/>
      <c r="V43" s="3471"/>
      <c r="W43" s="3471"/>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2022-4</v>
      </c>
      <c r="D52" s="1318">
        <f>EDATE(C52,-1)</f>
        <v>44621</v>
      </c>
      <c r="E52" s="1318">
        <f t="shared" ref="E52:O52" si="16">EDATE(D52,-1)</f>
        <v>44593</v>
      </c>
      <c r="F52" s="1318">
        <f t="shared" si="16"/>
        <v>44562</v>
      </c>
      <c r="G52" s="1318">
        <f t="shared" si="16"/>
        <v>44531</v>
      </c>
      <c r="H52" s="1318">
        <f t="shared" si="16"/>
        <v>44501</v>
      </c>
      <c r="I52" s="1318">
        <f t="shared" si="16"/>
        <v>44470</v>
      </c>
      <c r="J52" s="1318">
        <f t="shared" si="16"/>
        <v>44440</v>
      </c>
      <c r="K52" s="1318">
        <f t="shared" si="16"/>
        <v>44409</v>
      </c>
      <c r="L52" s="1318">
        <f t="shared" si="16"/>
        <v>44378</v>
      </c>
      <c r="M52" s="1318">
        <f t="shared" si="16"/>
        <v>44348</v>
      </c>
      <c r="N52" s="1318">
        <f t="shared" si="16"/>
        <v>44317</v>
      </c>
      <c r="O52" s="1318">
        <f t="shared" si="16"/>
        <v>44287</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06" t="s">
        <v>2407</v>
      </c>
      <c r="D4" s="3419"/>
      <c r="E4" s="3420" t="s">
        <v>2408</v>
      </c>
      <c r="F4" s="3421"/>
      <c r="G4" s="3406" t="s">
        <v>2409</v>
      </c>
      <c r="H4" s="3419"/>
      <c r="I4" s="3406" t="s">
        <v>2410</v>
      </c>
      <c r="J4" s="3419"/>
      <c r="K4" s="567" t="s">
        <v>2411</v>
      </c>
      <c r="L4" s="2913"/>
      <c r="M4" s="2914"/>
      <c r="N4" s="2914"/>
      <c r="O4" s="2914"/>
      <c r="P4" s="3422" t="s">
        <v>2412</v>
      </c>
      <c r="Q4" s="3423"/>
      <c r="R4" s="3428" t="s">
        <v>2408</v>
      </c>
      <c r="S4" s="3429"/>
      <c r="T4" s="3428" t="s">
        <v>2409</v>
      </c>
      <c r="U4" s="3429"/>
      <c r="V4" s="3415" t="s">
        <v>2410</v>
      </c>
      <c r="W4" s="3415"/>
      <c r="X4" s="1508"/>
      <c r="Y4" s="3428" t="s">
        <v>2412</v>
      </c>
      <c r="Z4" s="3429"/>
      <c r="AA4" s="3416" t="s">
        <v>2408</v>
      </c>
      <c r="AB4" s="3417" t="s">
        <v>2409</v>
      </c>
      <c r="AC4" s="3416" t="s">
        <v>2410</v>
      </c>
    </row>
    <row r="5" spans="1:29" ht="15">
      <c r="A5" s="364"/>
      <c r="B5" s="365"/>
      <c r="C5" s="3436" t="s">
        <v>2303</v>
      </c>
      <c r="D5" s="3437"/>
      <c r="E5" s="3443" t="s">
        <v>2304</v>
      </c>
      <c r="F5" s="3444"/>
      <c r="G5" s="3436" t="s">
        <v>2305</v>
      </c>
      <c r="H5" s="3437"/>
      <c r="I5" s="3436" t="s">
        <v>2306</v>
      </c>
      <c r="J5" s="3437"/>
      <c r="K5" s="567"/>
      <c r="L5" s="2913"/>
      <c r="M5" s="2914"/>
      <c r="N5" s="2914"/>
      <c r="O5" s="2914"/>
      <c r="P5" s="3424"/>
      <c r="Q5" s="3425"/>
      <c r="R5" s="3430"/>
      <c r="S5" s="3431"/>
      <c r="T5" s="3430"/>
      <c r="U5" s="3431"/>
      <c r="V5" s="3415"/>
      <c r="W5" s="3415"/>
      <c r="X5" s="1508"/>
      <c r="Y5" s="3430"/>
      <c r="Z5" s="3431"/>
      <c r="AA5" s="3417"/>
      <c r="AB5" s="3417"/>
      <c r="AC5" s="3417"/>
    </row>
    <row r="6" spans="1:29" ht="15.75" thickBot="1">
      <c r="A6" s="366"/>
      <c r="B6" s="367"/>
      <c r="C6" s="3434" t="s">
        <v>2307</v>
      </c>
      <c r="D6" s="3435"/>
      <c r="E6" s="3441" t="s">
        <v>2307</v>
      </c>
      <c r="F6" s="3442"/>
      <c r="G6" s="3434" t="s">
        <v>2307</v>
      </c>
      <c r="H6" s="3435"/>
      <c r="I6" s="3434" t="s">
        <v>2307</v>
      </c>
      <c r="J6" s="3435"/>
      <c r="K6" s="567" t="s">
        <v>2308</v>
      </c>
      <c r="L6" s="2913"/>
      <c r="M6" s="2914"/>
      <c r="N6" s="2914"/>
      <c r="O6" s="2914"/>
      <c r="P6" s="3426"/>
      <c r="Q6" s="3427"/>
      <c r="R6" s="3430"/>
      <c r="S6" s="3431"/>
      <c r="T6" s="3432"/>
      <c r="U6" s="3433"/>
      <c r="V6" s="3415"/>
      <c r="W6" s="3415"/>
      <c r="X6" s="1508"/>
      <c r="Y6" s="3432"/>
      <c r="Z6" s="3433"/>
      <c r="AA6" s="3418"/>
      <c r="AB6" s="3418"/>
      <c r="AC6" s="3418"/>
    </row>
    <row r="7" spans="1:29" s="113" customFormat="1" ht="15.75" thickBot="1">
      <c r="A7" s="368" t="s">
        <v>2309</v>
      </c>
      <c r="B7" s="369"/>
      <c r="C7" s="370">
        <f>'数据-取费表'!B2</f>
        <v>44662</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38" t="s">
        <v>2310</v>
      </c>
      <c r="Q7" s="3440"/>
      <c r="R7" s="710" t="s">
        <v>17</v>
      </c>
      <c r="S7" s="711">
        <f t="shared" ref="S7:S14" si="0">F7</f>
        <v>0</v>
      </c>
      <c r="T7" s="710" t="s">
        <v>17</v>
      </c>
      <c r="U7" s="711">
        <f t="shared" ref="U7:U14" si="1">H7</f>
        <v>0</v>
      </c>
      <c r="V7" s="710" t="s">
        <v>17</v>
      </c>
      <c r="W7" s="711">
        <f t="shared" ref="W7:W14" si="2">J7</f>
        <v>0</v>
      </c>
      <c r="X7" s="712"/>
      <c r="Y7" s="3438" t="s">
        <v>2310</v>
      </c>
      <c r="Z7" s="3439"/>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38" t="s">
        <v>2313</v>
      </c>
      <c r="Q8" s="3439"/>
      <c r="R8" s="710" t="s">
        <v>17</v>
      </c>
      <c r="S8" s="711">
        <f t="shared" si="0"/>
        <v>0</v>
      </c>
      <c r="T8" s="710" t="s">
        <v>17</v>
      </c>
      <c r="U8" s="711">
        <f t="shared" si="1"/>
        <v>0</v>
      </c>
      <c r="V8" s="710" t="s">
        <v>17</v>
      </c>
      <c r="W8" s="711">
        <f t="shared" si="2"/>
        <v>0</v>
      </c>
      <c r="X8" s="712"/>
      <c r="Y8" s="3438" t="s">
        <v>2313</v>
      </c>
      <c r="Z8" s="3439"/>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09" t="s">
        <v>2316</v>
      </c>
      <c r="Q9" s="1496" t="str">
        <f t="shared" ref="Q9:Q14" si="6">B9</f>
        <v>用途</v>
      </c>
      <c r="R9" s="710" t="s">
        <v>17</v>
      </c>
      <c r="S9" s="711">
        <f t="shared" si="0"/>
        <v>100</v>
      </c>
      <c r="T9" s="710" t="s">
        <v>17</v>
      </c>
      <c r="U9" s="711">
        <f t="shared" si="1"/>
        <v>100</v>
      </c>
      <c r="V9" s="710" t="s">
        <v>17</v>
      </c>
      <c r="W9" s="711">
        <f t="shared" si="2"/>
        <v>100</v>
      </c>
      <c r="X9" s="712"/>
      <c r="Y9" s="330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09"/>
      <c r="Q10" s="1496"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09"/>
      <c r="Q11" s="1496">
        <f t="shared" si="6"/>
        <v>111</v>
      </c>
      <c r="R11" s="710" t="s">
        <v>17</v>
      </c>
      <c r="S11" s="711">
        <f t="shared" si="0"/>
        <v>100</v>
      </c>
      <c r="T11" s="710" t="s">
        <v>17</v>
      </c>
      <c r="U11" s="711">
        <f t="shared" si="1"/>
        <v>100</v>
      </c>
      <c r="V11" s="710" t="s">
        <v>17</v>
      </c>
      <c r="W11" s="711">
        <f t="shared" si="2"/>
        <v>100</v>
      </c>
      <c r="X11" s="712"/>
      <c r="Y11" s="330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09"/>
      <c r="Q12" s="1496">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09"/>
      <c r="Q13" s="1496">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
      <c r="A14" s="361" t="s">
        <v>2320</v>
      </c>
      <c r="B14" s="585" t="s">
        <v>2470</v>
      </c>
      <c r="C14" s="212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11" t="s">
        <v>2321</v>
      </c>
      <c r="Q14" s="1505" t="str">
        <f t="shared" si="6"/>
        <v>交通便捷度</v>
      </c>
      <c r="R14" s="714" t="s">
        <v>17</v>
      </c>
      <c r="S14" s="715">
        <f t="shared" si="0"/>
        <v>100</v>
      </c>
      <c r="T14" s="714" t="s">
        <v>17</v>
      </c>
      <c r="U14" s="715">
        <f t="shared" si="1"/>
        <v>100</v>
      </c>
      <c r="V14" s="714" t="s">
        <v>17</v>
      </c>
      <c r="W14" s="715">
        <f t="shared" si="2"/>
        <v>100</v>
      </c>
      <c r="X14" s="1508"/>
      <c r="Y14" s="3411"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12"/>
      <c r="Q15" s="1505"/>
      <c r="R15" s="714"/>
      <c r="S15" s="715"/>
      <c r="T15" s="714"/>
      <c r="U15" s="715"/>
      <c r="V15" s="714"/>
      <c r="W15" s="715"/>
      <c r="X15" s="1508"/>
      <c r="Y15" s="3412"/>
      <c r="Z15" s="1509"/>
      <c r="AA15" s="1506">
        <v>1</v>
      </c>
      <c r="AB15" s="1506">
        <v>1</v>
      </c>
      <c r="AC15" s="1506">
        <v>1</v>
      </c>
    </row>
    <row r="16" spans="1:29" ht="15">
      <c r="A16" s="364"/>
      <c r="B16" s="587" t="s">
        <v>2449</v>
      </c>
      <c r="C16" s="2055">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12"/>
      <c r="Q16" s="1505" t="str">
        <f>B16</f>
        <v>公共配套设施</v>
      </c>
      <c r="R16" s="714" t="s">
        <v>17</v>
      </c>
      <c r="S16" s="715">
        <f>F16</f>
        <v>100</v>
      </c>
      <c r="T16" s="714" t="s">
        <v>17</v>
      </c>
      <c r="U16" s="715">
        <f>H16</f>
        <v>100</v>
      </c>
      <c r="V16" s="714" t="s">
        <v>17</v>
      </c>
      <c r="W16" s="715">
        <f>J16</f>
        <v>100</v>
      </c>
      <c r="X16" s="1508"/>
      <c r="Y16" s="3412"/>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12"/>
      <c r="Q17" s="1505"/>
      <c r="R17" s="714"/>
      <c r="S17" s="715"/>
      <c r="T17" s="714"/>
      <c r="U17" s="715"/>
      <c r="V17" s="714"/>
      <c r="W17" s="715"/>
      <c r="X17" s="1508"/>
      <c r="Y17" s="3412"/>
      <c r="Z17" s="1509"/>
      <c r="AA17" s="1506">
        <v>1</v>
      </c>
      <c r="AB17" s="1506">
        <v>1</v>
      </c>
      <c r="AC17" s="1506">
        <v>1</v>
      </c>
    </row>
    <row r="18" spans="1:29" ht="15">
      <c r="A18" s="364"/>
      <c r="B18" s="589" t="s">
        <v>2450</v>
      </c>
      <c r="C18" s="2055">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12"/>
      <c r="Q18" s="1505" t="str">
        <f>B18</f>
        <v>基础设施水平</v>
      </c>
      <c r="R18" s="714" t="s">
        <v>17</v>
      </c>
      <c r="S18" s="715">
        <f>F18</f>
        <v>100</v>
      </c>
      <c r="T18" s="714" t="s">
        <v>17</v>
      </c>
      <c r="U18" s="715">
        <f>H18</f>
        <v>100</v>
      </c>
      <c r="V18" s="714" t="s">
        <v>17</v>
      </c>
      <c r="W18" s="715">
        <f>J18</f>
        <v>100</v>
      </c>
      <c r="X18" s="1508"/>
      <c r="Y18" s="3412"/>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12"/>
      <c r="Q19" s="1505"/>
      <c r="R19" s="714"/>
      <c r="S19" s="715"/>
      <c r="T19" s="714"/>
      <c r="U19" s="715"/>
      <c r="V19" s="714"/>
      <c r="W19" s="715"/>
      <c r="X19" s="1508"/>
      <c r="Y19" s="3412"/>
      <c r="Z19" s="1509"/>
      <c r="AA19" s="1506">
        <v>1</v>
      </c>
      <c r="AB19" s="1506">
        <v>1</v>
      </c>
      <c r="AC19" s="1506">
        <v>1</v>
      </c>
    </row>
    <row r="20" spans="1:29" ht="15">
      <c r="A20" s="364"/>
      <c r="B20" s="587" t="s">
        <v>2471</v>
      </c>
      <c r="C20" s="2055">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12"/>
      <c r="Q20" s="1505" t="str">
        <f>B20</f>
        <v>自然及人文环境</v>
      </c>
      <c r="R20" s="714" t="s">
        <v>17</v>
      </c>
      <c r="S20" s="715">
        <f>F20</f>
        <v>100</v>
      </c>
      <c r="T20" s="714" t="s">
        <v>17</v>
      </c>
      <c r="U20" s="715">
        <f>H20</f>
        <v>100</v>
      </c>
      <c r="V20" s="714" t="s">
        <v>17</v>
      </c>
      <c r="W20" s="715">
        <f>J20</f>
        <v>100</v>
      </c>
      <c r="X20" s="1508"/>
      <c r="Y20" s="3412"/>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12"/>
      <c r="Q21" s="1505"/>
      <c r="R21" s="714"/>
      <c r="S21" s="715"/>
      <c r="T21" s="714"/>
      <c r="U21" s="715"/>
      <c r="V21" s="714"/>
      <c r="W21" s="715"/>
      <c r="X21" s="1508"/>
      <c r="Y21" s="3412"/>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12"/>
      <c r="Q22" s="1505" t="str">
        <f>B22</f>
        <v>楼层</v>
      </c>
      <c r="R22" s="714" t="s">
        <v>17</v>
      </c>
      <c r="S22" s="715">
        <f>F22</f>
        <v>100</v>
      </c>
      <c r="T22" s="714" t="s">
        <v>17</v>
      </c>
      <c r="U22" s="715">
        <f>H22</f>
        <v>100</v>
      </c>
      <c r="V22" s="714" t="s">
        <v>17</v>
      </c>
      <c r="W22" s="715">
        <f>J22</f>
        <v>100</v>
      </c>
      <c r="X22" s="1508"/>
      <c r="Y22" s="3412"/>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12"/>
      <c r="Q23" s="1505">
        <f>B23</f>
        <v>111</v>
      </c>
      <c r="R23" s="714" t="s">
        <v>17</v>
      </c>
      <c r="S23" s="715">
        <f>F23</f>
        <v>100</v>
      </c>
      <c r="T23" s="714" t="s">
        <v>17</v>
      </c>
      <c r="U23" s="715">
        <f>H23</f>
        <v>100</v>
      </c>
      <c r="V23" s="714" t="s">
        <v>17</v>
      </c>
      <c r="W23" s="715">
        <f>J23</f>
        <v>100</v>
      </c>
      <c r="X23" s="1508"/>
      <c r="Y23" s="3412"/>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12"/>
      <c r="Q24" s="1505">
        <f t="shared" ref="Q24:Q36" si="11">B24</f>
        <v>111</v>
      </c>
      <c r="R24" s="714" t="s">
        <v>17</v>
      </c>
      <c r="S24" s="715">
        <f>F24</f>
        <v>100</v>
      </c>
      <c r="T24" s="714" t="s">
        <v>17</v>
      </c>
      <c r="U24" s="715">
        <f>H24</f>
        <v>100</v>
      </c>
      <c r="V24" s="714" t="s">
        <v>17</v>
      </c>
      <c r="W24" s="715">
        <f>J24</f>
        <v>100</v>
      </c>
      <c r="X24" s="1508"/>
      <c r="Y24" s="3412"/>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12"/>
      <c r="Q25" s="1496">
        <f t="shared" si="11"/>
        <v>111</v>
      </c>
      <c r="R25" s="710" t="s">
        <v>17</v>
      </c>
      <c r="S25" s="711">
        <f>F25</f>
        <v>100</v>
      </c>
      <c r="T25" s="710" t="s">
        <v>17</v>
      </c>
      <c r="U25" s="711">
        <f>H25</f>
        <v>100</v>
      </c>
      <c r="V25" s="710" t="s">
        <v>17</v>
      </c>
      <c r="W25" s="711">
        <f>J25</f>
        <v>100</v>
      </c>
      <c r="X25" s="712"/>
      <c r="Y25" s="3412"/>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413"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14"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14"/>
      <c r="Q27" s="716" t="str">
        <f t="shared" si="11"/>
        <v>项目停车位配比</v>
      </c>
      <c r="R27" s="717" t="s">
        <v>17</v>
      </c>
      <c r="S27" s="718">
        <f t="shared" si="12"/>
        <v>100</v>
      </c>
      <c r="T27" s="717" t="s">
        <v>17</v>
      </c>
      <c r="U27" s="718">
        <f t="shared" si="13"/>
        <v>100</v>
      </c>
      <c r="V27" s="717" t="s">
        <v>17</v>
      </c>
      <c r="W27" s="718">
        <f t="shared" si="14"/>
        <v>100</v>
      </c>
      <c r="X27" s="719"/>
      <c r="Y27" s="3414"/>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14"/>
      <c r="Q28" s="1505" t="str">
        <f t="shared" si="11"/>
        <v>公共部分装修</v>
      </c>
      <c r="R28" s="714" t="s">
        <v>17</v>
      </c>
      <c r="S28" s="715">
        <f t="shared" si="12"/>
        <v>100</v>
      </c>
      <c r="T28" s="714" t="s">
        <v>17</v>
      </c>
      <c r="U28" s="715">
        <f t="shared" si="13"/>
        <v>100</v>
      </c>
      <c r="V28" s="714" t="s">
        <v>17</v>
      </c>
      <c r="W28" s="715">
        <f t="shared" si="14"/>
        <v>100</v>
      </c>
      <c r="X28" s="1508"/>
      <c r="Y28" s="3414"/>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14"/>
      <c r="Q29" s="1505" t="str">
        <f t="shared" si="11"/>
        <v>成新率</v>
      </c>
      <c r="R29" s="714" t="s">
        <v>17</v>
      </c>
      <c r="S29" s="715" t="e">
        <f t="shared" si="12"/>
        <v>#N/A</v>
      </c>
      <c r="T29" s="714" t="s">
        <v>17</v>
      </c>
      <c r="U29" s="715" t="e">
        <f t="shared" si="13"/>
        <v>#N/A</v>
      </c>
      <c r="V29" s="714" t="s">
        <v>17</v>
      </c>
      <c r="W29" s="715" t="e">
        <f t="shared" si="14"/>
        <v>#N/A</v>
      </c>
      <c r="X29" s="1508"/>
      <c r="Y29" s="3414"/>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14"/>
      <c r="Q30" s="1505" t="str">
        <f t="shared" si="11"/>
        <v>物业等级</v>
      </c>
      <c r="R30" s="714" t="s">
        <v>17</v>
      </c>
      <c r="S30" s="715">
        <f t="shared" si="12"/>
        <v>100</v>
      </c>
      <c r="T30" s="714" t="s">
        <v>17</v>
      </c>
      <c r="U30" s="715">
        <f t="shared" si="13"/>
        <v>100</v>
      </c>
      <c r="V30" s="714" t="s">
        <v>17</v>
      </c>
      <c r="W30" s="715">
        <f t="shared" si="14"/>
        <v>100</v>
      </c>
      <c r="X30" s="1508"/>
      <c r="Y30" s="3414"/>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14"/>
      <c r="Q31" s="1496" t="str">
        <f t="shared" si="11"/>
        <v>停车位面积</v>
      </c>
      <c r="R31" s="710" t="s">
        <v>17</v>
      </c>
      <c r="S31" s="711" t="e">
        <f t="shared" si="12"/>
        <v>#N/A</v>
      </c>
      <c r="T31" s="710" t="s">
        <v>17</v>
      </c>
      <c r="U31" s="711" t="e">
        <f t="shared" si="13"/>
        <v>#N/A</v>
      </c>
      <c r="V31" s="710" t="s">
        <v>17</v>
      </c>
      <c r="W31" s="711" t="e">
        <f t="shared" si="14"/>
        <v>#N/A</v>
      </c>
      <c r="X31" s="712"/>
      <c r="Y31" s="3414"/>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14" t="s">
        <v>2326</v>
      </c>
      <c r="Q32" s="1505" t="str">
        <f t="shared" si="11"/>
        <v>车位类型</v>
      </c>
      <c r="R32" s="714" t="s">
        <v>17</v>
      </c>
      <c r="S32" s="715">
        <f t="shared" si="12"/>
        <v>100</v>
      </c>
      <c r="T32" s="714" t="s">
        <v>17</v>
      </c>
      <c r="U32" s="715">
        <f t="shared" si="13"/>
        <v>100</v>
      </c>
      <c r="V32" s="714" t="s">
        <v>17</v>
      </c>
      <c r="W32" s="715">
        <f t="shared" si="14"/>
        <v>100</v>
      </c>
      <c r="X32" s="1508"/>
      <c r="Y32" s="3414"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14"/>
      <c r="Q33" s="1505" t="str">
        <f t="shared" si="11"/>
        <v>是否直接入户</v>
      </c>
      <c r="R33" s="714" t="s">
        <v>17</v>
      </c>
      <c r="S33" s="715">
        <f t="shared" si="12"/>
        <v>100</v>
      </c>
      <c r="T33" s="714" t="s">
        <v>17</v>
      </c>
      <c r="U33" s="715">
        <f t="shared" si="13"/>
        <v>100</v>
      </c>
      <c r="V33" s="714" t="s">
        <v>17</v>
      </c>
      <c r="W33" s="715">
        <f t="shared" si="14"/>
        <v>100</v>
      </c>
      <c r="X33" s="1508"/>
      <c r="Y33" s="3414"/>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14"/>
      <c r="Q34" s="1505">
        <f t="shared" si="11"/>
        <v>111</v>
      </c>
      <c r="R34" s="714" t="s">
        <v>17</v>
      </c>
      <c r="S34" s="715">
        <f t="shared" si="12"/>
        <v>100</v>
      </c>
      <c r="T34" s="714" t="s">
        <v>17</v>
      </c>
      <c r="U34" s="715">
        <f t="shared" si="13"/>
        <v>100</v>
      </c>
      <c r="V34" s="714" t="s">
        <v>17</v>
      </c>
      <c r="W34" s="715">
        <f t="shared" si="14"/>
        <v>100</v>
      </c>
      <c r="X34" s="1508"/>
      <c r="Y34" s="3414"/>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14"/>
      <c r="Q35" s="716">
        <f t="shared" si="11"/>
        <v>111</v>
      </c>
      <c r="R35" s="717" t="s">
        <v>17</v>
      </c>
      <c r="S35" s="718">
        <f t="shared" si="12"/>
        <v>100</v>
      </c>
      <c r="T35" s="717" t="s">
        <v>17</v>
      </c>
      <c r="U35" s="718">
        <f t="shared" si="13"/>
        <v>100</v>
      </c>
      <c r="V35" s="717" t="s">
        <v>17</v>
      </c>
      <c r="W35" s="718">
        <f t="shared" si="14"/>
        <v>100</v>
      </c>
      <c r="X35" s="719"/>
      <c r="Y35" s="3414"/>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14"/>
      <c r="Q36" s="1505">
        <f t="shared" si="11"/>
        <v>111</v>
      </c>
      <c r="R36" s="714" t="s">
        <v>17</v>
      </c>
      <c r="S36" s="715">
        <f t="shared" si="12"/>
        <v>100</v>
      </c>
      <c r="T36" s="714" t="s">
        <v>17</v>
      </c>
      <c r="U36" s="715">
        <f t="shared" si="13"/>
        <v>100</v>
      </c>
      <c r="V36" s="714" t="s">
        <v>17</v>
      </c>
      <c r="W36" s="715">
        <f t="shared" si="14"/>
        <v>100</v>
      </c>
      <c r="X36" s="1508"/>
      <c r="Y36" s="3414"/>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09" t="str">
        <f>A37</f>
        <v>成交单价</v>
      </c>
      <c r="Q37" s="3409"/>
      <c r="R37" s="3472">
        <f>E37</f>
        <v>0</v>
      </c>
      <c r="S37" s="3472"/>
      <c r="T37" s="3472">
        <f>G37</f>
        <v>0</v>
      </c>
      <c r="U37" s="3472"/>
      <c r="V37" s="3472">
        <f>I37</f>
        <v>0</v>
      </c>
      <c r="W37" s="3472"/>
      <c r="X37" s="699"/>
      <c r="Y37" s="721"/>
      <c r="Z37" s="699"/>
      <c r="AA37" s="699"/>
      <c r="AB37" s="699"/>
      <c r="AC37" s="699"/>
    </row>
    <row r="38" spans="1:29" ht="15.75" thickBot="1">
      <c r="A38" s="445" t="s">
        <v>2483</v>
      </c>
      <c r="B38" s="446" t="str">
        <f>B37</f>
        <v>元/车位</v>
      </c>
      <c r="C38" s="1294" t="e">
        <f>R39</f>
        <v>#DIV/0!</v>
      </c>
      <c r="D38" s="2507" t="s">
        <v>2820</v>
      </c>
      <c r="E38" s="1295" t="e">
        <f>R38</f>
        <v>#DIV/0!</v>
      </c>
      <c r="F38" s="2508"/>
      <c r="G38" s="1294" t="e">
        <f>T38</f>
        <v>#DIV/0!</v>
      </c>
      <c r="H38" s="2508"/>
      <c r="I38" s="1295" t="e">
        <f>V38</f>
        <v>#DIV/0!</v>
      </c>
      <c r="J38" s="2508"/>
      <c r="K38" s="2510">
        <f>F38+H38+J38</f>
        <v>0</v>
      </c>
      <c r="L38" s="2922"/>
      <c r="M38" s="2923"/>
      <c r="N38" s="2923"/>
      <c r="O38" s="2923"/>
      <c r="P38" s="3409" t="str">
        <f>A38</f>
        <v>比较价值（元/平方米）</v>
      </c>
      <c r="Q38" s="3409"/>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03" t="str">
        <f>A39</f>
        <v>估价对象XX用房的比较价值（楼面单价，元/平方米）</v>
      </c>
      <c r="Q39" s="3404"/>
      <c r="R39" s="3494" t="e">
        <f>IF(F1="售价",ROUND(IF(D38="简单平均",AVERAGE(R38:W38),R38*F38+T38*H38+V38*J38),0),ROUND(IF(D38="简单平均",AVERAGE(R38:V38),R38*F38+T38*H38+V38*J38),1))</f>
        <v>#DIV/0!</v>
      </c>
      <c r="S39" s="3494"/>
      <c r="T39" s="3494"/>
      <c r="U39" s="3494"/>
      <c r="V39" s="3494"/>
      <c r="W39" s="3494"/>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2022-4</v>
      </c>
      <c r="D48" s="1318">
        <f>EDATE(C48,-1)</f>
        <v>44621</v>
      </c>
      <c r="E48" s="1318">
        <f t="shared" ref="E48:O48" si="16">EDATE(D48,-1)</f>
        <v>44593</v>
      </c>
      <c r="F48" s="1318">
        <f t="shared" si="16"/>
        <v>44562</v>
      </c>
      <c r="G48" s="1318">
        <f t="shared" si="16"/>
        <v>44531</v>
      </c>
      <c r="H48" s="1318">
        <f t="shared" si="16"/>
        <v>44501</v>
      </c>
      <c r="I48" s="1318">
        <f t="shared" si="16"/>
        <v>44470</v>
      </c>
      <c r="J48" s="1318">
        <f t="shared" si="16"/>
        <v>44440</v>
      </c>
      <c r="K48" s="1318">
        <f t="shared" si="16"/>
        <v>44409</v>
      </c>
      <c r="L48" s="1318">
        <f t="shared" si="16"/>
        <v>44378</v>
      </c>
      <c r="M48" s="1318">
        <f t="shared" si="16"/>
        <v>44348</v>
      </c>
      <c r="N48" s="1318">
        <f t="shared" si="16"/>
        <v>44317</v>
      </c>
      <c r="O48" s="1318">
        <f t="shared" si="16"/>
        <v>44287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06" t="s">
        <v>2407</v>
      </c>
      <c r="D4" s="3419"/>
      <c r="E4" s="3420" t="s">
        <v>2408</v>
      </c>
      <c r="F4" s="3421"/>
      <c r="G4" s="3406" t="s">
        <v>2409</v>
      </c>
      <c r="H4" s="3419"/>
      <c r="I4" s="3406" t="s">
        <v>2410</v>
      </c>
      <c r="J4" s="3419"/>
      <c r="K4" s="567" t="s">
        <v>2411</v>
      </c>
      <c r="L4" s="2913"/>
      <c r="M4" s="2914"/>
      <c r="N4" s="2914"/>
      <c r="O4" s="2914"/>
      <c r="P4" s="3422" t="s">
        <v>2412</v>
      </c>
      <c r="Q4" s="3423"/>
      <c r="R4" s="3428" t="s">
        <v>2408</v>
      </c>
      <c r="S4" s="3429"/>
      <c r="T4" s="3428" t="s">
        <v>2409</v>
      </c>
      <c r="U4" s="3429"/>
      <c r="V4" s="3415" t="s">
        <v>2410</v>
      </c>
      <c r="W4" s="3415"/>
      <c r="X4" s="1508"/>
      <c r="Y4" s="3428" t="s">
        <v>2412</v>
      </c>
      <c r="Z4" s="3429"/>
      <c r="AA4" s="3416" t="s">
        <v>2408</v>
      </c>
      <c r="AB4" s="3417" t="s">
        <v>2409</v>
      </c>
      <c r="AC4" s="3416" t="s">
        <v>2410</v>
      </c>
    </row>
    <row r="5" spans="1:29" ht="15">
      <c r="A5" s="364"/>
      <c r="B5" s="365"/>
      <c r="C5" s="3436" t="s">
        <v>2303</v>
      </c>
      <c r="D5" s="3437"/>
      <c r="E5" s="3443" t="s">
        <v>2304</v>
      </c>
      <c r="F5" s="3444"/>
      <c r="G5" s="3436" t="s">
        <v>2305</v>
      </c>
      <c r="H5" s="3437"/>
      <c r="I5" s="3436" t="s">
        <v>2306</v>
      </c>
      <c r="J5" s="3437"/>
      <c r="K5" s="567"/>
      <c r="L5" s="2913"/>
      <c r="M5" s="2914"/>
      <c r="N5" s="2914"/>
      <c r="O5" s="2914"/>
      <c r="P5" s="3424"/>
      <c r="Q5" s="3425"/>
      <c r="R5" s="3430"/>
      <c r="S5" s="3431"/>
      <c r="T5" s="3430"/>
      <c r="U5" s="3431"/>
      <c r="V5" s="3415"/>
      <c r="W5" s="3415"/>
      <c r="X5" s="1508"/>
      <c r="Y5" s="3430"/>
      <c r="Z5" s="3431"/>
      <c r="AA5" s="3417"/>
      <c r="AB5" s="3417"/>
      <c r="AC5" s="3417"/>
    </row>
    <row r="6" spans="1:29" ht="15.75" thickBot="1">
      <c r="A6" s="366"/>
      <c r="B6" s="367"/>
      <c r="C6" s="3434" t="s">
        <v>2307</v>
      </c>
      <c r="D6" s="3435"/>
      <c r="E6" s="3441" t="s">
        <v>2307</v>
      </c>
      <c r="F6" s="3442"/>
      <c r="G6" s="3434" t="s">
        <v>2307</v>
      </c>
      <c r="H6" s="3435"/>
      <c r="I6" s="3434" t="s">
        <v>2307</v>
      </c>
      <c r="J6" s="3435"/>
      <c r="K6" s="567" t="s">
        <v>2308</v>
      </c>
      <c r="L6" s="2913"/>
      <c r="M6" s="2914"/>
      <c r="N6" s="2914"/>
      <c r="O6" s="2914"/>
      <c r="P6" s="3426"/>
      <c r="Q6" s="3427"/>
      <c r="R6" s="3430"/>
      <c r="S6" s="3431"/>
      <c r="T6" s="3432"/>
      <c r="U6" s="3433"/>
      <c r="V6" s="3415"/>
      <c r="W6" s="3415"/>
      <c r="X6" s="1508"/>
      <c r="Y6" s="3432"/>
      <c r="Z6" s="3433"/>
      <c r="AA6" s="3418"/>
      <c r="AB6" s="3418"/>
      <c r="AC6" s="3418"/>
    </row>
    <row r="7" spans="1:29" s="113" customFormat="1" ht="15.75" thickBot="1">
      <c r="A7" s="368" t="s">
        <v>2309</v>
      </c>
      <c r="B7" s="369"/>
      <c r="C7" s="370">
        <f>'数据-取费表'!B2</f>
        <v>44662</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38" t="s">
        <v>2310</v>
      </c>
      <c r="Q7" s="3440"/>
      <c r="R7" s="710" t="s">
        <v>17</v>
      </c>
      <c r="S7" s="711">
        <f t="shared" ref="S7:S14" si="0">F7</f>
        <v>0</v>
      </c>
      <c r="T7" s="710" t="s">
        <v>17</v>
      </c>
      <c r="U7" s="711">
        <f t="shared" ref="U7:U14" si="1">H7</f>
        <v>0</v>
      </c>
      <c r="V7" s="710" t="s">
        <v>17</v>
      </c>
      <c r="W7" s="711">
        <f t="shared" ref="W7:W14" si="2">J7</f>
        <v>0</v>
      </c>
      <c r="X7" s="712"/>
      <c r="Y7" s="3438" t="s">
        <v>2310</v>
      </c>
      <c r="Z7" s="3439"/>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38" t="s">
        <v>2313</v>
      </c>
      <c r="Q8" s="3439"/>
      <c r="R8" s="710" t="s">
        <v>17</v>
      </c>
      <c r="S8" s="711">
        <f t="shared" si="0"/>
        <v>0</v>
      </c>
      <c r="T8" s="710" t="s">
        <v>17</v>
      </c>
      <c r="U8" s="711">
        <f t="shared" si="1"/>
        <v>0</v>
      </c>
      <c r="V8" s="710" t="s">
        <v>17</v>
      </c>
      <c r="W8" s="711">
        <f t="shared" si="2"/>
        <v>0</v>
      </c>
      <c r="X8" s="712"/>
      <c r="Y8" s="3438" t="s">
        <v>2313</v>
      </c>
      <c r="Z8" s="3439"/>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09" t="s">
        <v>2316</v>
      </c>
      <c r="Q9" s="1496" t="str">
        <f t="shared" ref="Q9:Q14" si="6">B9</f>
        <v>用途</v>
      </c>
      <c r="R9" s="710" t="s">
        <v>17</v>
      </c>
      <c r="S9" s="711">
        <f t="shared" si="0"/>
        <v>100</v>
      </c>
      <c r="T9" s="710" t="s">
        <v>17</v>
      </c>
      <c r="U9" s="711">
        <f t="shared" si="1"/>
        <v>100</v>
      </c>
      <c r="V9" s="710" t="s">
        <v>17</v>
      </c>
      <c r="W9" s="711">
        <f t="shared" si="2"/>
        <v>100</v>
      </c>
      <c r="X9" s="712"/>
      <c r="Y9" s="330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09"/>
      <c r="Q10" s="1496"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09"/>
      <c r="Q11" s="1496">
        <f t="shared" si="6"/>
        <v>111</v>
      </c>
      <c r="R11" s="710" t="s">
        <v>17</v>
      </c>
      <c r="S11" s="711">
        <f t="shared" si="0"/>
        <v>100</v>
      </c>
      <c r="T11" s="710" t="s">
        <v>17</v>
      </c>
      <c r="U11" s="711">
        <f t="shared" si="1"/>
        <v>100</v>
      </c>
      <c r="V11" s="710" t="s">
        <v>17</v>
      </c>
      <c r="W11" s="711">
        <f t="shared" si="2"/>
        <v>100</v>
      </c>
      <c r="X11" s="712"/>
      <c r="Y11" s="3303"/>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09"/>
      <c r="Q12" s="1496">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09"/>
      <c r="Q13" s="1496">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
      <c r="A14" s="399" t="s">
        <v>2320</v>
      </c>
      <c r="B14" s="65" t="s">
        <v>2470</v>
      </c>
      <c r="C14" s="212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11" t="s">
        <v>2321</v>
      </c>
      <c r="Q14" s="1505" t="str">
        <f t="shared" si="6"/>
        <v>交通便捷度</v>
      </c>
      <c r="R14" s="714" t="s">
        <v>17</v>
      </c>
      <c r="S14" s="715">
        <f t="shared" si="0"/>
        <v>100</v>
      </c>
      <c r="T14" s="714" t="s">
        <v>17</v>
      </c>
      <c r="U14" s="715">
        <f t="shared" si="1"/>
        <v>100</v>
      </c>
      <c r="V14" s="714" t="s">
        <v>17</v>
      </c>
      <c r="W14" s="715">
        <f t="shared" si="2"/>
        <v>100</v>
      </c>
      <c r="X14" s="1508"/>
      <c r="Y14" s="3411"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12"/>
      <c r="Q15" s="1505"/>
      <c r="R15" s="714"/>
      <c r="S15" s="715"/>
      <c r="T15" s="714"/>
      <c r="U15" s="715"/>
      <c r="V15" s="714"/>
      <c r="W15" s="715"/>
      <c r="X15" s="1508"/>
      <c r="Y15" s="3412"/>
      <c r="Z15" s="1509"/>
      <c r="AA15" s="1506">
        <v>1</v>
      </c>
      <c r="AB15" s="1506">
        <v>1</v>
      </c>
      <c r="AC15" s="1506">
        <v>1</v>
      </c>
    </row>
    <row r="16" spans="1:29" ht="15">
      <c r="A16" s="387"/>
      <c r="B16" s="410" t="s">
        <v>2449</v>
      </c>
      <c r="C16" s="2055">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12"/>
      <c r="Q16" s="1505" t="str">
        <f>B16</f>
        <v>公共配套设施</v>
      </c>
      <c r="R16" s="714" t="s">
        <v>17</v>
      </c>
      <c r="S16" s="715">
        <f>F16</f>
        <v>100</v>
      </c>
      <c r="T16" s="714" t="s">
        <v>17</v>
      </c>
      <c r="U16" s="715">
        <f>H16</f>
        <v>100</v>
      </c>
      <c r="V16" s="714" t="s">
        <v>17</v>
      </c>
      <c r="W16" s="715">
        <f>J16</f>
        <v>100</v>
      </c>
      <c r="X16" s="1508"/>
      <c r="Y16" s="3412"/>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12"/>
      <c r="Q17" s="1505"/>
      <c r="R17" s="714"/>
      <c r="S17" s="715"/>
      <c r="T17" s="714"/>
      <c r="U17" s="715"/>
      <c r="V17" s="714"/>
      <c r="W17" s="715"/>
      <c r="X17" s="1508"/>
      <c r="Y17" s="3412"/>
      <c r="Z17" s="1509"/>
      <c r="AA17" s="1506">
        <v>1</v>
      </c>
      <c r="AB17" s="1506">
        <v>1</v>
      </c>
      <c r="AC17" s="1506">
        <v>1</v>
      </c>
    </row>
    <row r="18" spans="1:29" ht="15">
      <c r="A18" s="387"/>
      <c r="B18" s="1265" t="s">
        <v>2450</v>
      </c>
      <c r="C18" s="2055">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12"/>
      <c r="Q18" s="1505" t="str">
        <f>B18</f>
        <v>基础设施水平</v>
      </c>
      <c r="R18" s="714" t="s">
        <v>17</v>
      </c>
      <c r="S18" s="715">
        <f>F18</f>
        <v>100</v>
      </c>
      <c r="T18" s="714" t="s">
        <v>17</v>
      </c>
      <c r="U18" s="715">
        <f>H18</f>
        <v>100</v>
      </c>
      <c r="V18" s="714" t="s">
        <v>17</v>
      </c>
      <c r="W18" s="715">
        <f>J18</f>
        <v>100</v>
      </c>
      <c r="X18" s="1508"/>
      <c r="Y18" s="3412"/>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12"/>
      <c r="Q19" s="1505"/>
      <c r="R19" s="714"/>
      <c r="S19" s="715"/>
      <c r="T19" s="714"/>
      <c r="U19" s="715"/>
      <c r="V19" s="714"/>
      <c r="W19" s="715"/>
      <c r="X19" s="1508"/>
      <c r="Y19" s="3412"/>
      <c r="Z19" s="1509"/>
      <c r="AA19" s="1506">
        <v>1</v>
      </c>
      <c r="AB19" s="1506">
        <v>1</v>
      </c>
      <c r="AC19" s="1506">
        <v>1</v>
      </c>
    </row>
    <row r="20" spans="1:29" ht="15">
      <c r="A20" s="387"/>
      <c r="B20" s="410" t="s">
        <v>2471</v>
      </c>
      <c r="C20" s="2055">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12"/>
      <c r="Q20" s="1505" t="str">
        <f>B20</f>
        <v>自然及人文环境</v>
      </c>
      <c r="R20" s="714" t="s">
        <v>17</v>
      </c>
      <c r="S20" s="715">
        <f>F20</f>
        <v>100</v>
      </c>
      <c r="T20" s="714" t="s">
        <v>17</v>
      </c>
      <c r="U20" s="715">
        <f>H20</f>
        <v>100</v>
      </c>
      <c r="V20" s="714" t="s">
        <v>17</v>
      </c>
      <c r="W20" s="715">
        <f>J20</f>
        <v>100</v>
      </c>
      <c r="X20" s="1508"/>
      <c r="Y20" s="3412"/>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12"/>
      <c r="Q21" s="1505"/>
      <c r="R21" s="714"/>
      <c r="S21" s="715"/>
      <c r="T21" s="714"/>
      <c r="U21" s="715"/>
      <c r="V21" s="714"/>
      <c r="W21" s="715"/>
      <c r="X21" s="1508"/>
      <c r="Y21" s="3412"/>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12"/>
      <c r="Q22" s="1505" t="str">
        <f>B22</f>
        <v>楼层</v>
      </c>
      <c r="R22" s="714" t="s">
        <v>17</v>
      </c>
      <c r="S22" s="715">
        <f>F22</f>
        <v>100</v>
      </c>
      <c r="T22" s="714" t="s">
        <v>17</v>
      </c>
      <c r="U22" s="715">
        <f>H22</f>
        <v>100</v>
      </c>
      <c r="V22" s="714" t="s">
        <v>17</v>
      </c>
      <c r="W22" s="715">
        <f>J22</f>
        <v>100</v>
      </c>
      <c r="X22" s="1508"/>
      <c r="Y22" s="3412"/>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12"/>
      <c r="Q23" s="1505">
        <f>B23</f>
        <v>111</v>
      </c>
      <c r="R23" s="714" t="s">
        <v>17</v>
      </c>
      <c r="S23" s="715">
        <f>F23</f>
        <v>100</v>
      </c>
      <c r="T23" s="714" t="s">
        <v>17</v>
      </c>
      <c r="U23" s="715">
        <f>H23</f>
        <v>100</v>
      </c>
      <c r="V23" s="714" t="s">
        <v>17</v>
      </c>
      <c r="W23" s="715">
        <f>J23</f>
        <v>100</v>
      </c>
      <c r="X23" s="1508"/>
      <c r="Y23" s="3412"/>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12"/>
      <c r="Q24" s="1505">
        <f t="shared" ref="Q24:Q34" si="11">B24</f>
        <v>111</v>
      </c>
      <c r="R24" s="714" t="s">
        <v>17</v>
      </c>
      <c r="S24" s="715">
        <f>F24</f>
        <v>100</v>
      </c>
      <c r="T24" s="714" t="s">
        <v>17</v>
      </c>
      <c r="U24" s="715">
        <f>H24</f>
        <v>100</v>
      </c>
      <c r="V24" s="714" t="s">
        <v>17</v>
      </c>
      <c r="W24" s="715">
        <f>J24</f>
        <v>100</v>
      </c>
      <c r="X24" s="1508"/>
      <c r="Y24" s="3412"/>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12"/>
      <c r="Q25" s="1496">
        <f t="shared" si="11"/>
        <v>111</v>
      </c>
      <c r="R25" s="710" t="s">
        <v>17</v>
      </c>
      <c r="S25" s="711">
        <f>F25</f>
        <v>100</v>
      </c>
      <c r="T25" s="710" t="s">
        <v>17</v>
      </c>
      <c r="U25" s="711">
        <f>H25</f>
        <v>100</v>
      </c>
      <c r="V25" s="710" t="s">
        <v>17</v>
      </c>
      <c r="W25" s="711">
        <f>J25</f>
        <v>100</v>
      </c>
      <c r="X25" s="712"/>
      <c r="Y25" s="3412"/>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413"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14"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14"/>
      <c r="Q27" s="716" t="str">
        <f t="shared" si="11"/>
        <v>成新率</v>
      </c>
      <c r="R27" s="717" t="s">
        <v>17</v>
      </c>
      <c r="S27" s="718" t="e">
        <f t="shared" si="12"/>
        <v>#N/A</v>
      </c>
      <c r="T27" s="717" t="s">
        <v>17</v>
      </c>
      <c r="U27" s="718" t="e">
        <f t="shared" si="13"/>
        <v>#N/A</v>
      </c>
      <c r="V27" s="717" t="s">
        <v>17</v>
      </c>
      <c r="W27" s="718" t="e">
        <f t="shared" si="14"/>
        <v>#N/A</v>
      </c>
      <c r="X27" s="719"/>
      <c r="Y27" s="3414"/>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14"/>
      <c r="Q28" s="1505" t="str">
        <f t="shared" si="11"/>
        <v>物业等级</v>
      </c>
      <c r="R28" s="714" t="s">
        <v>17</v>
      </c>
      <c r="S28" s="715">
        <f t="shared" si="12"/>
        <v>100</v>
      </c>
      <c r="T28" s="714" t="s">
        <v>17</v>
      </c>
      <c r="U28" s="715">
        <f t="shared" si="13"/>
        <v>100</v>
      </c>
      <c r="V28" s="714" t="s">
        <v>17</v>
      </c>
      <c r="W28" s="715">
        <f t="shared" si="14"/>
        <v>100</v>
      </c>
      <c r="X28" s="1508"/>
      <c r="Y28" s="3414"/>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14"/>
      <c r="Q29" s="1505" t="str">
        <f t="shared" si="11"/>
        <v>有无电梯</v>
      </c>
      <c r="R29" s="714" t="s">
        <v>17</v>
      </c>
      <c r="S29" s="715">
        <f t="shared" si="12"/>
        <v>100</v>
      </c>
      <c r="T29" s="714" t="s">
        <v>17</v>
      </c>
      <c r="U29" s="715">
        <f t="shared" si="13"/>
        <v>100</v>
      </c>
      <c r="V29" s="714" t="s">
        <v>17</v>
      </c>
      <c r="W29" s="715">
        <f t="shared" si="14"/>
        <v>100</v>
      </c>
      <c r="X29" s="1508"/>
      <c r="Y29" s="3414"/>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14"/>
      <c r="Q30" s="1505" t="str">
        <f t="shared" si="11"/>
        <v>建筑面积</v>
      </c>
      <c r="R30" s="714" t="s">
        <v>17</v>
      </c>
      <c r="S30" s="715" t="e">
        <f t="shared" si="12"/>
        <v>#N/A</v>
      </c>
      <c r="T30" s="714" t="s">
        <v>17</v>
      </c>
      <c r="U30" s="715" t="e">
        <f t="shared" si="13"/>
        <v>#N/A</v>
      </c>
      <c r="V30" s="714" t="s">
        <v>17</v>
      </c>
      <c r="W30" s="715" t="e">
        <f t="shared" si="14"/>
        <v>#N/A</v>
      </c>
      <c r="X30" s="1508"/>
      <c r="Y30" s="3414"/>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14"/>
      <c r="Q31" s="1496" t="str">
        <f t="shared" si="11"/>
        <v>是否封闭</v>
      </c>
      <c r="R31" s="710" t="s">
        <v>17</v>
      </c>
      <c r="S31" s="711">
        <f t="shared" si="12"/>
        <v>100</v>
      </c>
      <c r="T31" s="710" t="s">
        <v>17</v>
      </c>
      <c r="U31" s="711">
        <f t="shared" si="13"/>
        <v>100</v>
      </c>
      <c r="V31" s="710" t="s">
        <v>17</v>
      </c>
      <c r="W31" s="711">
        <f t="shared" si="14"/>
        <v>100</v>
      </c>
      <c r="X31" s="712"/>
      <c r="Y31" s="3414"/>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14" t="s">
        <v>2326</v>
      </c>
      <c r="Q32" s="1505">
        <f t="shared" si="11"/>
        <v>111</v>
      </c>
      <c r="R32" s="714" t="s">
        <v>17</v>
      </c>
      <c r="S32" s="715">
        <f t="shared" si="12"/>
        <v>100</v>
      </c>
      <c r="T32" s="714" t="s">
        <v>17</v>
      </c>
      <c r="U32" s="715">
        <f t="shared" si="13"/>
        <v>100</v>
      </c>
      <c r="V32" s="714" t="s">
        <v>17</v>
      </c>
      <c r="W32" s="715">
        <f t="shared" si="14"/>
        <v>100</v>
      </c>
      <c r="X32" s="1508"/>
      <c r="Y32" s="3414"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14"/>
      <c r="Q33" s="1505">
        <f t="shared" si="11"/>
        <v>111</v>
      </c>
      <c r="R33" s="714" t="s">
        <v>17</v>
      </c>
      <c r="S33" s="715">
        <f t="shared" si="12"/>
        <v>100</v>
      </c>
      <c r="T33" s="714" t="s">
        <v>17</v>
      </c>
      <c r="U33" s="715">
        <f t="shared" si="13"/>
        <v>100</v>
      </c>
      <c r="V33" s="714" t="s">
        <v>17</v>
      </c>
      <c r="W33" s="715">
        <f t="shared" si="14"/>
        <v>100</v>
      </c>
      <c r="X33" s="1508"/>
      <c r="Y33" s="3414"/>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14"/>
      <c r="Q34" s="1505">
        <f t="shared" si="11"/>
        <v>111</v>
      </c>
      <c r="R34" s="714" t="s">
        <v>17</v>
      </c>
      <c r="S34" s="715">
        <f t="shared" si="12"/>
        <v>100</v>
      </c>
      <c r="T34" s="714" t="s">
        <v>17</v>
      </c>
      <c r="U34" s="715">
        <f t="shared" si="13"/>
        <v>100</v>
      </c>
      <c r="V34" s="714" t="s">
        <v>17</v>
      </c>
      <c r="W34" s="715">
        <f t="shared" si="14"/>
        <v>100</v>
      </c>
      <c r="X34" s="1508"/>
      <c r="Y34" s="3414"/>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409" t="str">
        <f>A35</f>
        <v>成交单价（元/平方米）</v>
      </c>
      <c r="Q35" s="3409"/>
      <c r="R35" s="3472">
        <f>E35</f>
        <v>0</v>
      </c>
      <c r="S35" s="3472"/>
      <c r="T35" s="3472">
        <f>G35</f>
        <v>0</v>
      </c>
      <c r="U35" s="3472"/>
      <c r="V35" s="3472">
        <f>I35</f>
        <v>0</v>
      </c>
      <c r="W35" s="3472"/>
      <c r="X35" s="699"/>
      <c r="Y35" s="721"/>
      <c r="Z35" s="699"/>
      <c r="AA35" s="699"/>
      <c r="AB35" s="699"/>
      <c r="AC35" s="699"/>
    </row>
    <row r="36" spans="1:30" ht="15.75" thickBot="1">
      <c r="A36" s="445" t="s">
        <v>2430</v>
      </c>
      <c r="B36" s="446"/>
      <c r="C36" s="1294" t="e">
        <f>R37</f>
        <v>#DIV/0!</v>
      </c>
      <c r="D36" s="2507" t="s">
        <v>2820</v>
      </c>
      <c r="E36" s="1295" t="e">
        <f>R36</f>
        <v>#DIV/0!</v>
      </c>
      <c r="F36" s="2508"/>
      <c r="G36" s="1294" t="e">
        <f>T36</f>
        <v>#DIV/0!</v>
      </c>
      <c r="H36" s="2508"/>
      <c r="I36" s="1295" t="e">
        <f>V36</f>
        <v>#DIV/0!</v>
      </c>
      <c r="J36" s="2508"/>
      <c r="K36" s="2510">
        <f>F36+H36+J36</f>
        <v>0</v>
      </c>
      <c r="L36" s="2922"/>
      <c r="M36" s="2923"/>
      <c r="N36" s="2914"/>
      <c r="O36" s="2923"/>
      <c r="P36" s="3409" t="str">
        <f>A36</f>
        <v>比较价值（元/平方米）</v>
      </c>
      <c r="Q36" s="3409"/>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03" t="str">
        <f>A37</f>
        <v>估价对象XX用房的比较价值（楼面单价，元/平方米）</v>
      </c>
      <c r="Q37" s="3404"/>
      <c r="R37" s="3494" t="e">
        <f>IF(F1="售价",ROUND(IF(D36="简单平均",AVERAGE(R36:W36),R36*F36+T36*H36+V36*J36),0),ROUND(IF(D36="简单平均",AVERAGE(R36:V36),R36*F36+T36*H36+V36*J36),1))</f>
        <v>#DIV/0!</v>
      </c>
      <c r="S37" s="3494"/>
      <c r="T37" s="3494"/>
      <c r="U37" s="3494"/>
      <c r="V37" s="3494"/>
      <c r="W37" s="3494"/>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2022-4</v>
      </c>
      <c r="D46" s="1318">
        <f>EDATE(C46,-1)</f>
        <v>44621</v>
      </c>
      <c r="E46" s="1318">
        <f t="shared" ref="E46:O46" si="16">EDATE(D46,-1)</f>
        <v>44593</v>
      </c>
      <c r="F46" s="1318">
        <f t="shared" si="16"/>
        <v>44562</v>
      </c>
      <c r="G46" s="1318">
        <f t="shared" si="16"/>
        <v>44531</v>
      </c>
      <c r="H46" s="1318">
        <f t="shared" si="16"/>
        <v>44501</v>
      </c>
      <c r="I46" s="1318">
        <f t="shared" si="16"/>
        <v>44470</v>
      </c>
      <c r="J46" s="1318">
        <f t="shared" si="16"/>
        <v>44440</v>
      </c>
      <c r="K46" s="1318">
        <f t="shared" si="16"/>
        <v>44409</v>
      </c>
      <c r="L46" s="1318">
        <f t="shared" si="16"/>
        <v>44378</v>
      </c>
      <c r="M46" s="1318">
        <f t="shared" si="16"/>
        <v>44348</v>
      </c>
      <c r="N46" s="1318">
        <f t="shared" si="16"/>
        <v>44317</v>
      </c>
      <c r="O46" s="1318">
        <f t="shared" si="16"/>
        <v>44287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9:Z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06" t="s">
        <v>2407</v>
      </c>
      <c r="D4" s="3419"/>
      <c r="E4" s="3420" t="s">
        <v>2408</v>
      </c>
      <c r="F4" s="3421"/>
      <c r="G4" s="3406" t="s">
        <v>2409</v>
      </c>
      <c r="H4" s="3419"/>
      <c r="I4" s="3406" t="s">
        <v>2410</v>
      </c>
      <c r="J4" s="3419"/>
      <c r="K4" s="567" t="s">
        <v>2411</v>
      </c>
      <c r="L4" s="2913"/>
      <c r="M4" s="2914"/>
      <c r="N4" s="2914"/>
      <c r="O4" s="2914"/>
      <c r="P4" s="3422" t="s">
        <v>2412</v>
      </c>
      <c r="Q4" s="3423"/>
      <c r="R4" s="3428" t="s">
        <v>2408</v>
      </c>
      <c r="S4" s="3429"/>
      <c r="T4" s="3428" t="s">
        <v>2409</v>
      </c>
      <c r="U4" s="3429"/>
      <c r="V4" s="3415" t="s">
        <v>2410</v>
      </c>
      <c r="W4" s="3415"/>
      <c r="X4" s="1508"/>
      <c r="Y4" s="3428" t="s">
        <v>2412</v>
      </c>
      <c r="Z4" s="3429"/>
      <c r="AA4" s="3416" t="s">
        <v>2408</v>
      </c>
      <c r="AB4" s="3417" t="s">
        <v>2409</v>
      </c>
      <c r="AC4" s="3416" t="s">
        <v>2410</v>
      </c>
    </row>
    <row r="5" spans="1:29" ht="15">
      <c r="A5" s="364"/>
      <c r="B5" s="365"/>
      <c r="C5" s="3436" t="s">
        <v>2303</v>
      </c>
      <c r="D5" s="3437"/>
      <c r="E5" s="3443" t="s">
        <v>2304</v>
      </c>
      <c r="F5" s="3444"/>
      <c r="G5" s="3436" t="s">
        <v>2305</v>
      </c>
      <c r="H5" s="3437"/>
      <c r="I5" s="3436" t="s">
        <v>2306</v>
      </c>
      <c r="J5" s="3437"/>
      <c r="K5" s="567"/>
      <c r="L5" s="2913"/>
      <c r="M5" s="2914"/>
      <c r="N5" s="2914"/>
      <c r="O5" s="2914"/>
      <c r="P5" s="3424"/>
      <c r="Q5" s="3425"/>
      <c r="R5" s="3430"/>
      <c r="S5" s="3431"/>
      <c r="T5" s="3430"/>
      <c r="U5" s="3431"/>
      <c r="V5" s="3415"/>
      <c r="W5" s="3415"/>
      <c r="X5" s="1508"/>
      <c r="Y5" s="3430"/>
      <c r="Z5" s="3431"/>
      <c r="AA5" s="3417"/>
      <c r="AB5" s="3417"/>
      <c r="AC5" s="3417"/>
    </row>
    <row r="6" spans="1:29" ht="15.75" thickBot="1">
      <c r="A6" s="366"/>
      <c r="B6" s="367"/>
      <c r="C6" s="3495" t="s">
        <v>2557</v>
      </c>
      <c r="D6" s="3496"/>
      <c r="E6" s="3497" t="s">
        <v>2557</v>
      </c>
      <c r="F6" s="3498"/>
      <c r="G6" s="3495" t="s">
        <v>2557</v>
      </c>
      <c r="H6" s="3496"/>
      <c r="I6" s="3495" t="s">
        <v>2557</v>
      </c>
      <c r="J6" s="3496"/>
      <c r="K6" s="567" t="s">
        <v>2308</v>
      </c>
      <c r="L6" s="2913"/>
      <c r="M6" s="2914"/>
      <c r="N6" s="2914"/>
      <c r="O6" s="2914"/>
      <c r="P6" s="3426"/>
      <c r="Q6" s="3427"/>
      <c r="R6" s="3430"/>
      <c r="S6" s="3431"/>
      <c r="T6" s="3432"/>
      <c r="U6" s="3433"/>
      <c r="V6" s="3415"/>
      <c r="W6" s="3415"/>
      <c r="X6" s="1508"/>
      <c r="Y6" s="3432"/>
      <c r="Z6" s="3433"/>
      <c r="AA6" s="3418"/>
      <c r="AB6" s="3418"/>
      <c r="AC6" s="3418"/>
    </row>
    <row r="7" spans="1:29" s="113" customFormat="1" ht="15.75" thickBot="1">
      <c r="A7" s="368" t="s">
        <v>2309</v>
      </c>
      <c r="B7" s="369"/>
      <c r="C7" s="370">
        <f>'数据-取费表'!B2</f>
        <v>44662</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438" t="s">
        <v>2310</v>
      </c>
      <c r="Q7" s="3440"/>
      <c r="R7" s="710" t="s">
        <v>17</v>
      </c>
      <c r="S7" s="711">
        <f t="shared" ref="S7:S15" si="0">F7</f>
        <v>0</v>
      </c>
      <c r="T7" s="710" t="s">
        <v>17</v>
      </c>
      <c r="U7" s="711">
        <f t="shared" ref="U7:U15" si="1">H7</f>
        <v>0</v>
      </c>
      <c r="V7" s="710" t="s">
        <v>17</v>
      </c>
      <c r="W7" s="711">
        <f t="shared" ref="W7:W15" si="2">J7</f>
        <v>0</v>
      </c>
      <c r="X7" s="712"/>
      <c r="Y7" s="3438" t="s">
        <v>2310</v>
      </c>
      <c r="Z7" s="3439"/>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38" t="s">
        <v>2313</v>
      </c>
      <c r="Q8" s="3439"/>
      <c r="R8" s="710" t="s">
        <v>17</v>
      </c>
      <c r="S8" s="711">
        <f t="shared" si="0"/>
        <v>0</v>
      </c>
      <c r="T8" s="710" t="s">
        <v>17</v>
      </c>
      <c r="U8" s="711">
        <f t="shared" si="1"/>
        <v>0</v>
      </c>
      <c r="V8" s="710" t="s">
        <v>17</v>
      </c>
      <c r="W8" s="711">
        <f t="shared" si="2"/>
        <v>0</v>
      </c>
      <c r="X8" s="712"/>
      <c r="Y8" s="3438" t="s">
        <v>2313</v>
      </c>
      <c r="Z8" s="3439"/>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09" t="s">
        <v>2316</v>
      </c>
      <c r="Q9" s="1496"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115</v>
      </c>
      <c r="G10" s="391"/>
      <c r="H10" s="132">
        <f>ROUND(100/'数据-取费表'!G16,0)</f>
        <v>115</v>
      </c>
      <c r="I10" s="391"/>
      <c r="J10" s="132">
        <f>ROUND(100/'数据-取费表'!G16,0)</f>
        <v>115</v>
      </c>
      <c r="K10" s="628"/>
      <c r="L10" s="2917"/>
      <c r="M10" s="2918"/>
      <c r="N10" s="2918"/>
      <c r="O10" s="2971"/>
      <c r="P10" s="3409"/>
      <c r="Q10" s="1496" t="str">
        <f t="shared" si="6"/>
        <v>土地使用年限（年）</v>
      </c>
      <c r="R10" s="710" t="s">
        <v>17</v>
      </c>
      <c r="S10" s="711">
        <f t="shared" si="0"/>
        <v>115</v>
      </c>
      <c r="T10" s="710" t="s">
        <v>17</v>
      </c>
      <c r="U10" s="711">
        <f t="shared" si="1"/>
        <v>115</v>
      </c>
      <c r="V10" s="710" t="s">
        <v>17</v>
      </c>
      <c r="W10" s="711">
        <f t="shared" si="2"/>
        <v>115</v>
      </c>
      <c r="X10" s="712"/>
      <c r="Y10" s="3303"/>
      <c r="Z10" s="55" t="str">
        <f t="shared" si="7"/>
        <v>土地使用年限（年）</v>
      </c>
      <c r="AA10" s="713">
        <f t="shared" si="3"/>
        <v>0.86956521739130432</v>
      </c>
      <c r="AB10" s="713">
        <f t="shared" si="4"/>
        <v>0.86956521739130432</v>
      </c>
      <c r="AC10" s="713">
        <f t="shared" si="5"/>
        <v>0.86956521739130432</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09"/>
      <c r="Q11" s="1496"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09"/>
      <c r="Q12" s="1496">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09"/>
      <c r="Q13" s="1496">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09"/>
      <c r="Q14" s="1496">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713">
        <f t="shared" si="5"/>
        <v>1</v>
      </c>
    </row>
    <row r="15" spans="1:29" ht="15">
      <c r="A15" s="399" t="s">
        <v>2320</v>
      </c>
      <c r="B15" s="585" t="s">
        <v>2558</v>
      </c>
      <c r="C15" s="2126">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11" t="s">
        <v>2321</v>
      </c>
      <c r="Q15" s="1505" t="str">
        <f t="shared" si="6"/>
        <v>产业集聚程度</v>
      </c>
      <c r="R15" s="714" t="s">
        <v>17</v>
      </c>
      <c r="S15" s="715">
        <f t="shared" si="0"/>
        <v>100</v>
      </c>
      <c r="T15" s="714" t="s">
        <v>17</v>
      </c>
      <c r="U15" s="715">
        <f t="shared" si="1"/>
        <v>100</v>
      </c>
      <c r="V15" s="714" t="s">
        <v>17</v>
      </c>
      <c r="W15" s="715">
        <f t="shared" si="2"/>
        <v>100</v>
      </c>
      <c r="X15" s="1508"/>
      <c r="Y15" s="3411"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20"/>
      <c r="M16" s="2914"/>
      <c r="N16" s="2914"/>
      <c r="O16" s="2972"/>
      <c r="P16" s="3412"/>
      <c r="Q16" s="1505"/>
      <c r="R16" s="714"/>
      <c r="S16" s="715"/>
      <c r="T16" s="714"/>
      <c r="U16" s="715"/>
      <c r="V16" s="714"/>
      <c r="W16" s="715"/>
      <c r="X16" s="1508"/>
      <c r="Y16" s="3412"/>
      <c r="Z16" s="1509"/>
      <c r="AA16" s="1506">
        <v>1</v>
      </c>
      <c r="AB16" s="1506">
        <v>1</v>
      </c>
      <c r="AC16" s="1506">
        <v>1</v>
      </c>
    </row>
    <row r="17" spans="1:29" ht="15">
      <c r="A17" s="387"/>
      <c r="B17" s="587" t="s">
        <v>2470</v>
      </c>
      <c r="C17" s="2055">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12"/>
      <c r="Q17" s="1505" t="str">
        <f>B17</f>
        <v>交通便捷度</v>
      </c>
      <c r="R17" s="714" t="s">
        <v>17</v>
      </c>
      <c r="S17" s="715">
        <f>F17</f>
        <v>100</v>
      </c>
      <c r="T17" s="714" t="s">
        <v>17</v>
      </c>
      <c r="U17" s="715">
        <f>H17</f>
        <v>100</v>
      </c>
      <c r="V17" s="714" t="s">
        <v>17</v>
      </c>
      <c r="W17" s="715">
        <f>J17</f>
        <v>100</v>
      </c>
      <c r="X17" s="1508"/>
      <c r="Y17" s="3412"/>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20"/>
      <c r="M18" s="2914"/>
      <c r="N18" s="2914"/>
      <c r="O18" s="2972"/>
      <c r="P18" s="3412"/>
      <c r="Q18" s="1505"/>
      <c r="R18" s="714"/>
      <c r="S18" s="715"/>
      <c r="T18" s="714"/>
      <c r="U18" s="715"/>
      <c r="V18" s="714"/>
      <c r="W18" s="715"/>
      <c r="X18" s="1508"/>
      <c r="Y18" s="3412"/>
      <c r="Z18" s="1509"/>
      <c r="AA18" s="1506">
        <v>1</v>
      </c>
      <c r="AB18" s="1506">
        <v>1</v>
      </c>
      <c r="AC18" s="1506">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12"/>
      <c r="Q19" s="1505" t="str">
        <f t="shared" ref="Q19:Q33" si="8">B19</f>
        <v>区域土地利用方向</v>
      </c>
      <c r="R19" s="714" t="s">
        <v>17</v>
      </c>
      <c r="S19" s="715">
        <f>F19</f>
        <v>100</v>
      </c>
      <c r="T19" s="714" t="s">
        <v>17</v>
      </c>
      <c r="U19" s="715">
        <f>H19</f>
        <v>100</v>
      </c>
      <c r="V19" s="714" t="s">
        <v>17</v>
      </c>
      <c r="W19" s="715">
        <f>J19</f>
        <v>100</v>
      </c>
      <c r="X19" s="1508"/>
      <c r="Y19" s="3412"/>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20"/>
      <c r="M20" s="2914"/>
      <c r="N20" s="2914"/>
      <c r="O20" s="2972"/>
      <c r="P20" s="3412"/>
      <c r="Q20" s="1505"/>
      <c r="R20" s="714"/>
      <c r="S20" s="715"/>
      <c r="T20" s="714"/>
      <c r="U20" s="715"/>
      <c r="V20" s="714"/>
      <c r="W20" s="715"/>
      <c r="X20" s="1508"/>
      <c r="Y20" s="3412"/>
      <c r="Z20" s="1509"/>
      <c r="AA20" s="1506"/>
      <c r="AB20" s="1506"/>
      <c r="AC20" s="1506"/>
    </row>
    <row r="21" spans="1:29" ht="15">
      <c r="A21" s="364"/>
      <c r="B21" s="587" t="s">
        <v>2559</v>
      </c>
      <c r="C21" s="2055">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12"/>
      <c r="Q21" s="1505" t="str">
        <f t="shared" si="8"/>
        <v>环境状况</v>
      </c>
      <c r="R21" s="714" t="s">
        <v>17</v>
      </c>
      <c r="S21" s="715">
        <f>F21</f>
        <v>100</v>
      </c>
      <c r="T21" s="714" t="s">
        <v>17</v>
      </c>
      <c r="U21" s="715">
        <f>H21</f>
        <v>100</v>
      </c>
      <c r="V21" s="714" t="s">
        <v>17</v>
      </c>
      <c r="W21" s="715">
        <f>J21</f>
        <v>100</v>
      </c>
      <c r="X21" s="1508"/>
      <c r="Y21" s="3412"/>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20"/>
      <c r="M22" s="2914"/>
      <c r="N22" s="2914"/>
      <c r="O22" s="2972"/>
      <c r="P22" s="3412"/>
      <c r="Q22" s="1505"/>
      <c r="R22" s="714"/>
      <c r="S22" s="715"/>
      <c r="T22" s="714"/>
      <c r="U22" s="715"/>
      <c r="V22" s="714"/>
      <c r="W22" s="715"/>
      <c r="X22" s="1508"/>
      <c r="Y22" s="3412"/>
      <c r="Z22" s="1509"/>
      <c r="AA22" s="1506">
        <v>1</v>
      </c>
      <c r="AB22" s="1506">
        <v>1</v>
      </c>
      <c r="AC22" s="1506">
        <v>1</v>
      </c>
    </row>
    <row r="23" spans="1:29" s="113" customFormat="1" ht="15">
      <c r="A23" s="605"/>
      <c r="B23" s="589" t="s">
        <v>2415</v>
      </c>
      <c r="C23" s="2055">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12"/>
      <c r="Q23" s="1496" t="str">
        <f t="shared" si="8"/>
        <v>公共配套设施</v>
      </c>
      <c r="R23" s="710" t="s">
        <v>17</v>
      </c>
      <c r="S23" s="711">
        <f>F23</f>
        <v>100</v>
      </c>
      <c r="T23" s="710" t="s">
        <v>17</v>
      </c>
      <c r="U23" s="711">
        <f>H23</f>
        <v>100</v>
      </c>
      <c r="V23" s="710" t="s">
        <v>17</v>
      </c>
      <c r="W23" s="711">
        <f>J23</f>
        <v>100</v>
      </c>
      <c r="X23" s="712"/>
      <c r="Y23" s="3412"/>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5"/>
      <c r="M24" s="2916"/>
      <c r="N24" s="2916"/>
      <c r="O24" s="2970"/>
      <c r="P24" s="3412"/>
      <c r="Q24" s="1496"/>
      <c r="R24" s="710"/>
      <c r="S24" s="711"/>
      <c r="T24" s="710"/>
      <c r="U24" s="711"/>
      <c r="V24" s="710"/>
      <c r="W24" s="711"/>
      <c r="X24" s="712"/>
      <c r="Y24" s="3412"/>
      <c r="Z24" s="55"/>
      <c r="AA24" s="713">
        <v>1</v>
      </c>
      <c r="AB24" s="713">
        <v>1</v>
      </c>
      <c r="AC24" s="713">
        <v>1</v>
      </c>
    </row>
    <row r="25" spans="1:29" s="113" customFormat="1" ht="15">
      <c r="A25" s="605"/>
      <c r="B25" s="589" t="s">
        <v>2416</v>
      </c>
      <c r="C25" s="205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12"/>
      <c r="Q25" s="1496" t="str">
        <f t="shared" ref="Q25" si="9">B25</f>
        <v>基础设施水平</v>
      </c>
      <c r="R25" s="710" t="s">
        <v>17</v>
      </c>
      <c r="S25" s="711">
        <f>F25</f>
        <v>100</v>
      </c>
      <c r="T25" s="710" t="s">
        <v>17</v>
      </c>
      <c r="U25" s="711">
        <f>H25</f>
        <v>100</v>
      </c>
      <c r="V25" s="710" t="s">
        <v>17</v>
      </c>
      <c r="W25" s="711">
        <f>J25</f>
        <v>100</v>
      </c>
      <c r="X25" s="712"/>
      <c r="Y25" s="3412"/>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5"/>
      <c r="M26" s="2916"/>
      <c r="N26" s="2916"/>
      <c r="O26" s="2970"/>
      <c r="P26" s="3412"/>
      <c r="Q26" s="1496"/>
      <c r="R26" s="710"/>
      <c r="S26" s="711"/>
      <c r="T26" s="710"/>
      <c r="U26" s="711"/>
      <c r="V26" s="710"/>
      <c r="W26" s="711"/>
      <c r="X26" s="712"/>
      <c r="Y26" s="3412"/>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12"/>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12"/>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12"/>
      <c r="Q28" s="1505" t="str">
        <f t="shared" si="8"/>
        <v>毗邻道路的类型与等级</v>
      </c>
      <c r="R28" s="714" t="s">
        <v>17</v>
      </c>
      <c r="S28" s="715">
        <f t="shared" si="10"/>
        <v>100</v>
      </c>
      <c r="T28" s="714" t="s">
        <v>17</v>
      </c>
      <c r="U28" s="715">
        <f t="shared" si="11"/>
        <v>100</v>
      </c>
      <c r="V28" s="714" t="s">
        <v>17</v>
      </c>
      <c r="W28" s="715">
        <f t="shared" si="12"/>
        <v>100</v>
      </c>
      <c r="X28" s="1508"/>
      <c r="Y28" s="3412"/>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412"/>
      <c r="Q29" s="1505"/>
      <c r="R29" s="714"/>
      <c r="S29" s="715"/>
      <c r="T29" s="714"/>
      <c r="U29" s="715"/>
      <c r="V29" s="714"/>
      <c r="W29" s="715"/>
      <c r="X29" s="1508"/>
      <c r="Y29" s="3412"/>
      <c r="Z29" s="1509"/>
      <c r="AA29" s="1506">
        <v>1</v>
      </c>
      <c r="AB29" s="1506">
        <v>1</v>
      </c>
      <c r="AC29" s="1506">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12"/>
      <c r="Q30" s="1505" t="str">
        <f t="shared" si="8"/>
        <v>土地级别</v>
      </c>
      <c r="R30" s="714" t="s">
        <v>17</v>
      </c>
      <c r="S30" s="715">
        <f t="shared" si="10"/>
        <v>100</v>
      </c>
      <c r="T30" s="714" t="s">
        <v>17</v>
      </c>
      <c r="U30" s="715">
        <f t="shared" si="11"/>
        <v>100</v>
      </c>
      <c r="V30" s="714" t="s">
        <v>17</v>
      </c>
      <c r="W30" s="715">
        <f t="shared" si="12"/>
        <v>100</v>
      </c>
      <c r="X30" s="1508"/>
      <c r="Y30" s="3412"/>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12"/>
      <c r="Q31" s="1505">
        <f t="shared" si="8"/>
        <v>111</v>
      </c>
      <c r="R31" s="714" t="s">
        <v>17</v>
      </c>
      <c r="S31" s="715">
        <f t="shared" si="10"/>
        <v>100</v>
      </c>
      <c r="T31" s="714" t="s">
        <v>17</v>
      </c>
      <c r="U31" s="715">
        <f t="shared" si="11"/>
        <v>100</v>
      </c>
      <c r="V31" s="714" t="s">
        <v>17</v>
      </c>
      <c r="W31" s="715">
        <f t="shared" si="12"/>
        <v>100</v>
      </c>
      <c r="X31" s="1508"/>
      <c r="Y31" s="3412"/>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413" t="s">
        <v>2326</v>
      </c>
      <c r="Q32" s="1505">
        <f t="shared" si="8"/>
        <v>111</v>
      </c>
      <c r="R32" s="714" t="s">
        <v>17</v>
      </c>
      <c r="S32" s="715">
        <f t="shared" si="10"/>
        <v>100</v>
      </c>
      <c r="T32" s="714" t="s">
        <v>17</v>
      </c>
      <c r="U32" s="715">
        <f t="shared" si="11"/>
        <v>100</v>
      </c>
      <c r="V32" s="714" t="s">
        <v>17</v>
      </c>
      <c r="W32" s="715">
        <f t="shared" si="12"/>
        <v>100</v>
      </c>
      <c r="X32" s="1508"/>
      <c r="Y32" s="3414"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14"/>
      <c r="Q33" s="1505">
        <f t="shared" si="8"/>
        <v>111</v>
      </c>
      <c r="R33" s="717" t="s">
        <v>17</v>
      </c>
      <c r="S33" s="718">
        <f t="shared" si="10"/>
        <v>100</v>
      </c>
      <c r="T33" s="717" t="s">
        <v>17</v>
      </c>
      <c r="U33" s="718">
        <f t="shared" si="11"/>
        <v>100</v>
      </c>
      <c r="V33" s="717" t="s">
        <v>17</v>
      </c>
      <c r="W33" s="718">
        <f t="shared" si="12"/>
        <v>100</v>
      </c>
      <c r="X33" s="719"/>
      <c r="Y33" s="3414"/>
      <c r="Z33" s="720">
        <f t="shared" si="13"/>
        <v>111</v>
      </c>
      <c r="AA33" s="1506">
        <f t="shared" si="3"/>
        <v>1</v>
      </c>
      <c r="AB33" s="1506">
        <f t="shared" si="4"/>
        <v>1</v>
      </c>
      <c r="AC33" s="1506">
        <f t="shared" si="5"/>
        <v>1</v>
      </c>
    </row>
    <row r="34" spans="1:31" ht="15">
      <c r="A34" s="399" t="s">
        <v>2324</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14"/>
      <c r="Q34" s="1505" t="str">
        <f>B34</f>
        <v>宗地面积</v>
      </c>
      <c r="R34" s="714" t="s">
        <v>17</v>
      </c>
      <c r="S34" s="715" t="e">
        <f t="shared" si="10"/>
        <v>#N/A</v>
      </c>
      <c r="T34" s="714" t="s">
        <v>17</v>
      </c>
      <c r="U34" s="715" t="e">
        <f t="shared" si="11"/>
        <v>#N/A</v>
      </c>
      <c r="V34" s="714" t="s">
        <v>17</v>
      </c>
      <c r="W34" s="715" t="e">
        <f t="shared" si="12"/>
        <v>#N/A</v>
      </c>
      <c r="X34" s="1508"/>
      <c r="Y34" s="3414"/>
      <c r="Z34" s="1509" t="str">
        <f t="shared" si="13"/>
        <v>宗地面积</v>
      </c>
      <c r="AA34" s="1506" t="e">
        <f t="shared" si="3"/>
        <v>#N/A</v>
      </c>
      <c r="AB34" s="1506" t="e">
        <f t="shared" si="4"/>
        <v>#N/A</v>
      </c>
      <c r="AC34" s="1506" t="e">
        <f t="shared" si="5"/>
        <v>#N/A</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14"/>
      <c r="Q35" s="1505" t="str">
        <f t="shared" ref="Q35:Q40" si="14">B35</f>
        <v>宗地形状</v>
      </c>
      <c r="R35" s="714" t="s">
        <v>17</v>
      </c>
      <c r="S35" s="715">
        <f t="shared" si="10"/>
        <v>100</v>
      </c>
      <c r="T35" s="714" t="s">
        <v>17</v>
      </c>
      <c r="U35" s="715">
        <f t="shared" si="11"/>
        <v>100</v>
      </c>
      <c r="V35" s="714" t="s">
        <v>17</v>
      </c>
      <c r="W35" s="715">
        <f t="shared" si="12"/>
        <v>100</v>
      </c>
      <c r="X35" s="1508"/>
      <c r="Y35" s="3414"/>
      <c r="Z35" s="1509" t="str">
        <f t="shared" si="13"/>
        <v>宗地形状</v>
      </c>
      <c r="AA35" s="1506">
        <f t="shared" si="3"/>
        <v>1</v>
      </c>
      <c r="AB35" s="1506">
        <f t="shared" si="4"/>
        <v>1</v>
      </c>
      <c r="AC35" s="1506">
        <f t="shared" si="5"/>
        <v>1</v>
      </c>
    </row>
    <row r="36" spans="1:31" s="113" customFormat="1" ht="15">
      <c r="A36" s="432"/>
      <c r="B36" s="381" t="s">
        <v>2514</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14"/>
      <c r="Q36" s="1505" t="str">
        <f t="shared" si="14"/>
        <v>宗地开发程度</v>
      </c>
      <c r="R36" s="710" t="s">
        <v>17</v>
      </c>
      <c r="S36" s="711">
        <f t="shared" si="10"/>
        <v>100</v>
      </c>
      <c r="T36" s="710" t="s">
        <v>17</v>
      </c>
      <c r="U36" s="711">
        <f t="shared" si="11"/>
        <v>100</v>
      </c>
      <c r="V36" s="710" t="s">
        <v>17</v>
      </c>
      <c r="W36" s="711">
        <f t="shared" si="12"/>
        <v>100</v>
      </c>
      <c r="X36" s="712"/>
      <c r="Y36" s="3414"/>
      <c r="Z36" s="55" t="str">
        <f t="shared" si="13"/>
        <v>宗地开发程度</v>
      </c>
      <c r="AA36" s="713">
        <f t="shared" si="3"/>
        <v>1</v>
      </c>
      <c r="AB36" s="713">
        <f t="shared" si="4"/>
        <v>1</v>
      </c>
      <c r="AC36" s="713">
        <f t="shared" si="5"/>
        <v>1</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14" t="s">
        <v>2326</v>
      </c>
      <c r="Q37" s="1505" t="str">
        <f t="shared" si="14"/>
        <v>工程地质条件</v>
      </c>
      <c r="R37" s="714" t="s">
        <v>17</v>
      </c>
      <c r="S37" s="715">
        <f t="shared" si="10"/>
        <v>100</v>
      </c>
      <c r="T37" s="714" t="s">
        <v>17</v>
      </c>
      <c r="U37" s="715">
        <f t="shared" si="11"/>
        <v>100</v>
      </c>
      <c r="V37" s="714" t="s">
        <v>17</v>
      </c>
      <c r="W37" s="715">
        <f t="shared" si="12"/>
        <v>100</v>
      </c>
      <c r="X37" s="1508"/>
      <c r="Y37" s="3414"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14"/>
      <c r="Q38" s="1505">
        <f t="shared" si="14"/>
        <v>111</v>
      </c>
      <c r="R38" s="714" t="s">
        <v>17</v>
      </c>
      <c r="S38" s="715">
        <f t="shared" si="10"/>
        <v>100</v>
      </c>
      <c r="T38" s="714" t="s">
        <v>17</v>
      </c>
      <c r="U38" s="715">
        <f t="shared" si="11"/>
        <v>100</v>
      </c>
      <c r="V38" s="714" t="s">
        <v>17</v>
      </c>
      <c r="W38" s="715">
        <f t="shared" si="12"/>
        <v>100</v>
      </c>
      <c r="X38" s="1508"/>
      <c r="Y38" s="3414"/>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14"/>
      <c r="Q39" s="1505">
        <f t="shared" si="14"/>
        <v>111</v>
      </c>
      <c r="R39" s="714" t="s">
        <v>17</v>
      </c>
      <c r="S39" s="715">
        <f t="shared" si="10"/>
        <v>100</v>
      </c>
      <c r="T39" s="714" t="s">
        <v>17</v>
      </c>
      <c r="U39" s="715">
        <f t="shared" si="11"/>
        <v>100</v>
      </c>
      <c r="V39" s="714" t="s">
        <v>17</v>
      </c>
      <c r="W39" s="715">
        <f t="shared" si="12"/>
        <v>100</v>
      </c>
      <c r="X39" s="1508"/>
      <c r="Y39" s="3414"/>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14"/>
      <c r="Q40" s="1505">
        <f t="shared" si="14"/>
        <v>111</v>
      </c>
      <c r="R40" s="717" t="s">
        <v>17</v>
      </c>
      <c r="S40" s="718">
        <f t="shared" si="10"/>
        <v>100</v>
      </c>
      <c r="T40" s="717" t="s">
        <v>17</v>
      </c>
      <c r="U40" s="718">
        <f t="shared" si="11"/>
        <v>100</v>
      </c>
      <c r="V40" s="717" t="s">
        <v>17</v>
      </c>
      <c r="W40" s="718">
        <f t="shared" si="12"/>
        <v>100</v>
      </c>
      <c r="X40" s="719"/>
      <c r="Y40" s="3414"/>
      <c r="Z40" s="720">
        <f t="shared" si="13"/>
        <v>111</v>
      </c>
      <c r="AA40" s="1506">
        <f t="shared" si="3"/>
        <v>1</v>
      </c>
      <c r="AB40" s="1506">
        <f t="shared" si="4"/>
        <v>1</v>
      </c>
      <c r="AC40" s="1506">
        <f t="shared" si="5"/>
        <v>1</v>
      </c>
    </row>
    <row r="41" spans="1:31" ht="15">
      <c r="A41" s="438" t="s">
        <v>2481</v>
      </c>
      <c r="B41" s="2137" t="s">
        <v>2560</v>
      </c>
      <c r="C41" s="638" t="s">
        <v>1</v>
      </c>
      <c r="D41" s="440"/>
      <c r="E41" s="441"/>
      <c r="F41" s="442"/>
      <c r="G41" s="443"/>
      <c r="H41" s="444"/>
      <c r="I41" s="441"/>
      <c r="J41" s="444"/>
      <c r="K41" s="723"/>
      <c r="L41" s="2922"/>
      <c r="M41" s="2914"/>
      <c r="N41" s="2914"/>
      <c r="O41" s="2923"/>
      <c r="P41" s="3409" t="str">
        <f>A41</f>
        <v>成交单价</v>
      </c>
      <c r="Q41" s="3409"/>
      <c r="R41" s="3415">
        <f>E41</f>
        <v>0</v>
      </c>
      <c r="S41" s="3415"/>
      <c r="T41" s="3415">
        <f>G41</f>
        <v>0</v>
      </c>
      <c r="U41" s="3415"/>
      <c r="V41" s="3415">
        <f>I41</f>
        <v>0</v>
      </c>
      <c r="W41" s="3415"/>
      <c r="X41" s="699"/>
      <c r="Y41" s="721"/>
      <c r="Z41" s="699"/>
      <c r="AA41" s="699"/>
      <c r="AB41" s="699"/>
      <c r="AC41" s="699"/>
    </row>
    <row r="42" spans="1:31" ht="15.75" thickBot="1">
      <c r="A42" s="445" t="s">
        <v>2430</v>
      </c>
      <c r="B42" s="639"/>
      <c r="C42" s="448" t="e">
        <f>R43</f>
        <v>#DIV/0!</v>
      </c>
      <c r="D42" s="2507" t="s">
        <v>2820</v>
      </c>
      <c r="E42" s="448" t="e">
        <f>R42</f>
        <v>#DIV/0!</v>
      </c>
      <c r="F42" s="2508"/>
      <c r="G42" s="447" t="e">
        <f>T42</f>
        <v>#DIV/0!</v>
      </c>
      <c r="H42" s="2508"/>
      <c r="I42" s="448" t="e">
        <f>V42</f>
        <v>#DIV/0!</v>
      </c>
      <c r="J42" s="2508"/>
      <c r="K42" s="2510">
        <f>F42+H42+J42</f>
        <v>0</v>
      </c>
      <c r="L42" s="2922"/>
      <c r="M42" s="2914"/>
      <c r="N42" s="2914"/>
      <c r="O42" s="2923"/>
      <c r="P42" s="3409" t="str">
        <f>A42</f>
        <v>比较价值（元/平方米）</v>
      </c>
      <c r="Q42" s="3409"/>
      <c r="R42" s="3402" t="e">
        <f>ROUND(PRODUCT(R41,AA7:AA40),0)</f>
        <v>#DIV/0!</v>
      </c>
      <c r="S42" s="3402"/>
      <c r="T42" s="3402" t="e">
        <f>ROUND(PRODUCT(T41,AB7:AB40),0)</f>
        <v>#DIV/0!</v>
      </c>
      <c r="U42" s="3402"/>
      <c r="V42" s="3402" t="e">
        <f>ROUND(PRODUCT(V41,AC7:AC40),0)</f>
        <v>#DIV/0!</v>
      </c>
      <c r="W42" s="3402"/>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03" t="str">
        <f>A43</f>
        <v>估价对象XX用房的比较价值（楼面单价，元/平方米）</v>
      </c>
      <c r="Q43" s="3404"/>
      <c r="R43" s="3405" t="e">
        <f>ROUND(IF(D42="简单平均",AVERAGE(R42:W42),R42*F42+T42*H42+V42*J42),0)</f>
        <v>#DIV/0!</v>
      </c>
      <c r="S43" s="3405"/>
      <c r="T43" s="3405"/>
      <c r="U43" s="3405"/>
      <c r="V43" s="3405"/>
      <c r="W43" s="3405"/>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2518</v>
      </c>
      <c r="B50" s="641" t="s">
        <v>2519</v>
      </c>
      <c r="C50" s="2138" t="s">
        <v>2520</v>
      </c>
      <c r="D50" s="2139" t="s">
        <v>2521</v>
      </c>
      <c r="E50" s="642" t="s">
        <v>2522</v>
      </c>
      <c r="F50" s="643" t="s">
        <v>2523</v>
      </c>
      <c r="G50" s="3406" t="s">
        <v>2524</v>
      </c>
      <c r="H50" s="3407"/>
      <c r="I50" s="1509" t="s">
        <v>2561</v>
      </c>
      <c r="J50" s="1509">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2527</v>
      </c>
      <c r="B51" s="645" t="e">
        <f>C43</f>
        <v>#DIV/0!</v>
      </c>
      <c r="C51" s="646">
        <v>1</v>
      </c>
      <c r="D51" s="1075">
        <v>1</v>
      </c>
      <c r="E51" s="646">
        <f>'数据-汇总表'!E8+'数据-汇总表'!E9</f>
        <v>142992.4</v>
      </c>
      <c r="F51" s="647" t="e">
        <f t="shared" ref="F51:F60" si="15">ROUND(B51*E51/10000,0)</f>
        <v>#DIV/0!</v>
      </c>
      <c r="G51" s="3408"/>
      <c r="H51" s="3409"/>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2528</v>
      </c>
      <c r="B52" s="224" t="e">
        <f>ROUND($C$43*C52*D52,0)</f>
        <v>#DIV/0!</v>
      </c>
      <c r="C52" s="176">
        <f t="shared" ref="C52:C60" si="16">IF($C$50="北京市系数",I52,J52)</f>
        <v>0</v>
      </c>
      <c r="D52" s="1076">
        <v>0.25</v>
      </c>
      <c r="E52" s="650"/>
      <c r="F52" s="647" t="e">
        <f t="shared" si="15"/>
        <v>#DIV/0!</v>
      </c>
      <c r="G52" s="3410" t="s">
        <v>2529</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2530</v>
      </c>
      <c r="B53" s="224" t="e">
        <f t="shared" ref="B53:B60" si="17">ROUND($C$43*C53*D53,0)</f>
        <v>#DIV/0!</v>
      </c>
      <c r="C53" s="176">
        <f t="shared" si="16"/>
        <v>0</v>
      </c>
      <c r="D53" s="1076">
        <v>0.25</v>
      </c>
      <c r="E53" s="650"/>
      <c r="F53" s="647" t="e">
        <f t="shared" si="15"/>
        <v>#DIV/0!</v>
      </c>
      <c r="G53" s="3410"/>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2531</v>
      </c>
      <c r="B54" s="224" t="e">
        <f t="shared" si="17"/>
        <v>#DIV/0!</v>
      </c>
      <c r="C54" s="176">
        <f t="shared" si="16"/>
        <v>0</v>
      </c>
      <c r="D54" s="1076">
        <v>0.25</v>
      </c>
      <c r="E54" s="650"/>
      <c r="F54" s="647" t="e">
        <f t="shared" si="15"/>
        <v>#DIV/0!</v>
      </c>
      <c r="G54" s="3410"/>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2532</v>
      </c>
      <c r="B55" s="224" t="e">
        <f t="shared" si="17"/>
        <v>#DIV/0!</v>
      </c>
      <c r="C55" s="176">
        <f t="shared" si="16"/>
        <v>0</v>
      </c>
      <c r="D55" s="1076">
        <v>0.25</v>
      </c>
      <c r="E55" s="650"/>
      <c r="F55" s="647" t="e">
        <f t="shared" si="15"/>
        <v>#DIV/0!</v>
      </c>
      <c r="G55" s="3410"/>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2533</v>
      </c>
      <c r="B56" s="224" t="e">
        <f t="shared" si="17"/>
        <v>#DIV/0!</v>
      </c>
      <c r="C56" s="176">
        <f t="shared" si="16"/>
        <v>0</v>
      </c>
      <c r="D56" s="1076">
        <v>0.25</v>
      </c>
      <c r="E56" s="223">
        <f>'数据-汇总表'!E11</f>
        <v>0</v>
      </c>
      <c r="F56" s="647" t="e">
        <f t="shared" si="15"/>
        <v>#DIV/0!</v>
      </c>
      <c r="G56" s="2142" t="s">
        <v>2534</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2539</v>
      </c>
      <c r="B59" s="224" t="e">
        <f t="shared" si="17"/>
        <v>#DIV/0!</v>
      </c>
      <c r="C59" s="176">
        <f t="shared" si="16"/>
        <v>0</v>
      </c>
      <c r="D59" s="1076">
        <v>0.25</v>
      </c>
      <c r="E59" s="223">
        <f>'数据-汇总表'!E14</f>
        <v>0</v>
      </c>
      <c r="F59" s="647" t="e">
        <f t="shared" si="15"/>
        <v>#DIV/0!</v>
      </c>
      <c r="G59" s="2142" t="s">
        <v>2529</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2540</v>
      </c>
      <c r="B60" s="224" t="e">
        <f t="shared" si="17"/>
        <v>#DIV/0!</v>
      </c>
      <c r="C60" s="176">
        <f t="shared" si="16"/>
        <v>0</v>
      </c>
      <c r="D60" s="1076">
        <v>0.25</v>
      </c>
      <c r="E60" s="223">
        <f>'数据-汇总表'!E15</f>
        <v>0</v>
      </c>
      <c r="F60" s="647" t="e">
        <f t="shared" si="15"/>
        <v>#DIV/0!</v>
      </c>
      <c r="G60" s="2143" t="s">
        <v>2534</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2541</v>
      </c>
      <c r="B61" s="652" t="s">
        <v>28</v>
      </c>
      <c r="C61" s="652" t="s">
        <v>29</v>
      </c>
      <c r="D61" s="652" t="s">
        <v>997</v>
      </c>
      <c r="E61" s="652">
        <f>IF(B41="楼面地价",SUM(E51:E60),'数据-汇总表'!D3)</f>
        <v>57307</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2542</v>
      </c>
      <c r="B65" s="1241"/>
      <c r="C65" s="1315" t="str">
        <f>YEAR(C63)&amp;"-"&amp;ROUNDUP(MONTH(C63)/3,0)</f>
        <v>2022-2</v>
      </c>
      <c r="D65" s="1315" t="str">
        <f t="shared" ref="D65:O65" si="19">YEAR(D63)&amp;"-"&amp;ROUNDUP(MONTH(D63)/3,0)</f>
        <v>2022-1</v>
      </c>
      <c r="E65" s="1315" t="str">
        <f t="shared" si="19"/>
        <v>2021-4</v>
      </c>
      <c r="F65" s="1315" t="str">
        <f t="shared" si="19"/>
        <v>2021-3</v>
      </c>
      <c r="G65" s="1315" t="str">
        <f t="shared" si="19"/>
        <v>2021-2</v>
      </c>
      <c r="H65" s="1315" t="str">
        <f t="shared" si="19"/>
        <v>2021-1</v>
      </c>
      <c r="I65" s="1315" t="str">
        <f t="shared" si="19"/>
        <v>2020-4</v>
      </c>
      <c r="J65" s="1315" t="str">
        <f t="shared" si="19"/>
        <v>2020-3</v>
      </c>
      <c r="K65" s="1315" t="str">
        <f t="shared" si="19"/>
        <v>2020-2</v>
      </c>
      <c r="L65" s="1315" t="str">
        <f t="shared" si="19"/>
        <v>2020-1</v>
      </c>
      <c r="M65" s="1315" t="str">
        <f t="shared" si="19"/>
        <v>2019-4</v>
      </c>
      <c r="N65" s="1315" t="str">
        <f t="shared" si="19"/>
        <v>2019-3</v>
      </c>
      <c r="O65" s="1315" t="str">
        <f t="shared" si="19"/>
        <v>2019-2</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北京市平均增长率0.00%</v>
      </c>
      <c r="C66" s="560">
        <v>100</v>
      </c>
      <c r="D66" s="552"/>
      <c r="E66" s="552"/>
      <c r="F66" s="552"/>
      <c r="G66" s="552"/>
      <c r="H66" s="552"/>
      <c r="I66" s="552"/>
      <c r="J66" s="552"/>
      <c r="K66" s="552"/>
      <c r="L66" s="552"/>
      <c r="M66" s="1312"/>
      <c r="N66" s="1312"/>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2545</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2546</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2510</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2552</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2554</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2555</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L14" sqref="L9:Z14"/>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0</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t="e">
        <f>C26</f>
        <v>#DIV/0!</v>
      </c>
      <c r="C2" s="2154" t="s">
        <v>2573</v>
      </c>
      <c r="D2" s="2155" t="s">
        <v>2574</v>
      </c>
      <c r="E2" s="2156"/>
      <c r="F2" s="2155" t="s">
        <v>2575</v>
      </c>
      <c r="G2" s="2157">
        <f>IF(E2="商业",项目基本情况!B37,IF(E2="办公",项目基本情况!C37,IF(E2="住宅",项目基本情况!D37,项目基本情况!E37)))</f>
        <v>0</v>
      </c>
      <c r="H2" s="2155" t="s">
        <v>2576</v>
      </c>
      <c r="I2" s="2157">
        <f>IF(E2="商业",项目基本情况!B38,IF(E2="办公",项目基本情况!C38,IF(E2="住宅",项目基本情况!D38,项目基本情况!E38)))</f>
        <v>0</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2578</v>
      </c>
      <c r="B3" s="210" t="e">
        <f>ROUND(B2*10000/D1,0)</f>
        <v>#DIV/0!</v>
      </c>
      <c r="C3" s="2154" t="s">
        <v>2579</v>
      </c>
      <c r="D3" s="2155" t="s">
        <v>2580</v>
      </c>
      <c r="E3" s="2160"/>
      <c r="F3" s="2161" t="s">
        <v>2581</v>
      </c>
      <c r="G3" s="855">
        <f>IF(F3="宗地容积率",'数据-汇总表'!I4,IF(F3="估价对象容积率",'数据-汇总表'!I6,'数据-汇总表'!I7))</f>
        <v>2.5</v>
      </c>
      <c r="H3" s="175" t="s">
        <v>2582</v>
      </c>
      <c r="I3" s="881"/>
      <c r="J3" s="2158" t="s">
        <v>2583</v>
      </c>
      <c r="K3" s="1252"/>
      <c r="L3" s="2159" t="s">
        <v>2584</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02"/>
      <c r="B4" s="3503"/>
      <c r="C4" s="3503"/>
      <c r="D4" s="3504"/>
      <c r="E4" s="3504"/>
      <c r="F4" s="3504"/>
      <c r="G4" s="3504"/>
      <c r="H4" s="3504"/>
      <c r="I4" s="3504"/>
      <c r="J4" s="3505"/>
      <c r="K4" s="1252"/>
      <c r="L4" s="2159" t="s">
        <v>2585</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2586</v>
      </c>
      <c r="C5" s="856" t="e">
        <f>ROUND(IF(E2="商业",C6*C7+C16,(IF(E2="住宅",C6*C12+C16,C6+C16))),0)</f>
        <v>#DIV/0!</v>
      </c>
      <c r="D5" s="1492" t="e">
        <f>ROUND(C6+C16,0)</f>
        <v>#DIV/0!</v>
      </c>
      <c r="E5" s="1492"/>
      <c r="F5" s="2164"/>
      <c r="G5" s="2165"/>
      <c r="H5" s="2165"/>
      <c r="I5" s="2165"/>
      <c r="J5" s="2166"/>
      <c r="K5" s="2167"/>
      <c r="L5" s="2159" t="s">
        <v>2587</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5.75" thickBot="1">
      <c r="A6" s="2172" t="s">
        <v>2588</v>
      </c>
      <c r="B6" s="2173" t="s">
        <v>2589</v>
      </c>
      <c r="C6" s="857">
        <f>SUMIF(L1:L12,G2,M1:M12)</f>
        <v>0</v>
      </c>
      <c r="D6" s="2174" t="s">
        <v>2590</v>
      </c>
      <c r="E6" s="2175"/>
      <c r="F6" s="2175"/>
      <c r="G6" s="2176"/>
      <c r="H6" s="2176"/>
      <c r="I6" s="2176"/>
      <c r="J6" s="2177"/>
      <c r="K6" s="1537"/>
      <c r="L6" s="2159" t="s">
        <v>2591</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4">
      <c r="A7" s="3506" t="str">
        <f>IF(E2="商业",IF(C8="不临58条商业街","",2),"")</f>
        <v/>
      </c>
      <c r="B7" s="2178" t="s">
        <v>2592</v>
      </c>
      <c r="C7" s="858" t="e">
        <f>IF(C8="不临58条商业街",1,ROUND(1+(1.6*E8+1.2*E9+0.8*E10+0.4*E11)*C9,4))</f>
        <v>#DIV/0!</v>
      </c>
      <c r="D7" s="2179" t="s">
        <v>2593</v>
      </c>
      <c r="E7" s="882"/>
      <c r="F7" s="2180"/>
      <c r="G7" s="2181"/>
      <c r="H7" s="2181"/>
      <c r="I7" s="2181"/>
      <c r="J7" s="2182"/>
      <c r="K7" s="1537"/>
      <c r="L7" s="2159" t="s">
        <v>2594</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0</v>
      </c>
      <c r="T7" s="1345" t="e">
        <f t="shared" si="0"/>
        <v>#DIV/0!</v>
      </c>
      <c r="U7" s="1346"/>
      <c r="V7" s="1345" t="e">
        <f t="shared" si="1"/>
        <v>#DIV/0!</v>
      </c>
      <c r="W7" s="1511" t="s">
        <v>2595</v>
      </c>
      <c r="X7" s="1347">
        <f>G2</f>
        <v>0</v>
      </c>
      <c r="Y7" s="1347" t="s">
        <v>2596</v>
      </c>
      <c r="Z7" s="1348">
        <f>G3</f>
        <v>2.5</v>
      </c>
      <c r="AA7" s="1349"/>
      <c r="AB7" s="1349"/>
      <c r="AC7" s="1350"/>
      <c r="AD7" s="1351"/>
      <c r="AE7" s="1351"/>
      <c r="AF7" s="1351"/>
      <c r="AG7" s="1351"/>
      <c r="AH7" s="1351"/>
      <c r="AI7" s="1351"/>
      <c r="AJ7" s="1352"/>
    </row>
    <row r="8" spans="1:36" ht="15">
      <c r="A8" s="3507"/>
      <c r="B8" s="175" t="s">
        <v>2597</v>
      </c>
      <c r="C8" s="2183"/>
      <c r="D8" s="859" t="s">
        <v>139</v>
      </c>
      <c r="E8" s="860" t="e">
        <f>ROUND(C11/E7,4)</f>
        <v>#DIV/0!</v>
      </c>
      <c r="F8" s="2184" t="s">
        <v>2598</v>
      </c>
      <c r="G8" s="2185"/>
      <c r="H8" s="2185"/>
      <c r="I8" s="2185"/>
      <c r="J8" s="2186"/>
      <c r="K8" s="1252"/>
      <c r="L8" s="2159" t="s">
        <v>2599</v>
      </c>
      <c r="M8" s="995">
        <f>SUMPRODUCT((区片价!B206:B244=I2)*(区片价!C3:F3=E2)*(区片价!C206:F244))</f>
        <v>0</v>
      </c>
      <c r="N8" s="997">
        <f>SUMPRODUCT((因素修正幅度!B206:B244=I2)*(因素修正幅度!C3:F3=E2)*(因素修正幅度!C206:F244))</f>
        <v>0</v>
      </c>
      <c r="O8" s="1252"/>
      <c r="P8" s="1252"/>
      <c r="Q8" s="1252"/>
      <c r="R8" s="1345">
        <v>7</v>
      </c>
      <c r="S8" s="1346"/>
      <c r="T8" s="1345" t="e">
        <f t="shared" si="0"/>
        <v>#DIV/0!</v>
      </c>
      <c r="U8" s="1346"/>
      <c r="V8" s="1345" t="e">
        <f t="shared" si="1"/>
        <v>#DIV/0!</v>
      </c>
      <c r="W8" s="3499" t="s">
        <v>2600</v>
      </c>
      <c r="X8" s="3500"/>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507"/>
      <c r="B9" s="175" t="s">
        <v>2613</v>
      </c>
      <c r="C9" s="861">
        <f>SUMIF(修正!C59:C119,C8,修正!E59:E119)</f>
        <v>0</v>
      </c>
      <c r="D9" s="176" t="s">
        <v>140</v>
      </c>
      <c r="E9" s="176" t="e">
        <f>ROUND(C11/E7,4)</f>
        <v>#DIV/0!</v>
      </c>
      <c r="F9" s="2184" t="s">
        <v>2614</v>
      </c>
      <c r="G9" s="2185"/>
      <c r="H9" s="2185"/>
      <c r="I9" s="2185"/>
      <c r="J9" s="2186"/>
      <c r="K9" s="1252"/>
      <c r="L9" s="2159" t="s">
        <v>2615</v>
      </c>
      <c r="M9" s="995">
        <f>SUMPRODUCT((区片价!B245:B289=I2)*(区片价!C3:F3=E2)*(区片价!C245:F289))</f>
        <v>0</v>
      </c>
      <c r="N9" s="997">
        <f>SUMPRODUCT((因素修正幅度!B245:B289=I2)*(因素修正幅度!C3:F3=E2)*(因素修正幅度!C245:F289))</f>
        <v>0</v>
      </c>
      <c r="O9" s="1252"/>
      <c r="P9" s="1252"/>
      <c r="Q9" s="1252"/>
      <c r="R9" s="1345">
        <v>8</v>
      </c>
      <c r="S9" s="1346"/>
      <c r="T9" s="1345" t="e">
        <f t="shared" si="0"/>
        <v>#DIV/0!</v>
      </c>
      <c r="U9" s="1346"/>
      <c r="V9" s="1345" t="e">
        <f t="shared" si="1"/>
        <v>#DIV/0!</v>
      </c>
      <c r="W9" s="3501"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07"/>
      <c r="B10" s="175" t="s">
        <v>2618</v>
      </c>
      <c r="C10" s="176">
        <f>SUMIF(修正!C59:C119,C8,修正!F59:F119)</f>
        <v>0</v>
      </c>
      <c r="D10" s="176" t="s">
        <v>141</v>
      </c>
      <c r="E10" s="176" t="e">
        <f>ROUND(C11/E7,4)</f>
        <v>#DIV/0!</v>
      </c>
      <c r="F10" s="2184" t="s">
        <v>2619</v>
      </c>
      <c r="G10" s="2185"/>
      <c r="H10" s="2185"/>
      <c r="I10" s="2185"/>
      <c r="J10" s="2186"/>
      <c r="K10" s="1252"/>
      <c r="L10" s="2159" t="s">
        <v>2620</v>
      </c>
      <c r="M10" s="995">
        <f>SUMPRODUCT((区片价!B290:B316=I2)*(区片价!C3:F3=E2)*(区片价!C290:F316))</f>
        <v>0</v>
      </c>
      <c r="N10" s="997">
        <f>SUMPRODUCT((因素修正幅度!B290:B316=I2)*(因素修正幅度!C3:F3=E2)*(因素修正幅度!C290:F316))</f>
        <v>0</v>
      </c>
      <c r="O10" s="1252"/>
      <c r="P10" s="1252"/>
      <c r="Q10" s="1252"/>
      <c r="R10" s="1345">
        <v>9</v>
      </c>
      <c r="S10" s="1346"/>
      <c r="T10" s="1345" t="e">
        <f t="shared" si="0"/>
        <v>#DIV/0!</v>
      </c>
      <c r="U10" s="1346"/>
      <c r="V10" s="1345" t="e">
        <f t="shared" si="1"/>
        <v>#DIV/0!</v>
      </c>
      <c r="W10" s="3501"/>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07"/>
      <c r="B11" s="2187" t="s">
        <v>2621</v>
      </c>
      <c r="C11" s="862">
        <f>C10/4</f>
        <v>0</v>
      </c>
      <c r="D11" s="862" t="s">
        <v>142</v>
      </c>
      <c r="E11" s="862" t="e">
        <f>ROUND(C11/E7,4)</f>
        <v>#DIV/0!</v>
      </c>
      <c r="F11" s="2188" t="s">
        <v>2622</v>
      </c>
      <c r="G11" s="2189"/>
      <c r="H11" s="2189"/>
      <c r="I11" s="2189"/>
      <c r="J11" s="2190"/>
      <c r="K11" s="1252"/>
      <c r="L11" s="2159" t="s">
        <v>2623</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t="e">
        <f t="shared" si="0"/>
        <v>#DIV/0!</v>
      </c>
      <c r="U11" s="1346"/>
      <c r="V11" s="1345" t="e">
        <f t="shared" si="1"/>
        <v>#DIV/0!</v>
      </c>
      <c r="W11" s="3501" t="s">
        <v>2624</v>
      </c>
      <c r="X11" s="1357" t="s">
        <v>2625</v>
      </c>
      <c r="Y11" s="1358">
        <f>$G$3</f>
        <v>2.5</v>
      </c>
      <c r="Z11" s="1358">
        <f t="shared" ref="Z11:AJ11" si="3">$G$3</f>
        <v>2.5</v>
      </c>
      <c r="AA11" s="1358">
        <f t="shared" si="3"/>
        <v>2.5</v>
      </c>
      <c r="AB11" s="1358">
        <f t="shared" si="3"/>
        <v>2.5</v>
      </c>
      <c r="AC11" s="1358">
        <f t="shared" si="3"/>
        <v>2.5</v>
      </c>
      <c r="AD11" s="1358">
        <f t="shared" si="3"/>
        <v>2.5</v>
      </c>
      <c r="AE11" s="1358">
        <f t="shared" si="3"/>
        <v>2.5</v>
      </c>
      <c r="AF11" s="1358">
        <f t="shared" si="3"/>
        <v>2.5</v>
      </c>
      <c r="AG11" s="1358">
        <f t="shared" si="3"/>
        <v>2.5</v>
      </c>
      <c r="AH11" s="1358">
        <f t="shared" si="3"/>
        <v>2.5</v>
      </c>
      <c r="AI11" s="1358">
        <f t="shared" si="3"/>
        <v>2.5</v>
      </c>
      <c r="AJ11" s="1358">
        <f t="shared" si="3"/>
        <v>2.5</v>
      </c>
    </row>
    <row r="12" spans="1:36" ht="25.5" thickBot="1">
      <c r="A12" s="3506" t="s">
        <v>2626</v>
      </c>
      <c r="B12" s="2191" t="s">
        <v>2627</v>
      </c>
      <c r="C12" s="858">
        <f>ROUND(C15*D15*E15*F15*G15*H15*I15*J15,4)</f>
        <v>1</v>
      </c>
      <c r="D12" s="2192" t="s">
        <v>2628</v>
      </c>
      <c r="E12" s="2193"/>
      <c r="F12" s="2193"/>
      <c r="G12" s="2194"/>
      <c r="H12" s="2194"/>
      <c r="I12" s="2194"/>
      <c r="J12" s="2195"/>
      <c r="K12" s="1252"/>
      <c r="L12" s="2196" t="s">
        <v>2629</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t="e">
        <f t="shared" si="0"/>
        <v>#DIV/0!</v>
      </c>
      <c r="U12" s="1346"/>
      <c r="V12" s="1345" t="e">
        <f t="shared" si="1"/>
        <v>#DIV/0!</v>
      </c>
      <c r="W12" s="3501"/>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08"/>
      <c r="B13" s="2197" t="s">
        <v>2631</v>
      </c>
      <c r="C13" s="2198" t="s">
        <v>2632</v>
      </c>
      <c r="D13" s="1503" t="s">
        <v>2633</v>
      </c>
      <c r="E13" s="1503" t="s">
        <v>2634</v>
      </c>
      <c r="F13" s="30" t="s">
        <v>2635</v>
      </c>
      <c r="G13" s="2199" t="s">
        <v>2636</v>
      </c>
      <c r="H13" s="2199" t="s">
        <v>2636</v>
      </c>
      <c r="I13" s="2199" t="s">
        <v>2636</v>
      </c>
      <c r="J13" s="2200" t="s">
        <v>2636</v>
      </c>
      <c r="K13" s="1252"/>
      <c r="L13" s="1252"/>
      <c r="M13" s="1252"/>
      <c r="N13" s="1252"/>
      <c r="O13" s="1252"/>
      <c r="P13" s="1252"/>
      <c r="Q13" s="1252"/>
      <c r="R13" s="1345">
        <v>12</v>
      </c>
      <c r="S13" s="1346"/>
      <c r="T13" s="1345" t="e">
        <f t="shared" si="0"/>
        <v>#DIV/0!</v>
      </c>
      <c r="U13" s="1346"/>
      <c r="V13" s="1345" t="e">
        <f t="shared" si="1"/>
        <v>#DIV/0!</v>
      </c>
      <c r="W13" s="3501"/>
      <c r="X13" s="1359"/>
      <c r="Y13" s="1356">
        <f>(-0.163*(Y12^2)-0.59*Y12+7617)*(10^(-4))/Y11</f>
        <v>0.30468000000000001</v>
      </c>
      <c r="Z13" s="1356">
        <f t="shared" ref="Z13:AJ13" si="5">(-0.163*(Z12^2)-0.59*Z12+7617)*(10^(-4))/Z11</f>
        <v>0.30468000000000001</v>
      </c>
      <c r="AA13" s="1356">
        <f t="shared" si="5"/>
        <v>0.30468000000000001</v>
      </c>
      <c r="AB13" s="1356">
        <f t="shared" si="5"/>
        <v>0.30468000000000001</v>
      </c>
      <c r="AC13" s="1356">
        <f t="shared" si="5"/>
        <v>0.30468000000000001</v>
      </c>
      <c r="AD13" s="1356">
        <f t="shared" si="5"/>
        <v>0.30468000000000001</v>
      </c>
      <c r="AE13" s="1356">
        <f t="shared" si="5"/>
        <v>0.30468000000000001</v>
      </c>
      <c r="AF13" s="1356">
        <f t="shared" si="5"/>
        <v>0.30468000000000001</v>
      </c>
      <c r="AG13" s="1356">
        <f t="shared" si="5"/>
        <v>0.30468000000000001</v>
      </c>
      <c r="AH13" s="1356">
        <f t="shared" si="5"/>
        <v>0.30468000000000001</v>
      </c>
      <c r="AI13" s="1356">
        <f t="shared" si="5"/>
        <v>0.30468000000000001</v>
      </c>
      <c r="AJ13" s="1356">
        <f t="shared" si="5"/>
        <v>0.30468000000000001</v>
      </c>
    </row>
    <row r="14" spans="1:36" ht="15">
      <c r="A14" s="3508"/>
      <c r="B14" s="2201"/>
      <c r="C14" s="2202"/>
      <c r="D14" s="2203"/>
      <c r="E14" s="2203"/>
      <c r="F14" s="2204"/>
      <c r="G14" s="2205" t="s">
        <v>2637</v>
      </c>
      <c r="H14" s="2206"/>
      <c r="I14" s="2207"/>
      <c r="J14" s="2208"/>
      <c r="K14" s="1252"/>
      <c r="L14" s="1252"/>
      <c r="M14" s="1252"/>
      <c r="N14" s="1252"/>
      <c r="O14" s="1252"/>
      <c r="P14" s="1252"/>
      <c r="Q14" s="1252"/>
      <c r="R14" s="1345">
        <v>13</v>
      </c>
      <c r="S14" s="1346"/>
      <c r="T14" s="1345" t="e">
        <f t="shared" si="0"/>
        <v>#DIV/0!</v>
      </c>
      <c r="U14" s="1346"/>
      <c r="V14" s="1345" t="e">
        <f t="shared" si="1"/>
        <v>#DIV/0!</v>
      </c>
      <c r="W14" s="1349"/>
      <c r="X14" s="1349"/>
      <c r="Y14" s="1349"/>
      <c r="Z14" s="1349"/>
      <c r="AA14" s="1349"/>
      <c r="AB14" s="1349"/>
      <c r="AC14" s="1350"/>
      <c r="AD14" s="2989"/>
      <c r="AE14" s="2989"/>
      <c r="AF14" s="2989"/>
      <c r="AG14" s="2989"/>
      <c r="AH14" s="2989"/>
      <c r="AI14" s="2989"/>
      <c r="AJ14" s="2990"/>
    </row>
    <row r="15" spans="1:36" ht="15.75" thickBot="1">
      <c r="A15" s="3509"/>
      <c r="B15" s="2209" t="s">
        <v>2638</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t="e">
        <f t="shared" si="0"/>
        <v>#DIV/0!</v>
      </c>
      <c r="U15" s="1346"/>
      <c r="V15" s="1345" t="e">
        <f t="shared" si="1"/>
        <v>#DIV/0!</v>
      </c>
      <c r="W15" s="1349"/>
      <c r="X15" s="1349"/>
      <c r="Y15" s="1349"/>
      <c r="Z15" s="1349"/>
      <c r="AA15" s="1349"/>
      <c r="AB15" s="1349"/>
      <c r="AC15" s="1350"/>
      <c r="AD15" s="2989"/>
      <c r="AE15" s="2989"/>
      <c r="AF15" s="2989"/>
      <c r="AG15" s="2989"/>
      <c r="AH15" s="2989"/>
      <c r="AI15" s="2989"/>
      <c r="AJ15" s="2990"/>
    </row>
    <row r="16" spans="1:36" ht="24.6" customHeight="1">
      <c r="A16" s="3506" t="s">
        <v>2643</v>
      </c>
      <c r="B16" s="2178" t="s">
        <v>2644</v>
      </c>
      <c r="C16" s="2340" t="e">
        <f>ROUND(IF(F17="与级别开发程度一致",0,(G17-E17)/C17),0)</f>
        <v>#DIV/0!</v>
      </c>
      <c r="D16" s="3522" t="s">
        <v>2648</v>
      </c>
      <c r="E16" s="3523"/>
      <c r="F16" s="3522" t="s">
        <v>2645</v>
      </c>
      <c r="G16" s="3523"/>
      <c r="H16" s="2210"/>
      <c r="I16" s="2210"/>
      <c r="J16" s="2344"/>
      <c r="K16" s="2210"/>
      <c r="L16" s="2210"/>
      <c r="M16" s="2210"/>
      <c r="N16" s="2210"/>
      <c r="O16" s="2211"/>
      <c r="P16" s="2152"/>
      <c r="Q16" s="1252"/>
      <c r="R16" s="1345">
        <v>15</v>
      </c>
      <c r="S16" s="1346"/>
      <c r="T16" s="1345" t="e">
        <f t="shared" si="0"/>
        <v>#DIV/0!</v>
      </c>
      <c r="U16" s="1346"/>
      <c r="V16" s="1345" t="e">
        <f t="shared" si="1"/>
        <v>#DIV/0!</v>
      </c>
      <c r="W16" s="1349"/>
      <c r="X16" s="1349"/>
      <c r="Y16" s="1349"/>
      <c r="Z16" s="1349"/>
      <c r="AA16" s="1349"/>
      <c r="AB16" s="1349"/>
      <c r="AC16" s="1350"/>
      <c r="AD16" s="2989"/>
      <c r="AE16" s="2989"/>
      <c r="AF16" s="2989"/>
      <c r="AG16" s="2989"/>
      <c r="AH16" s="2989"/>
      <c r="AI16" s="2989"/>
      <c r="AJ16" s="2990"/>
    </row>
    <row r="17" spans="1:37" ht="13.5" thickBot="1">
      <c r="A17" s="3510"/>
      <c r="B17" s="2351" t="s">
        <v>2647</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2650</v>
      </c>
      <c r="C18" s="2347">
        <f>SUMIF(修正!C18:C39,E3,修正!E18:E39)</f>
        <v>0</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7.75" thickBot="1">
      <c r="A19" s="2215" t="s">
        <v>809</v>
      </c>
      <c r="B19" s="2216" t="s">
        <v>2651</v>
      </c>
      <c r="C19" s="863" t="e">
        <f>ROUND(IF(H19="按公示增长率计算",SUMPRODUCT((地价!A3:A37=YEAR(G19)&amp;"-"&amp;ROUNDUP(MONTH(G19)/3,0))*(地价!X2:AB2=E2)*(地价!X3:AB37)),IF(H19="地价指数",M20/M19,(1+I19)^O19)),4)</f>
        <v>#VALUE!</v>
      </c>
      <c r="D19" s="2220" t="s">
        <v>2652</v>
      </c>
      <c r="E19" s="864">
        <v>41640</v>
      </c>
      <c r="F19" s="2220" t="s">
        <v>2653</v>
      </c>
      <c r="G19" s="865">
        <f>'数据-取费表'!B2</f>
        <v>44662</v>
      </c>
      <c r="H19" s="2221"/>
      <c r="I19" s="866" t="str">
        <f>IF(H19="季度增幅（自定义）",SUMIF(N21:N24,E2,O21:O24),"")</f>
        <v/>
      </c>
      <c r="J19" s="2218"/>
      <c r="K19" s="1259"/>
      <c r="L19" s="2222" t="s">
        <v>2654</v>
      </c>
      <c r="M19" s="1467">
        <f>ROUND(SUMIF(地价!B2:F2,E2,地价!B37:F37),0)</f>
        <v>0</v>
      </c>
      <c r="N19" s="2223" t="s">
        <v>2655</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2656</v>
      </c>
      <c r="C20" s="868" t="e">
        <f>ROUND(POWER(1+G20,J20-I20)*(POWER(1+G20,I20)-1)/(POWER(1+G20,J20)-1),4)</f>
        <v>#DIV/0!</v>
      </c>
      <c r="D20" s="2227" t="s">
        <v>2657</v>
      </c>
      <c r="E20" s="1474">
        <f>存贷款利率!E20/100</f>
        <v>4.3499999999999997E-2</v>
      </c>
      <c r="F20" s="2227" t="s">
        <v>2649</v>
      </c>
      <c r="G20" s="873">
        <f>SUMIF(M26:P26,E2,M28:P28)</f>
        <v>0</v>
      </c>
      <c r="H20" s="2227" t="s">
        <v>2658</v>
      </c>
      <c r="I20" s="874" t="e">
        <f>SUMIF('数据-取费表'!C6:C15,E2,'数据-取费表'!F6:F15)/COUNTIF('数据-取费表'!C6:C15,E2)</f>
        <v>#DIV/0!</v>
      </c>
      <c r="J20" s="875">
        <f>IF(E2="住宅",70,IF(E2="商业",40,50))</f>
        <v>50</v>
      </c>
      <c r="K20" s="1259"/>
      <c r="L20" s="2228" t="s">
        <v>2659</v>
      </c>
      <c r="M20" s="1468">
        <f>ROUND(SUMPRODUCT((地价!A4:A37=YEAR(G19)&amp;"-"&amp;ROUNDUP(MONTH(G19)/3,0))*(地价!B2:F2=E2)*(地价!B4:F37)),0)</f>
        <v>0</v>
      </c>
      <c r="N20" s="2229" t="s">
        <v>2660</v>
      </c>
      <c r="O20" s="2230" t="s">
        <v>2661</v>
      </c>
      <c r="P20" s="2231" t="s">
        <v>2662</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2663</v>
      </c>
      <c r="C21" s="876">
        <f>IF(B21="容积率修正",IF(G3&lt;=10,D22,J22),C23)</f>
        <v>0</v>
      </c>
      <c r="D21" s="2234"/>
      <c r="E21" s="2234"/>
      <c r="F21" s="2234"/>
      <c r="G21" s="2234"/>
      <c r="H21" s="2234"/>
      <c r="I21" s="2234"/>
      <c r="J21" s="2235"/>
      <c r="K21" s="1259"/>
      <c r="L21" s="2988"/>
      <c r="M21" s="2988"/>
      <c r="N21" s="2236" t="s">
        <v>2664</v>
      </c>
      <c r="O21" s="1307"/>
      <c r="P21" s="1308">
        <f>SUMPRODUCT((地价!A3:A37=YEAR(G19)&amp;"-"&amp;ROUNDUP(MONTH(G19)/3,0))*(地价!AD2:AH2=N21)*(地价!AD3:AH37))</f>
        <v>0</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2665</v>
      </c>
      <c r="B22" s="2237" t="s">
        <v>2666</v>
      </c>
      <c r="C22" s="1505" t="s">
        <v>2667</v>
      </c>
      <c r="D22" s="1505" t="b">
        <f>IF(E22=G22,F22,IF(G3&lt;=10,ROUND(F22+(H22-F22)*(G3-E22)/(G22-E22),4),"——"))</f>
        <v>0</v>
      </c>
      <c r="E22" s="855">
        <f>ROUNDDOWN(G3,1)</f>
        <v>2.5</v>
      </c>
      <c r="F22" s="15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2.5</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5" t="s">
        <v>155</v>
      </c>
      <c r="J22" s="877" t="str">
        <f>IF(G3&gt;10,D113,"——")</f>
        <v>——</v>
      </c>
      <c r="K22" s="1259"/>
      <c r="L22" s="2988"/>
      <c r="M22" s="2988"/>
      <c r="N22" s="2236" t="s">
        <v>2668</v>
      </c>
      <c r="O22" s="1307"/>
      <c r="P22" s="1308">
        <f>SUMPRODUCT((地价!A3:A37=YEAR(G19)&amp;"-"&amp;ROUNDUP(MONTH(G19)/3,0))*(地价!AD2:AH2=N22)*(地价!AD3:AH37))</f>
        <v>0</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2669</v>
      </c>
      <c r="B23" s="2238" t="s">
        <v>2670</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2671</v>
      </c>
      <c r="O23" s="1307"/>
      <c r="P23" s="1308">
        <f>SUMPRODUCT((地价!A3:A37=YEAR(G19)&amp;"-"&amp;ROUNDUP(MONTH(G19)/3,0))*(地价!AD2:AH2=N23)*(地价!AD3:AH37))</f>
        <v>0</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2672</v>
      </c>
      <c r="C24" s="863">
        <f>SUMIF(A45:A88,E2,B45:B88)</f>
        <v>0</v>
      </c>
      <c r="D24" s="2217"/>
      <c r="E24" s="2244"/>
      <c r="F24" s="2244"/>
      <c r="G24" s="2244"/>
      <c r="H24" s="2244"/>
      <c r="I24" s="2244"/>
      <c r="J24" s="2245"/>
      <c r="K24" s="1259"/>
      <c r="L24" s="2988"/>
      <c r="M24" s="2988"/>
      <c r="N24" s="2246" t="s">
        <v>2673</v>
      </c>
      <c r="O24" s="1309"/>
      <c r="P24" s="1310">
        <f>SUMPRODUCT((地价!A3:A37=YEAR(G19)&amp;"-"&amp;ROUNDUP(MONTH(G19)/3,0))*(地价!AD2:AH2=N24)*(地价!AD3:AH37))</f>
        <v>0</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2674</v>
      </c>
      <c r="C25" s="869"/>
      <c r="D25" s="2181"/>
      <c r="E25" s="2181"/>
      <c r="F25" s="2248"/>
      <c r="G25" s="2181"/>
      <c r="H25" s="2181"/>
      <c r="I25" s="2181"/>
      <c r="J25" s="2182"/>
      <c r="K25" s="1252"/>
      <c r="L25" s="2152"/>
      <c r="M25" s="2152"/>
      <c r="N25" s="2983" t="s">
        <v>2675</v>
      </c>
      <c r="O25" s="2984"/>
      <c r="P25" s="2985">
        <f>SUMPRODUCT((地价!A3:A37=YEAR(G19)&amp;"-"&amp;ROUNDUP(MONTH(G19)/3,0))*(地价!AD2:AH2=N25)*(地价!AD3:AH37))</f>
        <v>0</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2676</v>
      </c>
      <c r="C26" s="2511" t="e">
        <f>IF(B21="容积率修正",E29+SUM(E33:E39),SUM(V2:V16)+SUM(E33:E39))</f>
        <v>#DIV/0!</v>
      </c>
      <c r="D26" s="2250"/>
      <c r="E26" s="2206"/>
      <c r="F26" s="2251"/>
      <c r="G26" s="2206"/>
      <c r="H26" s="2206"/>
      <c r="I26" s="2206"/>
      <c r="J26" s="2252"/>
      <c r="K26" s="1252"/>
      <c r="L26" s="2986" t="s">
        <v>2574</v>
      </c>
      <c r="M26" s="2179" t="s">
        <v>2639</v>
      </c>
      <c r="N26" s="2179" t="s">
        <v>2640</v>
      </c>
      <c r="O26" s="2179" t="s">
        <v>2641</v>
      </c>
      <c r="P26" s="2987" t="s">
        <v>2642</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2677</v>
      </c>
      <c r="C27" s="870" t="e">
        <f>E30+SUM(I33:I39)</f>
        <v>#DIV/0!</v>
      </c>
      <c r="D27" s="2254"/>
      <c r="E27" s="2255"/>
      <c r="F27" s="2256"/>
      <c r="G27" s="2255"/>
      <c r="H27" s="2255"/>
      <c r="I27" s="2255"/>
      <c r="J27" s="2257"/>
      <c r="K27" s="1252"/>
      <c r="L27" s="2212"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2678</v>
      </c>
      <c r="C28" s="2260" t="s">
        <v>2679</v>
      </c>
      <c r="D28" s="2260" t="s">
        <v>2680</v>
      </c>
      <c r="E28" s="2261" t="s">
        <v>2681</v>
      </c>
      <c r="F28" s="2262"/>
      <c r="G28" s="2194"/>
      <c r="H28" s="2194"/>
      <c r="I28" s="2194"/>
      <c r="J28" s="2195"/>
      <c r="K28" s="1252"/>
      <c r="L28" s="2213"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2682</v>
      </c>
      <c r="C29" s="180" t="e">
        <f>ROUND(C5*C18*C19*C20*C21*C24,0)</f>
        <v>#DIV/0!</v>
      </c>
      <c r="D29" s="2265"/>
      <c r="E29" s="879" t="e">
        <f>ROUND(C29*D29/10000,0)</f>
        <v>#DIV/0!</v>
      </c>
      <c r="F29" s="2266" t="s">
        <v>2683</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2684</v>
      </c>
      <c r="C30" s="193" t="e">
        <f>ROUND(IF(E2="工业",C29*M39,C29*M38),0)</f>
        <v>#DIV/0!</v>
      </c>
      <c r="D30" s="2271"/>
      <c r="E30" s="879" t="e">
        <f>ROUND(C30*D30/10000,0)</f>
        <v>#DIV/0!</v>
      </c>
      <c r="F30" s="2272" t="s">
        <v>2685</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2686</v>
      </c>
      <c r="C31" s="2277" t="s">
        <v>2687</v>
      </c>
      <c r="D31" s="2194"/>
      <c r="E31" s="2277"/>
      <c r="F31" s="2277"/>
      <c r="G31" s="2192" t="s">
        <v>2688</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2679</v>
      </c>
      <c r="D32" s="455" t="s">
        <v>2680</v>
      </c>
      <c r="E32" s="455" t="s">
        <v>2681</v>
      </c>
      <c r="F32" s="348" t="s">
        <v>2689</v>
      </c>
      <c r="G32" s="2280" t="s">
        <v>2679</v>
      </c>
      <c r="H32" s="2280" t="s">
        <v>2680</v>
      </c>
      <c r="I32" s="2280"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19"/>
      <c r="B33" s="2281" t="s">
        <v>2690</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24" t="s">
        <v>2987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20"/>
      <c r="B34" s="2198" t="s">
        <v>2691</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20"/>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20"/>
      <c r="B35" s="2198" t="s">
        <v>2692</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20"/>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21"/>
      <c r="B36" s="2198" t="s">
        <v>2693</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21"/>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2694</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2695</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2696</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4" t="s">
        <v>2697</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2698</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2642</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2803</v>
      </c>
      <c r="C41" s="348" t="e">
        <f>ROUND(POWER(1+E41,H41-G41)*(POWER(1+E41,G41)-1)/(POWER(1+E41,H41)-1),4)</f>
        <v>#DIV/0!</v>
      </c>
      <c r="D41" s="176" t="s">
        <v>2649</v>
      </c>
      <c r="E41" s="2338">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2699</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2700</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2701</v>
      </c>
      <c r="B47" s="1504" t="s">
        <v>2702</v>
      </c>
      <c r="C47" s="1504" t="s">
        <v>2703</v>
      </c>
      <c r="D47" s="1504" t="s">
        <v>2704</v>
      </c>
      <c r="E47" s="758" t="s">
        <v>2705</v>
      </c>
      <c r="F47" s="2299" t="s">
        <v>2706</v>
      </c>
      <c r="G47" s="1504" t="s">
        <v>754</v>
      </c>
      <c r="H47" s="2300" t="s">
        <v>2707</v>
      </c>
      <c r="I47" s="1504"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24.75">
      <c r="A48" s="2298" t="s">
        <v>2709</v>
      </c>
      <c r="B48" s="2301">
        <f>估价对象房地状况!C4</f>
        <v>0</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8" t="s">
        <v>2710</v>
      </c>
      <c r="B49" s="2302">
        <f>估价对象房地状况!C18</f>
        <v>0</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2711</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2712</v>
      </c>
      <c r="B51" s="2303" t="s">
        <v>2713</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2714</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2715</v>
      </c>
      <c r="B53" s="2304" t="s">
        <v>2716</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5" t="s">
        <v>2717</v>
      </c>
      <c r="B54" s="1465">
        <f>估价对象房地状况!C21</f>
        <v>0</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5" t="s">
        <v>2718</v>
      </c>
      <c r="B55" s="2302">
        <f>估价对象房地状况!C22</f>
        <v>0</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6" t="s">
        <v>2719</v>
      </c>
      <c r="B56" s="2307">
        <f>估价对象房地状况!C20</f>
        <v>0</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2720</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2701</v>
      </c>
      <c r="B58" s="1504"/>
      <c r="C58" s="1504" t="s">
        <v>2703</v>
      </c>
      <c r="D58" s="1504" t="s">
        <v>2704</v>
      </c>
      <c r="E58" s="758" t="s">
        <v>2705</v>
      </c>
      <c r="F58" s="2299" t="s">
        <v>2721</v>
      </c>
      <c r="G58" s="1504" t="s">
        <v>754</v>
      </c>
      <c r="H58" s="2300" t="s">
        <v>2707</v>
      </c>
      <c r="I58" s="1504"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24">
      <c r="A59" s="2298" t="s">
        <v>2722</v>
      </c>
      <c r="B59" s="2301">
        <f>估价对象房地状况!C17</f>
        <v>0</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8" t="s">
        <v>2710</v>
      </c>
      <c r="B60" s="2302">
        <f>估价对象房地状况!C18</f>
        <v>0</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2711</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2712</v>
      </c>
      <c r="B62" s="2303" t="s">
        <v>2713</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2714</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2715</v>
      </c>
      <c r="B64" s="2304" t="s">
        <v>2716</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8" t="s">
        <v>2717</v>
      </c>
      <c r="B65" s="1465">
        <f>估价对象房地状况!C21</f>
        <v>0</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8" t="s">
        <v>2718</v>
      </c>
      <c r="B66" s="1465">
        <f>估价对象房地状况!C22</f>
        <v>0</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6" t="s">
        <v>2719</v>
      </c>
      <c r="B67" s="2308">
        <f>估价对象房地状况!C20</f>
        <v>0</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2723</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2701</v>
      </c>
      <c r="B69" s="1504"/>
      <c r="C69" s="1504" t="s">
        <v>2703</v>
      </c>
      <c r="D69" s="1504" t="s">
        <v>2704</v>
      </c>
      <c r="E69" s="758" t="s">
        <v>2705</v>
      </c>
      <c r="F69" s="2299" t="s">
        <v>2721</v>
      </c>
      <c r="G69" s="1504" t="s">
        <v>754</v>
      </c>
      <c r="H69" s="2300" t="s">
        <v>2707</v>
      </c>
      <c r="I69" s="1504"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24">
      <c r="A70" s="2298" t="s">
        <v>2724</v>
      </c>
      <c r="B70" s="2301">
        <f>估价对象房地状况!C15</f>
        <v>0</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8" t="s">
        <v>2710</v>
      </c>
      <c r="B71" s="2302">
        <f>估价对象房地状况!C18</f>
        <v>0</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2711</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2725</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8" t="s">
        <v>2717</v>
      </c>
      <c r="B74" s="1465">
        <f>估价对象房地状况!C21</f>
        <v>0</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8" t="s">
        <v>2718</v>
      </c>
      <c r="B75" s="1465">
        <f>估价对象房地状况!C22</f>
        <v>0</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2715</v>
      </c>
      <c r="B76" s="2304" t="s">
        <v>2716</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24">
      <c r="A77" s="2298" t="s">
        <v>2719</v>
      </c>
      <c r="B77" s="2301">
        <f>估价对象房地状况!C20</f>
        <v>0</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2726</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2727</v>
      </c>
      <c r="B79" s="2295">
        <f>1+E81</f>
        <v>1</v>
      </c>
      <c r="C79" s="753"/>
      <c r="D79" s="753"/>
      <c r="E79" s="754"/>
      <c r="F79" s="2297"/>
      <c r="G79" s="6"/>
      <c r="H79" s="6"/>
      <c r="I79" s="6"/>
      <c r="J79" s="7"/>
      <c r="K79" s="7"/>
      <c r="L79" s="7"/>
      <c r="M79" s="7"/>
      <c r="N79" s="7"/>
      <c r="Z79" s="2153"/>
      <c r="AA79" s="2219"/>
      <c r="AG79" s="1254"/>
      <c r="AK79" s="2219"/>
    </row>
    <row r="80" spans="1:37" ht="24.75">
      <c r="A80" s="2298" t="s">
        <v>2701</v>
      </c>
      <c r="B80" s="1504"/>
      <c r="C80" s="1504" t="s">
        <v>2703</v>
      </c>
      <c r="D80" s="1504" t="s">
        <v>2704</v>
      </c>
      <c r="E80" s="758" t="s">
        <v>2705</v>
      </c>
      <c r="F80" s="2299" t="s">
        <v>2721</v>
      </c>
      <c r="G80" s="1504" t="s">
        <v>754</v>
      </c>
      <c r="H80" s="2300" t="s">
        <v>2707</v>
      </c>
      <c r="I80" s="1504" t="s">
        <v>2708</v>
      </c>
      <c r="J80" s="560" t="s">
        <v>2358</v>
      </c>
      <c r="K80" s="560" t="s">
        <v>2359</v>
      </c>
      <c r="L80" s="560" t="s">
        <v>2360</v>
      </c>
      <c r="M80" s="560" t="s">
        <v>2361</v>
      </c>
      <c r="N80" s="560" t="s">
        <v>2362</v>
      </c>
      <c r="Z80" s="2153"/>
      <c r="AA80" s="2219"/>
      <c r="AG80" s="1254"/>
      <c r="AK80" s="2219"/>
    </row>
    <row r="81" spans="1:37" ht="24">
      <c r="A81" s="2298" t="s">
        <v>2728</v>
      </c>
      <c r="B81" s="2302">
        <f>估价对象房地状况!G15</f>
        <v>0</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14.25">
      <c r="A82" s="2298" t="s">
        <v>2710</v>
      </c>
      <c r="B82" s="2302">
        <f>估价对象房地状况!G16</f>
        <v>0</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2711</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2725</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4">
      <c r="A85" s="2298" t="s">
        <v>2717</v>
      </c>
      <c r="B85" s="1465">
        <f>估价对象房地状况!G19</f>
        <v>0</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4">
      <c r="A86" s="2298" t="s">
        <v>2718</v>
      </c>
      <c r="B86" s="1465">
        <f>估价对象房地状况!G20</f>
        <v>0</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2715</v>
      </c>
      <c r="B87" s="2304" t="s">
        <v>2729</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15" thickBot="1">
      <c r="A88" s="2306" t="s">
        <v>2730</v>
      </c>
      <c r="B88" s="2311">
        <f>估价对象房地状况!G18</f>
        <v>0</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11" t="s">
        <v>2731</v>
      </c>
      <c r="B90" s="3511"/>
      <c r="C90" s="3511"/>
      <c r="D90" s="3511"/>
      <c r="E90" s="3511"/>
      <c r="F90" s="3511"/>
      <c r="G90" s="3511"/>
      <c r="H90" s="3511"/>
      <c r="I90" s="3511"/>
      <c r="J90" s="3511"/>
      <c r="K90" s="2312"/>
      <c r="L90" s="2312"/>
      <c r="M90" s="2312"/>
      <c r="N90" s="2312"/>
    </row>
    <row r="91" spans="1:37">
      <c r="A91" s="3513" t="s">
        <v>2732</v>
      </c>
      <c r="B91" s="3513" t="s">
        <v>2733</v>
      </c>
      <c r="C91" s="2266" t="s">
        <v>2734</v>
      </c>
      <c r="D91" s="2267"/>
      <c r="E91" s="2267"/>
      <c r="F91" s="2267"/>
      <c r="G91" s="2267"/>
      <c r="H91" s="2267"/>
      <c r="I91" s="2267"/>
      <c r="J91" s="2313"/>
      <c r="K91" s="2314"/>
      <c r="L91" s="2314"/>
      <c r="M91" s="2314"/>
      <c r="N91" s="2314"/>
    </row>
    <row r="92" spans="1:37">
      <c r="A92" s="3513"/>
      <c r="B92" s="3513"/>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14" t="s">
        <v>2735</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15"/>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15"/>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15"/>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15"/>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15"/>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15"/>
      <c r="B99" s="2315" t="s">
        <v>2617</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16"/>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14" t="s">
        <v>2736</v>
      </c>
      <c r="B101" s="2319" t="s">
        <v>2737</v>
      </c>
      <c r="C101" s="2320">
        <f>$G$3</f>
        <v>2.5</v>
      </c>
      <c r="D101" s="2320">
        <f t="shared" ref="D101:N101" si="31">$G$3</f>
        <v>2.5</v>
      </c>
      <c r="E101" s="2320">
        <f t="shared" si="31"/>
        <v>2.5</v>
      </c>
      <c r="F101" s="2320">
        <f t="shared" si="31"/>
        <v>2.5</v>
      </c>
      <c r="G101" s="2320">
        <f t="shared" si="31"/>
        <v>2.5</v>
      </c>
      <c r="H101" s="2320">
        <f t="shared" si="31"/>
        <v>2.5</v>
      </c>
      <c r="I101" s="2320">
        <f t="shared" si="31"/>
        <v>2.5</v>
      </c>
      <c r="J101" s="2320">
        <f t="shared" si="31"/>
        <v>2.5</v>
      </c>
      <c r="K101" s="2320">
        <f t="shared" si="31"/>
        <v>2.5</v>
      </c>
      <c r="L101" s="2320">
        <f t="shared" si="31"/>
        <v>2.5</v>
      </c>
      <c r="M101" s="2320">
        <f t="shared" si="31"/>
        <v>2.5</v>
      </c>
      <c r="N101" s="2320">
        <f t="shared" si="31"/>
        <v>2.5</v>
      </c>
    </row>
    <row r="102" spans="1:14">
      <c r="A102" s="3515"/>
      <c r="B102" s="2315">
        <v>1</v>
      </c>
      <c r="C102" s="2316">
        <f>1.9362/C101</f>
        <v>0.77447999999999995</v>
      </c>
      <c r="D102" s="2316">
        <f>1.9362/D101</f>
        <v>0.77447999999999995</v>
      </c>
      <c r="E102" s="2316">
        <f>1.8629/E101</f>
        <v>0.74516000000000004</v>
      </c>
      <c r="F102" s="2316">
        <f>1.8629/F101</f>
        <v>0.74516000000000004</v>
      </c>
      <c r="G102" s="2316">
        <f>1.8629/G101</f>
        <v>0.74516000000000004</v>
      </c>
      <c r="H102" s="2316">
        <f>1.8629/H101</f>
        <v>0.74516000000000004</v>
      </c>
      <c r="I102" s="2316">
        <f>1.8629/I101</f>
        <v>0.74516000000000004</v>
      </c>
      <c r="J102" s="2316">
        <f>1.942/J101</f>
        <v>0.77679999999999993</v>
      </c>
      <c r="K102" s="2316">
        <f>1.942/K101</f>
        <v>0.77679999999999993</v>
      </c>
      <c r="L102" s="2316">
        <f>1.942/L101</f>
        <v>0.77679999999999993</v>
      </c>
      <c r="M102" s="2316">
        <f>1.942/M101</f>
        <v>0.77679999999999993</v>
      </c>
      <c r="N102" s="2316">
        <f>1.942/N101</f>
        <v>0.77679999999999993</v>
      </c>
    </row>
    <row r="103" spans="1:14">
      <c r="A103" s="3515"/>
      <c r="B103" s="2315">
        <v>2</v>
      </c>
      <c r="C103" s="2316">
        <f>1.4198/C101</f>
        <v>0.56791999999999998</v>
      </c>
      <c r="D103" s="2316">
        <f>1.4198/D101</f>
        <v>0.56791999999999998</v>
      </c>
      <c r="E103" s="2316">
        <f>1.3372/E101</f>
        <v>0.53488000000000002</v>
      </c>
      <c r="F103" s="2316">
        <f>1.3372/F101</f>
        <v>0.53488000000000002</v>
      </c>
      <c r="G103" s="2316">
        <f>1.3372/G101</f>
        <v>0.53488000000000002</v>
      </c>
      <c r="H103" s="2316">
        <f>1.3372/H101</f>
        <v>0.53488000000000002</v>
      </c>
      <c r="I103" s="2316">
        <f>1.3372/I101</f>
        <v>0.53488000000000002</v>
      </c>
      <c r="J103" s="2316">
        <f>1.2799/J101</f>
        <v>0.51195999999999997</v>
      </c>
      <c r="K103" s="2316">
        <f>1.2799/K101</f>
        <v>0.51195999999999997</v>
      </c>
      <c r="L103" s="2316">
        <f>1.2799/L101</f>
        <v>0.51195999999999997</v>
      </c>
      <c r="M103" s="2316">
        <f>1.2799/M101</f>
        <v>0.51195999999999997</v>
      </c>
      <c r="N103" s="2316">
        <f>1.2799/N101</f>
        <v>0.51195999999999997</v>
      </c>
    </row>
    <row r="104" spans="1:14">
      <c r="A104" s="3515"/>
      <c r="B104" s="2315">
        <v>3</v>
      </c>
      <c r="C104" s="2316">
        <f>1.1594/C101</f>
        <v>0.46376000000000001</v>
      </c>
      <c r="D104" s="2316">
        <f>1.1594/D101</f>
        <v>0.46376000000000001</v>
      </c>
      <c r="E104" s="2316">
        <f>1.0788/E101</f>
        <v>0.43152000000000001</v>
      </c>
      <c r="F104" s="2316">
        <f>1.0788/F101</f>
        <v>0.43152000000000001</v>
      </c>
      <c r="G104" s="2316">
        <f>1.0788/G101</f>
        <v>0.43152000000000001</v>
      </c>
      <c r="H104" s="2316">
        <f>1.0788/H101</f>
        <v>0.43152000000000001</v>
      </c>
      <c r="I104" s="2316">
        <f>1.0788/I101</f>
        <v>0.43152000000000001</v>
      </c>
      <c r="J104" s="2316">
        <f>1.0072/J101</f>
        <v>0.40288000000000002</v>
      </c>
      <c r="K104" s="2316">
        <f>1.0072/K101</f>
        <v>0.40288000000000002</v>
      </c>
      <c r="L104" s="2316">
        <f>1.0072/L101</f>
        <v>0.40288000000000002</v>
      </c>
      <c r="M104" s="2316">
        <f>1.0072/M101</f>
        <v>0.40288000000000002</v>
      </c>
      <c r="N104" s="2316">
        <f>1.0072/N101</f>
        <v>0.40288000000000002</v>
      </c>
    </row>
    <row r="105" spans="1:14">
      <c r="A105" s="3515"/>
      <c r="B105" s="2315">
        <v>4</v>
      </c>
      <c r="C105" s="2316">
        <f>0.9622/C101</f>
        <v>0.38488</v>
      </c>
      <c r="D105" s="2316">
        <f>0.9622/D101</f>
        <v>0.38488</v>
      </c>
      <c r="E105" s="2316">
        <f>0.8656/E101</f>
        <v>0.34623999999999999</v>
      </c>
      <c r="F105" s="2316">
        <f>0.8656/F101</f>
        <v>0.34623999999999999</v>
      </c>
      <c r="G105" s="2316">
        <f>0.8656/G101</f>
        <v>0.34623999999999999</v>
      </c>
      <c r="H105" s="2316">
        <f>0.8656/H101</f>
        <v>0.34623999999999999</v>
      </c>
      <c r="I105" s="2316">
        <f>0.8656/I101</f>
        <v>0.34623999999999999</v>
      </c>
      <c r="J105" s="2316">
        <f>0.7525/J101</f>
        <v>0.30099999999999999</v>
      </c>
      <c r="K105" s="2316">
        <f>0.7525/K101</f>
        <v>0.30099999999999999</v>
      </c>
      <c r="L105" s="2316">
        <f>0.7525/L101</f>
        <v>0.30099999999999999</v>
      </c>
      <c r="M105" s="2316">
        <f>0.7525/M101</f>
        <v>0.30099999999999999</v>
      </c>
      <c r="N105" s="2316">
        <f>0.7525/N101</f>
        <v>0.30099999999999999</v>
      </c>
    </row>
    <row r="106" spans="1:14">
      <c r="A106" s="3515"/>
      <c r="B106" s="2315">
        <v>5</v>
      </c>
      <c r="C106" s="2316">
        <f>0.8417/C101</f>
        <v>0.33667999999999998</v>
      </c>
      <c r="D106" s="2316">
        <f>0.8417/D101</f>
        <v>0.33667999999999998</v>
      </c>
      <c r="E106" s="2316">
        <f>0.7371/E101</f>
        <v>0.29483999999999999</v>
      </c>
      <c r="F106" s="2316">
        <f>0.7371/F101</f>
        <v>0.29483999999999999</v>
      </c>
      <c r="G106" s="2316">
        <f>0.7371/G101</f>
        <v>0.29483999999999999</v>
      </c>
      <c r="H106" s="2316">
        <f>0.7371/H101</f>
        <v>0.29483999999999999</v>
      </c>
      <c r="I106" s="2316">
        <f>0.7371/I101</f>
        <v>0.29483999999999999</v>
      </c>
      <c r="J106" s="2316">
        <f>0.5659/J101</f>
        <v>0.22635999999999998</v>
      </c>
      <c r="K106" s="2316">
        <f>0.5659/K101</f>
        <v>0.22635999999999998</v>
      </c>
      <c r="L106" s="2316">
        <f>0.5659/L101</f>
        <v>0.22635999999999998</v>
      </c>
      <c r="M106" s="2316">
        <f>0.5659/M101</f>
        <v>0.22635999999999998</v>
      </c>
      <c r="N106" s="2316">
        <f>0.5659/N101</f>
        <v>0.22635999999999998</v>
      </c>
    </row>
    <row r="107" spans="1:14">
      <c r="A107" s="3515"/>
      <c r="B107" s="2315">
        <v>6</v>
      </c>
      <c r="C107" s="2316">
        <f>0.7608/C101</f>
        <v>0.30432000000000003</v>
      </c>
      <c r="D107" s="2316">
        <f>0.7608/D101</f>
        <v>0.30432000000000003</v>
      </c>
      <c r="E107" s="2316">
        <f>0.6482/E101</f>
        <v>0.25928000000000001</v>
      </c>
      <c r="F107" s="2316">
        <f>0.6482/F101</f>
        <v>0.25928000000000001</v>
      </c>
      <c r="G107" s="2316">
        <f>0.6482/G101</f>
        <v>0.25928000000000001</v>
      </c>
      <c r="H107" s="2316">
        <f>0.6482/H101</f>
        <v>0.25928000000000001</v>
      </c>
      <c r="I107" s="2316">
        <f>0.6482/I101</f>
        <v>0.25928000000000001</v>
      </c>
      <c r="J107" s="2316">
        <f>0.4525/J101</f>
        <v>0.18099999999999999</v>
      </c>
      <c r="K107" s="2316">
        <f>0.4525/K101</f>
        <v>0.18099999999999999</v>
      </c>
      <c r="L107" s="2316">
        <f>0.4525/L101</f>
        <v>0.18099999999999999</v>
      </c>
      <c r="M107" s="2316">
        <f>0.4525/M101</f>
        <v>0.18099999999999999</v>
      </c>
      <c r="N107" s="2316">
        <f>0.4525/N101</f>
        <v>0.18099999999999999</v>
      </c>
    </row>
    <row r="108" spans="1:14">
      <c r="A108" s="3515"/>
      <c r="B108" s="3517" t="s">
        <v>2738</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16"/>
      <c r="B109" s="3518"/>
      <c r="C109" s="2318">
        <f>(-0.163*(C108^2)-0.59*C108+7617)*(10^(-4))/C101</f>
        <v>0.30468000000000001</v>
      </c>
      <c r="D109" s="2318">
        <f>(-0.163*(D108^2)-0.59*D108+7617)*(10^(-4))/D101</f>
        <v>0.30468000000000001</v>
      </c>
      <c r="E109" s="2318">
        <f>(-0.161*(E108^2)-7.509*E108+6533)*(10^(-4))/E101</f>
        <v>0.26132</v>
      </c>
      <c r="F109" s="2318">
        <f>(-0.161*(F108^2)-7.509*F108+6533)*(10^(-4))/F101</f>
        <v>0.26132</v>
      </c>
      <c r="G109" s="2318">
        <f>(-0.161*(G108^2)-7.509*G108+6533)*(10^(-4))/G101</f>
        <v>0.26132</v>
      </c>
      <c r="H109" s="2318">
        <f>(-0.161*(H108^2)-7.509*H108+6533)*(10^(-4))/H101</f>
        <v>0.26132</v>
      </c>
      <c r="I109" s="2318">
        <f>(-0.161*(I108^2)-7.509*I108+6533)*(10^(-4))/I101</f>
        <v>0.26132</v>
      </c>
      <c r="J109" s="2318">
        <f>(-0.214*(J108^2)-21.991*J108+4665)*(10^(-4))/J101</f>
        <v>0.18660000000000002</v>
      </c>
      <c r="K109" s="2318">
        <f>(-0.214*(K108^2)-21.991*K108+4665)*(10^(-4))/K101</f>
        <v>0.18660000000000002</v>
      </c>
      <c r="L109" s="2318">
        <f>(-0.214*(L108^2)-21.991*L108+4665)*(10^(-4))/L101</f>
        <v>0.18660000000000002</v>
      </c>
      <c r="M109" s="2318">
        <f>(-0.214*(M108^2)-21.991*M108+4665)*(10^(-4))/M101</f>
        <v>0.18660000000000002</v>
      </c>
      <c r="N109" s="2318">
        <f>(-0.214*(N108^2)-21.991*N108+4665)*(10^(-4))/N101</f>
        <v>0.18660000000000002</v>
      </c>
    </row>
    <row r="110" spans="1:14">
      <c r="A110" s="3512" t="s">
        <v>2739</v>
      </c>
      <c r="B110" s="3512"/>
      <c r="C110" s="3512"/>
      <c r="D110" s="3512"/>
      <c r="E110" s="3512"/>
      <c r="F110" s="3512"/>
      <c r="G110" s="3512"/>
      <c r="H110" s="3512"/>
      <c r="I110" s="3512"/>
      <c r="J110" s="3512"/>
      <c r="K110" s="2321"/>
      <c r="L110" s="2321"/>
      <c r="M110" s="2321"/>
      <c r="N110" s="2321"/>
    </row>
    <row r="112" spans="1:14" ht="13.5" thickBot="1"/>
    <row r="113" spans="1:13" ht="25.5" thickBot="1">
      <c r="A113" s="842" t="s">
        <v>2740</v>
      </c>
      <c r="B113" s="1197">
        <f>G3</f>
        <v>2.5</v>
      </c>
      <c r="C113" s="843" t="s">
        <v>2741</v>
      </c>
      <c r="D113" s="844">
        <f>SUMPRODUCT((A115:A118=F113)*(B114:M114=H113)*B115:M118)</f>
        <v>0</v>
      </c>
      <c r="E113" s="2157" t="s">
        <v>2574</v>
      </c>
      <c r="F113" s="2323">
        <f>E2</f>
        <v>0</v>
      </c>
      <c r="G113" s="2157" t="s">
        <v>2575</v>
      </c>
      <c r="H113" s="2323">
        <f>G2</f>
        <v>0</v>
      </c>
      <c r="I113" s="2157"/>
      <c r="J113" s="2324"/>
      <c r="K113" s="2324"/>
      <c r="L113" s="2324"/>
      <c r="M113" s="2324"/>
    </row>
    <row r="114" spans="1:13">
      <c r="A114" s="847"/>
      <c r="B114" s="2325" t="s">
        <v>2742</v>
      </c>
      <c r="C114" s="2325" t="s">
        <v>2743</v>
      </c>
      <c r="D114" s="2325" t="s">
        <v>2744</v>
      </c>
      <c r="E114" s="2326" t="s">
        <v>2745</v>
      </c>
      <c r="F114" s="2326" t="s">
        <v>2746</v>
      </c>
      <c r="G114" s="2326" t="s">
        <v>2747</v>
      </c>
      <c r="H114" s="2327" t="s">
        <v>2748</v>
      </c>
      <c r="I114" s="2327" t="s">
        <v>2749</v>
      </c>
      <c r="J114" s="2328" t="s">
        <v>2750</v>
      </c>
      <c r="K114" s="2328" t="s">
        <v>2751</v>
      </c>
      <c r="L114" s="2328" t="s">
        <v>2752</v>
      </c>
      <c r="M114" s="2329" t="s">
        <v>2753</v>
      </c>
    </row>
    <row r="115" spans="1:13">
      <c r="A115" s="848" t="s">
        <v>2639</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2640</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2641</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2642</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5" t="s">
        <v>183</v>
      </c>
      <c r="B18" s="821" t="s">
        <v>560</v>
      </c>
      <c r="C18" s="822" t="s">
        <v>561</v>
      </c>
      <c r="D18" s="823"/>
      <c r="E18" s="821">
        <v>1</v>
      </c>
      <c r="F18" s="824" t="s">
        <v>562</v>
      </c>
      <c r="G18" s="825"/>
      <c r="H18" s="817"/>
      <c r="I18" s="817"/>
    </row>
    <row r="19" spans="1:9" s="826" customFormat="1" ht="19.5" customHeight="1">
      <c r="A19" s="3525"/>
      <c r="B19" s="3525" t="s">
        <v>563</v>
      </c>
      <c r="C19" s="822" t="s">
        <v>564</v>
      </c>
      <c r="D19" s="823"/>
      <c r="E19" s="821">
        <v>0.9</v>
      </c>
      <c r="F19" s="824" t="s">
        <v>565</v>
      </c>
      <c r="G19" s="825"/>
      <c r="H19" s="817"/>
      <c r="I19" s="817"/>
    </row>
    <row r="20" spans="1:9" s="826" customFormat="1" ht="19.5" customHeight="1">
      <c r="A20" s="3525"/>
      <c r="B20" s="3525"/>
      <c r="C20" s="822" t="s">
        <v>566</v>
      </c>
      <c r="D20" s="823"/>
      <c r="E20" s="821">
        <v>1.1000000000000001</v>
      </c>
      <c r="F20" s="824" t="s">
        <v>567</v>
      </c>
      <c r="G20" s="825"/>
      <c r="H20" s="817"/>
      <c r="I20" s="817"/>
    </row>
    <row r="21" spans="1:9" s="826" customFormat="1" ht="19.5" customHeight="1">
      <c r="A21" s="3525"/>
      <c r="B21" s="3525"/>
      <c r="C21" s="822" t="s">
        <v>568</v>
      </c>
      <c r="D21" s="823"/>
      <c r="E21" s="821">
        <v>0.8</v>
      </c>
      <c r="F21" s="824" t="s">
        <v>569</v>
      </c>
      <c r="G21" s="825"/>
      <c r="H21" s="817"/>
      <c r="I21" s="817"/>
    </row>
    <row r="22" spans="1:9" s="826" customFormat="1" ht="19.5" customHeight="1">
      <c r="A22" s="3525"/>
      <c r="B22" s="3525"/>
      <c r="C22" s="822" t="s">
        <v>570</v>
      </c>
      <c r="D22" s="823"/>
      <c r="E22" s="821">
        <v>0.5</v>
      </c>
      <c r="F22" s="824"/>
      <c r="G22" s="825"/>
      <c r="H22" s="817"/>
      <c r="I22" s="817"/>
    </row>
    <row r="23" spans="1:9" s="826" customFormat="1" ht="19.5" customHeight="1">
      <c r="A23" s="3525" t="s">
        <v>184</v>
      </c>
      <c r="B23" s="821" t="s">
        <v>560</v>
      </c>
      <c r="C23" s="822" t="s">
        <v>571</v>
      </c>
      <c r="D23" s="823"/>
      <c r="E23" s="821">
        <v>1</v>
      </c>
      <c r="F23" s="824" t="s">
        <v>572</v>
      </c>
      <c r="G23" s="825"/>
      <c r="H23" s="817"/>
      <c r="I23" s="817"/>
    </row>
    <row r="24" spans="1:9" s="826" customFormat="1" ht="19.5" customHeight="1">
      <c r="A24" s="3525"/>
      <c r="B24" s="3525" t="s">
        <v>563</v>
      </c>
      <c r="C24" s="822" t="s">
        <v>573</v>
      </c>
      <c r="D24" s="823"/>
      <c r="E24" s="821">
        <v>0.5</v>
      </c>
      <c r="F24" s="824"/>
      <c r="G24" s="825"/>
      <c r="H24" s="817"/>
      <c r="I24" s="817"/>
    </row>
    <row r="25" spans="1:9" s="826" customFormat="1" ht="19.5" customHeight="1">
      <c r="A25" s="3525"/>
      <c r="B25" s="3525"/>
      <c r="C25" s="822" t="s">
        <v>574</v>
      </c>
      <c r="D25" s="823"/>
      <c r="E25" s="821">
        <v>1.1000000000000001</v>
      </c>
      <c r="F25" s="824"/>
      <c r="G25" s="825"/>
      <c r="H25" s="817"/>
      <c r="I25" s="817"/>
    </row>
    <row r="26" spans="1:9" s="826" customFormat="1" ht="19.5" customHeight="1">
      <c r="A26" s="3525"/>
      <c r="B26" s="3525"/>
      <c r="C26" s="822" t="s">
        <v>575</v>
      </c>
      <c r="D26" s="823"/>
      <c r="E26" s="821">
        <v>1.1000000000000001</v>
      </c>
      <c r="F26" s="824"/>
      <c r="G26" s="825"/>
      <c r="H26" s="817"/>
      <c r="I26" s="817"/>
    </row>
    <row r="27" spans="1:9" s="826" customFormat="1" ht="19.5" customHeight="1">
      <c r="A27" s="3525"/>
      <c r="B27" s="3525"/>
      <c r="C27" s="822" t="s">
        <v>576</v>
      </c>
      <c r="D27" s="823"/>
      <c r="E27" s="821">
        <v>0.9</v>
      </c>
      <c r="F27" s="824" t="s">
        <v>577</v>
      </c>
      <c r="G27" s="825"/>
      <c r="H27" s="817"/>
      <c r="I27" s="817"/>
    </row>
    <row r="28" spans="1:9" s="826" customFormat="1" ht="19.5" customHeight="1">
      <c r="A28" s="3525"/>
      <c r="B28" s="3525"/>
      <c r="C28" s="822" t="s">
        <v>578</v>
      </c>
      <c r="D28" s="823"/>
      <c r="E28" s="821">
        <v>0.9</v>
      </c>
      <c r="F28" s="824" t="s">
        <v>579</v>
      </c>
      <c r="G28" s="825"/>
      <c r="H28" s="817"/>
      <c r="I28" s="817"/>
    </row>
    <row r="29" spans="1:9" s="826" customFormat="1" ht="19.5" customHeight="1">
      <c r="A29" s="3525"/>
      <c r="B29" s="3525"/>
      <c r="C29" s="822" t="s">
        <v>580</v>
      </c>
      <c r="D29" s="823"/>
      <c r="E29" s="821">
        <v>0.9</v>
      </c>
      <c r="F29" s="824" t="s">
        <v>581</v>
      </c>
      <c r="G29" s="825"/>
      <c r="H29" s="817"/>
      <c r="I29" s="817"/>
    </row>
    <row r="30" spans="1:9" s="826" customFormat="1" ht="19.5" customHeight="1">
      <c r="A30" s="3525"/>
      <c r="B30" s="3525"/>
      <c r="C30" s="822" t="s">
        <v>582</v>
      </c>
      <c r="D30" s="823"/>
      <c r="E30" s="821">
        <v>0.9</v>
      </c>
      <c r="F30" s="824" t="s">
        <v>583</v>
      </c>
      <c r="G30" s="825"/>
      <c r="H30" s="817"/>
      <c r="I30" s="817"/>
    </row>
    <row r="31" spans="1:9" s="826" customFormat="1" ht="19.5" customHeight="1">
      <c r="A31" s="3525"/>
      <c r="B31" s="3525"/>
      <c r="C31" s="822" t="s">
        <v>584</v>
      </c>
      <c r="D31" s="823"/>
      <c r="E31" s="821">
        <v>0.8</v>
      </c>
      <c r="F31" s="824" t="s">
        <v>585</v>
      </c>
      <c r="G31" s="825"/>
      <c r="H31" s="817"/>
      <c r="I31" s="817"/>
    </row>
    <row r="32" spans="1:9" s="826" customFormat="1" ht="19.5" customHeight="1">
      <c r="A32" s="3525"/>
      <c r="B32" s="3525"/>
      <c r="C32" s="822" t="s">
        <v>586</v>
      </c>
      <c r="D32" s="823"/>
      <c r="E32" s="821">
        <v>0.8</v>
      </c>
      <c r="F32" s="824" t="s">
        <v>587</v>
      </c>
      <c r="G32" s="825"/>
      <c r="H32" s="817"/>
      <c r="I32" s="817"/>
    </row>
    <row r="33" spans="1:9" s="826" customFormat="1" ht="19.5" customHeight="1">
      <c r="A33" s="3525" t="s">
        <v>185</v>
      </c>
      <c r="B33" s="821" t="s">
        <v>560</v>
      </c>
      <c r="C33" s="822" t="s">
        <v>588</v>
      </c>
      <c r="D33" s="823"/>
      <c r="E33" s="821">
        <v>1</v>
      </c>
      <c r="F33" s="824" t="s">
        <v>589</v>
      </c>
      <c r="G33" s="825"/>
      <c r="H33" s="817"/>
      <c r="I33" s="817"/>
    </row>
    <row r="34" spans="1:9" s="826" customFormat="1" ht="19.5" customHeight="1">
      <c r="A34" s="3525"/>
      <c r="B34" s="821" t="s">
        <v>563</v>
      </c>
      <c r="C34" s="822" t="s">
        <v>590</v>
      </c>
      <c r="D34" s="823"/>
      <c r="E34" s="821">
        <v>1.5</v>
      </c>
      <c r="F34" s="824" t="s">
        <v>591</v>
      </c>
      <c r="G34" s="825"/>
      <c r="H34" s="817"/>
      <c r="I34" s="817"/>
    </row>
    <row r="35" spans="1:9" s="826" customFormat="1" ht="19.5" customHeight="1">
      <c r="A35" s="3525" t="s">
        <v>186</v>
      </c>
      <c r="B35" s="821" t="s">
        <v>560</v>
      </c>
      <c r="C35" s="822" t="s">
        <v>592</v>
      </c>
      <c r="D35" s="823"/>
      <c r="E35" s="821">
        <v>1</v>
      </c>
      <c r="F35" s="824" t="s">
        <v>593</v>
      </c>
      <c r="G35" s="825"/>
      <c r="H35" s="817"/>
      <c r="I35" s="817"/>
    </row>
    <row r="36" spans="1:9" s="826" customFormat="1" ht="19.5" customHeight="1">
      <c r="A36" s="3525"/>
      <c r="B36" s="3525" t="s">
        <v>563</v>
      </c>
      <c r="C36" s="822" t="s">
        <v>594</v>
      </c>
      <c r="D36" s="823"/>
      <c r="E36" s="821">
        <v>1</v>
      </c>
      <c r="F36" s="824" t="s">
        <v>595</v>
      </c>
      <c r="G36" s="825"/>
      <c r="H36" s="817"/>
      <c r="I36" s="817"/>
    </row>
    <row r="37" spans="1:9" s="826" customFormat="1" ht="19.5" customHeight="1">
      <c r="A37" s="3525"/>
      <c r="B37" s="3525"/>
      <c r="C37" s="822" t="s">
        <v>596</v>
      </c>
      <c r="D37" s="823"/>
      <c r="E37" s="821">
        <v>1.5</v>
      </c>
      <c r="F37" s="824" t="s">
        <v>597</v>
      </c>
      <c r="G37" s="825"/>
      <c r="H37" s="817"/>
      <c r="I37" s="817"/>
    </row>
    <row r="38" spans="1:9" s="826" customFormat="1" ht="19.5" customHeight="1">
      <c r="A38" s="3525"/>
      <c r="B38" s="3525"/>
      <c r="C38" s="822" t="s">
        <v>598</v>
      </c>
      <c r="D38" s="823"/>
      <c r="E38" s="821">
        <v>1</v>
      </c>
      <c r="F38" s="824" t="s">
        <v>599</v>
      </c>
      <c r="G38" s="825"/>
      <c r="H38" s="817"/>
      <c r="I38" s="817"/>
    </row>
    <row r="39" spans="1:9" s="826" customFormat="1" ht="19.5" customHeight="1">
      <c r="A39" s="3525"/>
      <c r="B39" s="352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5" t="s">
        <v>614</v>
      </c>
      <c r="C61" s="757" t="s">
        <v>615</v>
      </c>
      <c r="D61" s="757" t="s">
        <v>616</v>
      </c>
      <c r="E61" s="834">
        <v>0.5</v>
      </c>
      <c r="F61" s="821">
        <v>80</v>
      </c>
    </row>
    <row r="62" spans="1:8" s="817" customFormat="1" ht="24">
      <c r="A62" s="821">
        <v>2</v>
      </c>
      <c r="B62" s="3525"/>
      <c r="C62" s="757" t="s">
        <v>617</v>
      </c>
      <c r="D62" s="757" t="s">
        <v>618</v>
      </c>
      <c r="E62" s="834">
        <v>0.5</v>
      </c>
      <c r="F62" s="821">
        <v>80</v>
      </c>
    </row>
    <row r="63" spans="1:8" s="817" customFormat="1" ht="36">
      <c r="A63" s="821">
        <v>3</v>
      </c>
      <c r="B63" s="3525"/>
      <c r="C63" s="757" t="s">
        <v>619</v>
      </c>
      <c r="D63" s="757" t="s">
        <v>620</v>
      </c>
      <c r="E63" s="834">
        <v>0.5</v>
      </c>
      <c r="F63" s="821">
        <v>80</v>
      </c>
    </row>
    <row r="64" spans="1:8" s="817" customFormat="1" ht="36">
      <c r="A64" s="821">
        <v>4</v>
      </c>
      <c r="B64" s="3525"/>
      <c r="C64" s="757" t="s">
        <v>621</v>
      </c>
      <c r="D64" s="757" t="s">
        <v>622</v>
      </c>
      <c r="E64" s="834">
        <v>0.4</v>
      </c>
      <c r="F64" s="821">
        <v>60</v>
      </c>
    </row>
    <row r="65" spans="1:6" s="817" customFormat="1" ht="36">
      <c r="A65" s="821">
        <v>5</v>
      </c>
      <c r="B65" s="3525"/>
      <c r="C65" s="757" t="s">
        <v>623</v>
      </c>
      <c r="D65" s="757" t="s">
        <v>624</v>
      </c>
      <c r="E65" s="834">
        <v>0.2</v>
      </c>
      <c r="F65" s="821">
        <v>30</v>
      </c>
    </row>
    <row r="66" spans="1:6" s="817" customFormat="1" ht="36">
      <c r="A66" s="821">
        <v>6</v>
      </c>
      <c r="B66" s="3525"/>
      <c r="C66" s="757" t="s">
        <v>625</v>
      </c>
      <c r="D66" s="757" t="s">
        <v>626</v>
      </c>
      <c r="E66" s="834">
        <v>0.3</v>
      </c>
      <c r="F66" s="821">
        <v>50</v>
      </c>
    </row>
    <row r="67" spans="1:6" s="817" customFormat="1" ht="36">
      <c r="A67" s="821">
        <v>7</v>
      </c>
      <c r="B67" s="3525"/>
      <c r="C67" s="757" t="s">
        <v>627</v>
      </c>
      <c r="D67" s="757" t="s">
        <v>628</v>
      </c>
      <c r="E67" s="834">
        <v>0.2</v>
      </c>
      <c r="F67" s="821">
        <v>30</v>
      </c>
    </row>
    <row r="68" spans="1:6" s="817" customFormat="1" ht="36">
      <c r="A68" s="821">
        <v>8</v>
      </c>
      <c r="B68" s="3525"/>
      <c r="C68" s="757" t="s">
        <v>629</v>
      </c>
      <c r="D68" s="757" t="s">
        <v>630</v>
      </c>
      <c r="E68" s="834">
        <v>0.2</v>
      </c>
      <c r="F68" s="821">
        <v>30</v>
      </c>
    </row>
    <row r="69" spans="1:6" s="817" customFormat="1" ht="36">
      <c r="A69" s="821">
        <v>9</v>
      </c>
      <c r="B69" s="3525"/>
      <c r="C69" s="757" t="s">
        <v>631</v>
      </c>
      <c r="D69" s="757" t="s">
        <v>632</v>
      </c>
      <c r="E69" s="834">
        <v>0.2</v>
      </c>
      <c r="F69" s="821">
        <v>30</v>
      </c>
    </row>
    <row r="70" spans="1:6" s="817" customFormat="1" ht="48">
      <c r="A70" s="821">
        <v>10</v>
      </c>
      <c r="B70" s="3525"/>
      <c r="C70" s="757" t="s">
        <v>633</v>
      </c>
      <c r="D70" s="757" t="s">
        <v>634</v>
      </c>
      <c r="E70" s="834">
        <v>0.2</v>
      </c>
      <c r="F70" s="821">
        <v>30</v>
      </c>
    </row>
    <row r="71" spans="1:6" s="817" customFormat="1" ht="48">
      <c r="A71" s="821">
        <v>11</v>
      </c>
      <c r="B71" s="3525"/>
      <c r="C71" s="757" t="s">
        <v>635</v>
      </c>
      <c r="D71" s="757" t="s">
        <v>636</v>
      </c>
      <c r="E71" s="834">
        <v>0.2</v>
      </c>
      <c r="F71" s="821">
        <v>30</v>
      </c>
    </row>
    <row r="72" spans="1:6" s="817" customFormat="1" ht="36">
      <c r="A72" s="821">
        <v>12</v>
      </c>
      <c r="B72" s="3525"/>
      <c r="C72" s="757" t="s">
        <v>637</v>
      </c>
      <c r="D72" s="757" t="s">
        <v>638</v>
      </c>
      <c r="E72" s="834">
        <v>0.5</v>
      </c>
      <c r="F72" s="821">
        <v>80</v>
      </c>
    </row>
    <row r="73" spans="1:6" s="817" customFormat="1" ht="24">
      <c r="A73" s="821">
        <v>13</v>
      </c>
      <c r="B73" s="3525"/>
      <c r="C73" s="757" t="s">
        <v>639</v>
      </c>
      <c r="D73" s="757" t="s">
        <v>640</v>
      </c>
      <c r="E73" s="834">
        <v>0.4</v>
      </c>
      <c r="F73" s="821">
        <v>60</v>
      </c>
    </row>
    <row r="74" spans="1:6" s="817" customFormat="1" ht="24">
      <c r="A74" s="821">
        <v>14</v>
      </c>
      <c r="B74" s="3525"/>
      <c r="C74" s="757" t="s">
        <v>641</v>
      </c>
      <c r="D74" s="757" t="s">
        <v>642</v>
      </c>
      <c r="E74" s="834">
        <v>0.2</v>
      </c>
      <c r="F74" s="821">
        <v>30</v>
      </c>
    </row>
    <row r="75" spans="1:6" s="817" customFormat="1" ht="24">
      <c r="A75" s="821">
        <v>15</v>
      </c>
      <c r="B75" s="3525"/>
      <c r="C75" s="757" t="s">
        <v>643</v>
      </c>
      <c r="D75" s="757" t="s">
        <v>644</v>
      </c>
      <c r="E75" s="834">
        <v>0.2</v>
      </c>
      <c r="F75" s="821">
        <v>30</v>
      </c>
    </row>
    <row r="76" spans="1:6" s="817" customFormat="1" ht="24">
      <c r="A76" s="821">
        <v>16</v>
      </c>
      <c r="B76" s="3525" t="s">
        <v>645</v>
      </c>
      <c r="C76" s="757" t="s">
        <v>646</v>
      </c>
      <c r="D76" s="757" t="s">
        <v>647</v>
      </c>
      <c r="E76" s="834">
        <v>0.5</v>
      </c>
      <c r="F76" s="821">
        <v>80</v>
      </c>
    </row>
    <row r="77" spans="1:6" s="817" customFormat="1" ht="24">
      <c r="A77" s="821">
        <v>17</v>
      </c>
      <c r="B77" s="3525"/>
      <c r="C77" s="757" t="s">
        <v>648</v>
      </c>
      <c r="D77" s="757" t="s">
        <v>649</v>
      </c>
      <c r="E77" s="834">
        <v>0.5</v>
      </c>
      <c r="F77" s="821">
        <v>80</v>
      </c>
    </row>
    <row r="78" spans="1:6" s="817" customFormat="1" ht="24">
      <c r="A78" s="821">
        <v>18</v>
      </c>
      <c r="B78" s="3525"/>
      <c r="C78" s="757" t="s">
        <v>650</v>
      </c>
      <c r="D78" s="757" t="s">
        <v>651</v>
      </c>
      <c r="E78" s="834">
        <v>0.2</v>
      </c>
      <c r="F78" s="821">
        <v>30</v>
      </c>
    </row>
    <row r="79" spans="1:6" s="817" customFormat="1" ht="24">
      <c r="A79" s="821">
        <v>19</v>
      </c>
      <c r="B79" s="3525"/>
      <c r="C79" s="757" t="s">
        <v>652</v>
      </c>
      <c r="D79" s="757" t="s">
        <v>653</v>
      </c>
      <c r="E79" s="834">
        <v>0.5</v>
      </c>
      <c r="F79" s="821">
        <v>80</v>
      </c>
    </row>
    <row r="80" spans="1:6" s="817" customFormat="1" ht="36">
      <c r="A80" s="821">
        <v>20</v>
      </c>
      <c r="B80" s="3525"/>
      <c r="C80" s="757" t="s">
        <v>654</v>
      </c>
      <c r="D80" s="757" t="s">
        <v>655</v>
      </c>
      <c r="E80" s="834">
        <v>0.2</v>
      </c>
      <c r="F80" s="821">
        <v>30</v>
      </c>
    </row>
    <row r="81" spans="1:6" s="817" customFormat="1" ht="36">
      <c r="A81" s="821">
        <v>21</v>
      </c>
      <c r="B81" s="3525"/>
      <c r="C81" s="757" t="s">
        <v>656</v>
      </c>
      <c r="D81" s="757" t="s">
        <v>657</v>
      </c>
      <c r="E81" s="834">
        <v>0.2</v>
      </c>
      <c r="F81" s="821">
        <v>30</v>
      </c>
    </row>
    <row r="82" spans="1:6" s="817" customFormat="1" ht="48">
      <c r="A82" s="821">
        <v>22</v>
      </c>
      <c r="B82" s="3525"/>
      <c r="C82" s="757" t="s">
        <v>658</v>
      </c>
      <c r="D82" s="757" t="s">
        <v>659</v>
      </c>
      <c r="E82" s="834">
        <v>0.2</v>
      </c>
      <c r="F82" s="821">
        <v>30</v>
      </c>
    </row>
    <row r="83" spans="1:6" s="817" customFormat="1" ht="48">
      <c r="A83" s="821">
        <v>23</v>
      </c>
      <c r="B83" s="3525"/>
      <c r="C83" s="757" t="s">
        <v>660</v>
      </c>
      <c r="D83" s="757" t="s">
        <v>661</v>
      </c>
      <c r="E83" s="834">
        <v>0.2</v>
      </c>
      <c r="F83" s="821">
        <v>30</v>
      </c>
    </row>
    <row r="84" spans="1:6" s="817" customFormat="1" ht="36">
      <c r="A84" s="821">
        <v>24</v>
      </c>
      <c r="B84" s="3525"/>
      <c r="C84" s="757" t="s">
        <v>662</v>
      </c>
      <c r="D84" s="757" t="s">
        <v>663</v>
      </c>
      <c r="E84" s="834">
        <v>0.2</v>
      </c>
      <c r="F84" s="821">
        <v>30</v>
      </c>
    </row>
    <row r="85" spans="1:6" s="817" customFormat="1" ht="36">
      <c r="A85" s="821">
        <v>25</v>
      </c>
      <c r="B85" s="3525"/>
      <c r="C85" s="757" t="s">
        <v>664</v>
      </c>
      <c r="D85" s="757" t="s">
        <v>665</v>
      </c>
      <c r="E85" s="834">
        <v>0.5</v>
      </c>
      <c r="F85" s="821">
        <v>80</v>
      </c>
    </row>
    <row r="86" spans="1:6" s="817" customFormat="1" ht="36">
      <c r="A86" s="821">
        <v>26</v>
      </c>
      <c r="B86" s="3525"/>
      <c r="C86" s="757" t="s">
        <v>666</v>
      </c>
      <c r="D86" s="757" t="s">
        <v>667</v>
      </c>
      <c r="E86" s="834">
        <v>0.2</v>
      </c>
      <c r="F86" s="821">
        <v>30</v>
      </c>
    </row>
    <row r="87" spans="1:6" s="817" customFormat="1" ht="36">
      <c r="A87" s="821">
        <v>27</v>
      </c>
      <c r="B87" s="3525"/>
      <c r="C87" s="757" t="s">
        <v>668</v>
      </c>
      <c r="D87" s="757" t="s">
        <v>669</v>
      </c>
      <c r="E87" s="834">
        <v>0.2</v>
      </c>
      <c r="F87" s="821">
        <v>30</v>
      </c>
    </row>
    <row r="88" spans="1:6" s="817" customFormat="1" ht="36">
      <c r="A88" s="821">
        <v>28</v>
      </c>
      <c r="B88" s="3525"/>
      <c r="C88" s="757" t="s">
        <v>670</v>
      </c>
      <c r="D88" s="757" t="s">
        <v>671</v>
      </c>
      <c r="E88" s="834">
        <v>0.2</v>
      </c>
      <c r="F88" s="821">
        <v>30</v>
      </c>
    </row>
    <row r="89" spans="1:6" s="817" customFormat="1" ht="24">
      <c r="A89" s="821">
        <v>29</v>
      </c>
      <c r="B89" s="3525"/>
      <c r="C89" s="757" t="s">
        <v>672</v>
      </c>
      <c r="D89" s="757" t="s">
        <v>673</v>
      </c>
      <c r="E89" s="834">
        <v>0.2</v>
      </c>
      <c r="F89" s="821">
        <v>30</v>
      </c>
    </row>
    <row r="90" spans="1:6" s="817" customFormat="1" ht="24">
      <c r="A90" s="821">
        <v>30</v>
      </c>
      <c r="B90" s="3525"/>
      <c r="C90" s="757" t="s">
        <v>674</v>
      </c>
      <c r="D90" s="757" t="s">
        <v>675</v>
      </c>
      <c r="E90" s="834">
        <v>0.2</v>
      </c>
      <c r="F90" s="821">
        <v>30</v>
      </c>
    </row>
    <row r="91" spans="1:6" s="817" customFormat="1" ht="36">
      <c r="A91" s="821">
        <v>31</v>
      </c>
      <c r="B91" s="3525"/>
      <c r="C91" s="757" t="s">
        <v>676</v>
      </c>
      <c r="D91" s="757" t="s">
        <v>677</v>
      </c>
      <c r="E91" s="834">
        <v>0.2</v>
      </c>
      <c r="F91" s="821">
        <v>30</v>
      </c>
    </row>
    <row r="92" spans="1:6" s="817" customFormat="1" ht="24">
      <c r="A92" s="821">
        <v>32</v>
      </c>
      <c r="B92" s="3525" t="s">
        <v>678</v>
      </c>
      <c r="C92" s="821" t="s">
        <v>679</v>
      </c>
      <c r="D92" s="757" t="s">
        <v>680</v>
      </c>
      <c r="E92" s="834">
        <v>0.2</v>
      </c>
      <c r="F92" s="821">
        <v>30</v>
      </c>
    </row>
    <row r="93" spans="1:6" s="817" customFormat="1" ht="36">
      <c r="A93" s="821">
        <v>33</v>
      </c>
      <c r="B93" s="3525"/>
      <c r="C93" s="821" t="s">
        <v>681</v>
      </c>
      <c r="D93" s="757" t="s">
        <v>682</v>
      </c>
      <c r="E93" s="834">
        <v>0.2</v>
      </c>
      <c r="F93" s="821">
        <v>30</v>
      </c>
    </row>
    <row r="94" spans="1:6" s="817" customFormat="1" ht="48">
      <c r="A94" s="821">
        <v>34</v>
      </c>
      <c r="B94" s="3525"/>
      <c r="C94" s="821" t="s">
        <v>683</v>
      </c>
      <c r="D94" s="757" t="s">
        <v>684</v>
      </c>
      <c r="E94" s="834">
        <v>0.2</v>
      </c>
      <c r="F94" s="821">
        <v>30</v>
      </c>
    </row>
    <row r="95" spans="1:6" s="817" customFormat="1" ht="36">
      <c r="A95" s="821">
        <v>35</v>
      </c>
      <c r="B95" s="3525"/>
      <c r="C95" s="821" t="s">
        <v>685</v>
      </c>
      <c r="D95" s="757" t="s">
        <v>686</v>
      </c>
      <c r="E95" s="834">
        <v>0.2</v>
      </c>
      <c r="F95" s="821">
        <v>30</v>
      </c>
    </row>
    <row r="96" spans="1:6" s="817" customFormat="1" ht="48">
      <c r="A96" s="821">
        <v>36</v>
      </c>
      <c r="B96" s="3525"/>
      <c r="C96" s="757" t="s">
        <v>687</v>
      </c>
      <c r="D96" s="757" t="s">
        <v>688</v>
      </c>
      <c r="E96" s="834">
        <v>0.2</v>
      </c>
      <c r="F96" s="821">
        <v>30</v>
      </c>
    </row>
    <row r="97" spans="1:6" s="817" customFormat="1" ht="36">
      <c r="A97" s="821">
        <v>37</v>
      </c>
      <c r="B97" s="3525"/>
      <c r="C97" s="821" t="s">
        <v>689</v>
      </c>
      <c r="D97" s="757" t="s">
        <v>690</v>
      </c>
      <c r="E97" s="834">
        <v>0.2</v>
      </c>
      <c r="F97" s="821">
        <v>30</v>
      </c>
    </row>
    <row r="98" spans="1:6" s="817" customFormat="1" ht="36">
      <c r="A98" s="821">
        <v>38</v>
      </c>
      <c r="B98" s="3525"/>
      <c r="C98" s="821" t="s">
        <v>691</v>
      </c>
      <c r="D98" s="757" t="s">
        <v>692</v>
      </c>
      <c r="E98" s="834">
        <v>0.2</v>
      </c>
      <c r="F98" s="821">
        <v>30</v>
      </c>
    </row>
    <row r="99" spans="1:6" s="817" customFormat="1" ht="36">
      <c r="A99" s="821">
        <v>39</v>
      </c>
      <c r="B99" s="3525" t="s">
        <v>693</v>
      </c>
      <c r="C99" s="821" t="s">
        <v>694</v>
      </c>
      <c r="D99" s="757" t="s">
        <v>695</v>
      </c>
      <c r="E99" s="834">
        <v>0.3</v>
      </c>
      <c r="F99" s="821">
        <v>50</v>
      </c>
    </row>
    <row r="100" spans="1:6" s="817" customFormat="1" ht="24">
      <c r="A100" s="821">
        <v>40</v>
      </c>
      <c r="B100" s="3525"/>
      <c r="C100" s="821" t="s">
        <v>696</v>
      </c>
      <c r="D100" s="757" t="s">
        <v>697</v>
      </c>
      <c r="E100" s="834">
        <v>0.2</v>
      </c>
      <c r="F100" s="821">
        <v>30</v>
      </c>
    </row>
    <row r="101" spans="1:6" s="817" customFormat="1" ht="36">
      <c r="A101" s="821">
        <v>41</v>
      </c>
      <c r="B101" s="352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5" t="s">
        <v>708</v>
      </c>
      <c r="C105" s="821" t="s">
        <v>709</v>
      </c>
      <c r="D105" s="757" t="s">
        <v>710</v>
      </c>
      <c r="E105" s="834">
        <v>0.2</v>
      </c>
      <c r="F105" s="821">
        <v>30</v>
      </c>
    </row>
    <row r="106" spans="1:6" s="817" customFormat="1" ht="36">
      <c r="A106" s="821">
        <v>46</v>
      </c>
      <c r="B106" s="3525"/>
      <c r="C106" s="821" t="s">
        <v>711</v>
      </c>
      <c r="D106" s="757" t="s">
        <v>712</v>
      </c>
      <c r="E106" s="834">
        <v>0.2</v>
      </c>
      <c r="F106" s="821">
        <v>30</v>
      </c>
    </row>
    <row r="107" spans="1:6" s="817" customFormat="1" ht="36">
      <c r="A107" s="821">
        <v>47</v>
      </c>
      <c r="B107" s="3525" t="s">
        <v>713</v>
      </c>
      <c r="C107" s="821" t="s">
        <v>714</v>
      </c>
      <c r="D107" s="757" t="s">
        <v>715</v>
      </c>
      <c r="E107" s="834">
        <v>0.3</v>
      </c>
      <c r="F107" s="821">
        <v>50</v>
      </c>
    </row>
    <row r="108" spans="1:6" s="817" customFormat="1" ht="36">
      <c r="A108" s="821">
        <v>48</v>
      </c>
      <c r="B108" s="352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5" t="s">
        <v>724</v>
      </c>
      <c r="C111" s="821" t="s">
        <v>725</v>
      </c>
      <c r="D111" s="757" t="s">
        <v>726</v>
      </c>
      <c r="E111" s="834">
        <v>0.2</v>
      </c>
      <c r="F111" s="821">
        <v>30</v>
      </c>
    </row>
    <row r="112" spans="1:6" s="817" customFormat="1" ht="24">
      <c r="A112" s="821">
        <v>52</v>
      </c>
      <c r="B112" s="3525"/>
      <c r="C112" s="821" t="s">
        <v>727</v>
      </c>
      <c r="D112" s="757" t="s">
        <v>728</v>
      </c>
      <c r="E112" s="834">
        <v>0.2</v>
      </c>
      <c r="F112" s="821">
        <v>30</v>
      </c>
    </row>
    <row r="113" spans="1:6" s="817" customFormat="1" ht="24">
      <c r="A113" s="821">
        <v>53</v>
      </c>
      <c r="B113" s="352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5" t="s">
        <v>737</v>
      </c>
      <c r="C116" s="821" t="s">
        <v>738</v>
      </c>
      <c r="D116" s="757" t="s">
        <v>739</v>
      </c>
      <c r="E116" s="834">
        <v>0.2</v>
      </c>
      <c r="F116" s="821">
        <v>30</v>
      </c>
    </row>
    <row r="117" spans="1:6" ht="36">
      <c r="A117" s="821">
        <v>57</v>
      </c>
      <c r="B117" s="352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9:Z14"/>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2762</v>
      </c>
      <c r="B1" s="2332"/>
      <c r="C1" s="2332"/>
      <c r="D1" s="2332"/>
      <c r="E1" s="2332"/>
      <c r="F1" s="2993"/>
      <c r="G1" s="2993"/>
      <c r="H1" s="2993"/>
      <c r="I1" s="2993"/>
      <c r="J1" s="2993"/>
      <c r="K1" s="2993"/>
      <c r="L1" s="2993"/>
      <c r="M1" s="2993"/>
      <c r="N1" s="2993"/>
      <c r="O1" s="2993"/>
      <c r="P1" s="2993"/>
    </row>
    <row r="2" spans="1:16" ht="15.75">
      <c r="A2" s="2330" t="s">
        <v>2754</v>
      </c>
      <c r="B2" s="2797" t="e">
        <f ca="1">SUMIF(B6:B13,"&lt;&gt;#ref!",B6:B13)</f>
        <v>#DIV/0!</v>
      </c>
      <c r="C2" s="2330" t="s">
        <v>2755</v>
      </c>
      <c r="D2" s="2330" t="s">
        <v>2756</v>
      </c>
      <c r="E2" s="2807">
        <f ca="1">SUMIF(E6:E13,"&lt;&gt;#ref!",E6:E13)</f>
        <v>0</v>
      </c>
      <c r="F2" s="2993"/>
      <c r="G2" s="2993"/>
      <c r="H2" s="2993"/>
      <c r="I2" s="2993"/>
      <c r="J2" s="2993"/>
      <c r="K2" s="2993"/>
      <c r="L2" s="2993"/>
      <c r="M2" s="2993"/>
      <c r="N2" s="2993"/>
      <c r="O2" s="2993"/>
      <c r="P2" s="2993"/>
    </row>
    <row r="3" spans="1:16" ht="15.75">
      <c r="A3" s="2330" t="s">
        <v>2757</v>
      </c>
      <c r="B3" s="2797" t="e">
        <f ca="1">ROUND(B2*10000/E2,0)</f>
        <v>#DIV/0!</v>
      </c>
      <c r="C3" s="2330" t="s">
        <v>2763</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2758</v>
      </c>
      <c r="B5" s="2805" t="s">
        <v>2759</v>
      </c>
      <c r="C5" s="2331"/>
      <c r="D5" s="2993"/>
      <c r="E5" s="2806" t="s">
        <v>2760</v>
      </c>
      <c r="F5" s="2993"/>
      <c r="G5" s="2993"/>
      <c r="H5" s="2993"/>
      <c r="I5" s="2993"/>
      <c r="J5" s="2993"/>
      <c r="K5" s="2993"/>
      <c r="L5" s="2993"/>
      <c r="M5" s="2993"/>
      <c r="N5" s="2993"/>
      <c r="O5" s="2993"/>
      <c r="P5" s="2993"/>
    </row>
    <row r="6" spans="1:16" ht="15.75">
      <c r="A6" s="2804" t="s">
        <v>2761</v>
      </c>
      <c r="B6" s="2797" t="e">
        <f ca="1">SUMIF(INDIRECT("'"&amp;A6&amp;"'"&amp;"!A:A"),"总价",INDIRECT("'"&amp;A6&amp;"'"&amp;"!B:B"))</f>
        <v>#DIV/0!</v>
      </c>
      <c r="C6" s="2330" t="s">
        <v>2755</v>
      </c>
      <c r="D6" s="2993"/>
      <c r="E6" s="2807">
        <f ca="1">SUMIF(INDIRECT("'"&amp;A6&amp;"'"&amp;"!C:C"),"建筑面积",INDIRECT("'"&amp;A6&amp;"'"&amp;"!D:D"))</f>
        <v>0</v>
      </c>
      <c r="F6" s="2993"/>
      <c r="G6" s="2993"/>
      <c r="H6" s="2993"/>
      <c r="I6" s="2993"/>
      <c r="J6" s="2993"/>
      <c r="K6" s="2993"/>
      <c r="L6" s="2993"/>
      <c r="M6" s="2993"/>
      <c r="N6" s="2993"/>
      <c r="O6" s="2993"/>
      <c r="P6" s="2993"/>
    </row>
    <row r="7" spans="1:16" ht="15.75">
      <c r="A7" s="2804"/>
      <c r="B7" s="2797" t="e">
        <f ca="1">SUMIF(INDIRECT("'"&amp;A7&amp;"'"&amp;"!A:A"),"总价",INDIRECT("'"&amp;A7&amp;"'"&amp;"!B:B"))</f>
        <v>#REF!</v>
      </c>
      <c r="C7" s="2330" t="s">
        <v>2755</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2755</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2755</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2755</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2755</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2755</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2755</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L14" sqref="L9:Z14"/>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31" t="s">
        <v>1058</v>
      </c>
      <c r="C1" s="3531"/>
      <c r="D1" s="3531"/>
      <c r="E1" s="3531"/>
      <c r="F1" s="3531"/>
      <c r="G1" s="3530" t="s">
        <v>1059</v>
      </c>
      <c r="H1" s="3530"/>
      <c r="I1" s="3530"/>
      <c r="J1" s="3530"/>
      <c r="K1" s="3530"/>
      <c r="L1" s="3530"/>
      <c r="N1" s="3530" t="s">
        <v>1060</v>
      </c>
      <c r="O1" s="3530"/>
      <c r="P1" s="3530"/>
      <c r="Q1" s="3530"/>
      <c r="S1" s="3530" t="s">
        <v>1061</v>
      </c>
      <c r="T1" s="3530"/>
      <c r="U1" s="3530"/>
      <c r="V1" s="3530"/>
      <c r="X1" s="3529" t="s">
        <v>1062</v>
      </c>
      <c r="Y1" s="3530"/>
      <c r="Z1" s="3530"/>
      <c r="AA1" s="3530"/>
      <c r="AB1" s="3530"/>
      <c r="AD1" s="3529" t="s">
        <v>1063</v>
      </c>
      <c r="AE1" s="3530"/>
      <c r="AF1" s="3530"/>
      <c r="AG1" s="3530"/>
      <c r="AH1" s="3530"/>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2795</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3118</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2796</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3117</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2994</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2993</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2992</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2990</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2989</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2812</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2810</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2809</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2808</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2806</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2804</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2807</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27">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2802</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27"/>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2801</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27"/>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2794</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36"/>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2792</v>
      </c>
      <c r="B22" s="2407">
        <v>439</v>
      </c>
      <c r="C22" s="2407">
        <v>327</v>
      </c>
      <c r="D22" s="2407">
        <f>C22</f>
        <v>327</v>
      </c>
      <c r="E22" s="2407">
        <v>627</v>
      </c>
      <c r="F22" s="2408">
        <v>283</v>
      </c>
      <c r="G22" s="3532">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2793</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27"/>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27"/>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36"/>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32">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27"/>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27"/>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28"/>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26">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27"/>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27"/>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28"/>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26">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27"/>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27"/>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28"/>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33">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34"/>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34"/>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35"/>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26">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27"/>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27"/>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28"/>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26">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27">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27">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28">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26">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27">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27">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28">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26">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27">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27">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28">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26">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27">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27">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28">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26">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27">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27">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28">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26">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27">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27">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28">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26">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27">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27">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28">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26">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27">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27">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28">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26">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27">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27">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28">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26">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27">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27">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28">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8">
      <c r="A3" s="3216" t="str">
        <f>IF(项目基本情况!B9="房地产市场价值","估价结果一览表（市场价值不需“结果表-1”）","估价结果一览表")</f>
        <v>估价结果一览表</v>
      </c>
      <c r="B3" s="3216"/>
      <c r="C3" s="3216"/>
      <c r="D3" s="3216"/>
      <c r="E3" s="3216"/>
    </row>
    <row r="4" spans="1:5" ht="19.5" thickBot="1">
      <c r="A4" s="1647"/>
      <c r="B4" s="3214" t="s">
        <v>1535</v>
      </c>
      <c r="C4" s="3214"/>
      <c r="D4" s="3214"/>
      <c r="E4" s="1647"/>
    </row>
    <row r="5" spans="1:5" ht="16.5" thickTop="1">
      <c r="A5" s="1645"/>
      <c r="B5" s="3212" t="s">
        <v>1527</v>
      </c>
      <c r="C5" s="1648" t="s">
        <v>1528</v>
      </c>
      <c r="D5" s="959">
        <f ca="1">结果表!H101</f>
        <v>91978</v>
      </c>
      <c r="E5" s="1645"/>
    </row>
    <row r="6" spans="1:5" ht="15.75">
      <c r="A6" s="1645"/>
      <c r="B6" s="3212"/>
      <c r="C6" s="1648" t="s">
        <v>1529</v>
      </c>
      <c r="D6" s="959" t="str">
        <f ca="1">NUMBERSTRING(INT(D5*10000),2)&amp;"元整"</f>
        <v>玖亿壹仟玖佰柒拾捌万元整</v>
      </c>
      <c r="E6" s="1645"/>
    </row>
    <row r="7" spans="1:5" ht="15.75">
      <c r="A7" s="1645"/>
      <c r="B7" s="3217"/>
      <c r="C7" s="1649" t="s">
        <v>1530</v>
      </c>
      <c r="D7" s="960">
        <f ca="1">结果表!H102</f>
        <v>5358</v>
      </c>
      <c r="E7" s="1645"/>
    </row>
    <row r="8" spans="1:5" ht="15.75">
      <c r="A8" s="1645"/>
      <c r="B8" s="3218" t="str">
        <f>结果表!E103</f>
        <v>2.估价师知悉的法定优先受偿款</v>
      </c>
      <c r="C8" s="1650" t="s">
        <v>1531</v>
      </c>
      <c r="D8" s="960">
        <f>结果表!H103</f>
        <v>0</v>
      </c>
      <c r="E8" s="1645"/>
    </row>
    <row r="9" spans="1:5" ht="15.75">
      <c r="A9" s="1645"/>
      <c r="B9" s="3220"/>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11" t="str">
        <f>结果表!E107</f>
        <v>3.房地产抵押价值</v>
      </c>
      <c r="C13" s="1653" t="s">
        <v>1528</v>
      </c>
      <c r="D13" s="962">
        <f ca="1">结果表!H107</f>
        <v>91978</v>
      </c>
      <c r="E13" s="1645"/>
    </row>
    <row r="14" spans="1:5" ht="15.75">
      <c r="A14" s="1645"/>
      <c r="B14" s="3212"/>
      <c r="C14" s="1648" t="s">
        <v>1529</v>
      </c>
      <c r="D14" s="959" t="str">
        <f ca="1">NUMBERSTRING(INT(D13*10000),2)&amp;"元整"</f>
        <v>玖亿壹仟玖佰柒拾捌万元整</v>
      </c>
      <c r="E14" s="1645"/>
    </row>
    <row r="15" spans="1:5" ht="15">
      <c r="A15" s="1645"/>
      <c r="B15" s="3217"/>
      <c r="C15" s="1649" t="s">
        <v>1539</v>
      </c>
      <c r="D15" s="968">
        <f ca="1">结果表!H108</f>
        <v>5358</v>
      </c>
      <c r="E15" s="1645"/>
    </row>
    <row r="16" spans="1:5" ht="15">
      <c r="A16" s="1645"/>
      <c r="B16" s="3218" t="str">
        <f>结果表!E109</f>
        <v>——</v>
      </c>
      <c r="C16" s="1653" t="s">
        <v>1540</v>
      </c>
      <c r="D16" s="1654" t="str">
        <f>结果表!H109</f>
        <v>——</v>
      </c>
      <c r="E16" s="1645"/>
    </row>
    <row r="17" spans="1:5" ht="15.75">
      <c r="A17" s="1645"/>
      <c r="B17" s="3219"/>
      <c r="C17" s="1648" t="s">
        <v>1541</v>
      </c>
      <c r="D17" s="959" t="e">
        <f>NUMBERSTRING(INT(D16*10000),2)&amp;"元整"</f>
        <v>#VALUE!</v>
      </c>
      <c r="E17" s="1645"/>
    </row>
    <row r="18" spans="1:5" ht="15">
      <c r="A18" s="1645"/>
      <c r="B18" s="3220"/>
      <c r="C18" s="1649" t="s">
        <v>1530</v>
      </c>
      <c r="D18" s="968" t="str">
        <f>结果表!H110</f>
        <v>——</v>
      </c>
      <c r="E18" s="1645"/>
    </row>
    <row r="19" spans="1:5" ht="15.75">
      <c r="A19" s="1645"/>
      <c r="B19" s="3211" t="str">
        <f>结果表!E111</f>
        <v>——</v>
      </c>
      <c r="C19" s="1653" t="s">
        <v>1528</v>
      </c>
      <c r="D19" s="960" t="str">
        <f>结果表!H111</f>
        <v>——</v>
      </c>
      <c r="E19" s="1645"/>
    </row>
    <row r="20" spans="1:5" ht="15.75">
      <c r="A20" s="1645"/>
      <c r="B20" s="3212"/>
      <c r="C20" s="1648" t="s">
        <v>1541</v>
      </c>
      <c r="D20" s="959" t="e">
        <f>NUMBERSTRING(INT(D19*10000),2)&amp;"元整"</f>
        <v>#VALUE!</v>
      </c>
      <c r="E20" s="1645"/>
    </row>
    <row r="21" spans="1:5" ht="15.75" thickBot="1">
      <c r="A21" s="1645"/>
      <c r="B21" s="3213"/>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L14" sqref="L9:Z14"/>
      <selection pane="bottomLeft" activeCell="L14" sqref="L9:Z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0" t="s">
        <v>2765</v>
      </c>
      <c r="D1" s="3541"/>
      <c r="E1" s="3541"/>
      <c r="F1" s="3541"/>
      <c r="G1" s="3541"/>
      <c r="H1" s="3541"/>
      <c r="I1" s="3541"/>
      <c r="J1" s="3541"/>
      <c r="K1" s="3541"/>
      <c r="L1" s="3541"/>
      <c r="M1" s="3541"/>
      <c r="N1" s="3541"/>
      <c r="O1" s="3541"/>
      <c r="P1" s="3541"/>
      <c r="Q1" s="3541"/>
      <c r="R1" s="3541"/>
      <c r="S1" s="3542"/>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2768</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2769</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2770</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2774</v>
      </c>
      <c r="B17" s="2334"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2776</v>
      </c>
      <c r="E19" s="1493"/>
      <c r="F19" s="1493"/>
      <c r="G19" s="1493"/>
      <c r="H19" s="1190"/>
      <c r="I19" s="164"/>
      <c r="J19" s="164"/>
      <c r="K19" s="164"/>
      <c r="L19" s="164"/>
      <c r="M19" s="164"/>
      <c r="N19" s="164"/>
      <c r="O19" s="164"/>
      <c r="P19" s="164"/>
      <c r="Q19" s="164"/>
      <c r="R19" s="727"/>
      <c r="S19" s="134"/>
    </row>
    <row r="20" spans="1:45" ht="16.5" thickBot="1">
      <c r="A20" s="671" t="s">
        <v>2777</v>
      </c>
      <c r="B20" s="300" t="e">
        <f ca="1">IF(D20="——",S22,S22-F20)</f>
        <v>#REF!</v>
      </c>
      <c r="C20" s="164"/>
      <c r="D20" s="2336"/>
      <c r="E20" s="1494"/>
      <c r="F20" s="1114" t="e">
        <f ca="1">SUMIF(INDIRECT("'"&amp;H20&amp;"'"&amp;"!A:A"),"承租人权益价值",INDIRECT("'"&amp;H20&amp;"'"&amp;"!c:c"))</f>
        <v>#REF!</v>
      </c>
      <c r="G20" s="1114" t="s">
        <v>2778</v>
      </c>
      <c r="H20" s="2337"/>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7" t="s">
        <v>33</v>
      </c>
      <c r="D22" s="3538"/>
      <c r="E22" s="3538"/>
      <c r="F22" s="3538"/>
      <c r="G22" s="3538"/>
      <c r="H22" s="3538"/>
      <c r="I22" s="3538"/>
      <c r="J22" s="3538"/>
      <c r="K22" s="3538"/>
      <c r="L22" s="3538"/>
      <c r="M22" s="3538"/>
      <c r="N22" s="3538"/>
      <c r="O22" s="3538"/>
      <c r="P22" s="3538"/>
      <c r="Q22" s="3539"/>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134421</v>
      </c>
      <c r="C2" s="2" t="s">
        <v>133</v>
      </c>
      <c r="D2" s="205"/>
      <c r="E2" s="205"/>
      <c r="F2" s="205"/>
      <c r="G2" s="205"/>
    </row>
    <row r="3" spans="1:7" s="206" customFormat="1" ht="18" customHeight="1" thickBot="1">
      <c r="A3" s="209" t="s">
        <v>85</v>
      </c>
      <c r="B3" s="210">
        <f ca="1">ROUND(B2*10000/'数据-汇总表'!E3,0)</f>
        <v>7830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1888</v>
      </c>
      <c r="D10" s="954">
        <f>'数据-汇总表'!E6</f>
        <v>171669.99</v>
      </c>
      <c r="E10" s="231">
        <f>'数据-取费表'!B28</f>
        <v>110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3433</v>
      </c>
      <c r="D19" s="958">
        <f>'数据-汇总表'!E3</f>
        <v>171669.99</v>
      </c>
      <c r="E19" s="217">
        <f>'数据-取费表'!B31</f>
        <v>200</v>
      </c>
      <c r="F19" s="237"/>
      <c r="G19" s="1" t="s">
        <v>1042</v>
      </c>
    </row>
    <row r="20" spans="1:7" s="220" customFormat="1" ht="13.5" customHeight="1">
      <c r="A20" s="885" t="s">
        <v>1025</v>
      </c>
      <c r="B20" s="216" t="s">
        <v>104</v>
      </c>
      <c r="C20" s="238">
        <f>ROUND((C5+C19)*F20,0)</f>
        <v>481</v>
      </c>
      <c r="D20" s="238"/>
      <c r="E20" s="238"/>
      <c r="F20" s="239">
        <f>'数据-取费表'!B37</f>
        <v>0.02</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36">
        <f ca="1">ROUND(SUM(C23:C25),0)</f>
        <v>2308</v>
      </c>
      <c r="D22" s="241">
        <f ca="1">C26</f>
        <v>1.4E-3</v>
      </c>
      <c r="E22" s="242" t="s">
        <v>126</v>
      </c>
      <c r="F22" s="243">
        <f ca="1">'数据-取费表'!B40</f>
        <v>3.7000000000000005E-2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1960</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326</v>
      </c>
      <c r="D24" s="244"/>
      <c r="E24" s="244"/>
      <c r="F24" s="245"/>
      <c r="G24" s="246" t="s">
        <v>109</v>
      </c>
    </row>
    <row r="25" spans="1:7" s="220" customFormat="1" ht="24">
      <c r="A25" s="888" t="s">
        <v>793</v>
      </c>
      <c r="B25" s="221" t="s">
        <v>1026</v>
      </c>
      <c r="C25" s="1237">
        <f ca="1">ROUND(IF('数据-取费表'!B22&lt;=1,C20*F22*'数据-取费表'!B23/2,C20*(POWER((1+F22),'数据-取费表'!B23/2)-1)),0)</f>
        <v>22</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4.75">
      <c r="A27" s="885" t="s">
        <v>787</v>
      </c>
      <c r="B27" s="250" t="s">
        <v>112</v>
      </c>
      <c r="C27" s="251">
        <f>C28</f>
        <v>3679</v>
      </c>
      <c r="D27" s="241">
        <f>C29</f>
        <v>4.4999999999999997E-3</v>
      </c>
      <c r="E27" s="242" t="s">
        <v>126</v>
      </c>
      <c r="F27" s="252">
        <f>'数据-取费表'!Q16</f>
        <v>0.15</v>
      </c>
      <c r="G27" s="253" t="s">
        <v>1037</v>
      </c>
    </row>
    <row r="28" spans="1:7" s="220" customFormat="1" ht="13.5" customHeight="1">
      <c r="A28" s="888" t="s">
        <v>794</v>
      </c>
      <c r="B28" s="254" t="s">
        <v>1030</v>
      </c>
      <c r="C28" s="255">
        <f>ROUND((C5+C19+C20)*F27*'数据-取费表'!B21/'数据-取费表'!B20,0)</f>
        <v>3679</v>
      </c>
      <c r="D28" s="241"/>
      <c r="E28" s="242"/>
      <c r="F28" s="252"/>
      <c r="G28" s="253"/>
    </row>
    <row r="29" spans="1:7" s="220" customFormat="1" ht="13.5" customHeight="1">
      <c r="A29" s="888" t="s">
        <v>792</v>
      </c>
      <c r="B29" s="254" t="s">
        <v>1031</v>
      </c>
      <c r="C29" s="244">
        <f>ROUND(C21*F27*'数据-取费表'!B21/'数据-取费表'!B20,4)</f>
        <v>4.4999999999999997E-3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33465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85706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77251</v>
      </c>
      <c r="D34" s="223"/>
      <c r="E34" s="226"/>
      <c r="F34" s="263">
        <f>IF('数据-取费表'!B24=0,1,'数据-取费表'!N16)</f>
        <v>1</v>
      </c>
      <c r="G34" s="225" t="s">
        <v>116</v>
      </c>
    </row>
    <row r="35" spans="1:7" ht="13.5" customHeight="1">
      <c r="A35" s="888" t="s">
        <v>796</v>
      </c>
      <c r="B35" s="221" t="s">
        <v>60</v>
      </c>
      <c r="C35" s="226">
        <f>ROUND(C34*F35,0)</f>
        <v>3863</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3433</v>
      </c>
      <c r="D37" s="223">
        <f>'数据-汇总表'!E3</f>
        <v>171669.99</v>
      </c>
      <c r="E37" s="255">
        <f>'数据-取费表'!B35</f>
        <v>200</v>
      </c>
      <c r="F37" s="265"/>
      <c r="G37" s="267" t="s">
        <v>119</v>
      </c>
    </row>
    <row r="38" spans="1:7" ht="13.5" customHeight="1">
      <c r="A38" s="888" t="s">
        <v>799</v>
      </c>
      <c r="B38" s="221" t="s">
        <v>63</v>
      </c>
      <c r="C38" s="226">
        <f>ROUND(C34*F38,0)</f>
        <v>1159</v>
      </c>
      <c r="D38" s="226"/>
      <c r="E38" s="226"/>
      <c r="F38" s="265">
        <f>'数据-取费表'!B36</f>
        <v>1.4999999999999999E-2</v>
      </c>
      <c r="G38" s="225" t="s">
        <v>117</v>
      </c>
    </row>
    <row r="39" spans="1:7" s="220" customFormat="1" ht="13.5" customHeight="1">
      <c r="A39" s="885" t="s">
        <v>783</v>
      </c>
      <c r="B39" s="216" t="s">
        <v>104</v>
      </c>
      <c r="C39" s="238">
        <f>ROUND(C33*F20,0)</f>
        <v>1714</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4062</v>
      </c>
      <c r="D41" s="241">
        <f ca="1">C44</f>
        <v>1.4E-3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3982</v>
      </c>
      <c r="D42" s="244"/>
      <c r="E42" s="244"/>
      <c r="F42" s="245"/>
      <c r="G42" s="3399" t="s">
        <v>121</v>
      </c>
    </row>
    <row r="43" spans="1:7" ht="13.5" customHeight="1">
      <c r="A43" s="888" t="s">
        <v>792</v>
      </c>
      <c r="B43" s="221" t="s">
        <v>1032</v>
      </c>
      <c r="C43" s="244">
        <f ca="1">ROUND(IF('数据-取费表'!B22&lt;=1,C39*F22*'数据-取费表'!B21/2,C39*(POWER((1+F22),'数据-取费表'!B21/2)-1)),0)</f>
        <v>80</v>
      </c>
      <c r="D43" s="244"/>
      <c r="E43" s="244"/>
      <c r="F43" s="245"/>
      <c r="G43" s="3400"/>
    </row>
    <row r="44" spans="1:7" ht="13.5" customHeight="1">
      <c r="A44" s="888" t="s">
        <v>793</v>
      </c>
      <c r="B44" s="221" t="s">
        <v>1034</v>
      </c>
      <c r="C44" s="244">
        <f ca="1">ROUND(IF('数据-取费表'!B22&lt;=1,C40*F22*'数据-取费表'!B21/2,C40*(POWER((1+F22),'数据-取费表'!B21/2)-1)),4)</f>
        <v>1.4E-3</v>
      </c>
      <c r="D44" s="244"/>
      <c r="E44" s="244"/>
      <c r="F44" s="245"/>
      <c r="G44" s="3401"/>
    </row>
    <row r="45" spans="1:7" s="220" customFormat="1" ht="13.5" customHeight="1">
      <c r="A45" s="885" t="s">
        <v>786</v>
      </c>
      <c r="B45" s="250" t="s">
        <v>112</v>
      </c>
      <c r="C45" s="251">
        <f>C46</f>
        <v>13113</v>
      </c>
      <c r="D45" s="241">
        <f>C47</f>
        <v>4.4999999999999997E-3</v>
      </c>
      <c r="E45" s="242" t="s">
        <v>129</v>
      </c>
      <c r="F45" s="252"/>
      <c r="G45" s="253" t="s">
        <v>1040</v>
      </c>
    </row>
    <row r="46" spans="1:7" s="220" customFormat="1" ht="13.5" customHeight="1">
      <c r="A46" s="888" t="s">
        <v>794</v>
      </c>
      <c r="B46" s="254" t="s">
        <v>1033</v>
      </c>
      <c r="C46" s="255">
        <f>ROUND((C33+C39)*F27,0)</f>
        <v>13113</v>
      </c>
      <c r="D46" s="269"/>
      <c r="E46" s="242"/>
      <c r="F46" s="252"/>
      <c r="G46" s="253"/>
    </row>
    <row r="47" spans="1:7" s="220" customFormat="1" ht="13.5" customHeight="1">
      <c r="A47" s="888" t="s">
        <v>792</v>
      </c>
      <c r="B47" s="254" t="s">
        <v>1035</v>
      </c>
      <c r="C47" s="244">
        <f>ROUND(C40*F27,4)</f>
        <v>4.4999999999999997E-3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114723</v>
      </c>
      <c r="D49" s="238"/>
      <c r="E49" s="238"/>
      <c r="F49" s="270"/>
      <c r="G49" s="240" t="s">
        <v>1041</v>
      </c>
    </row>
    <row r="50" spans="1:7" s="264" customFormat="1" ht="24">
      <c r="A50" s="885" t="s">
        <v>789</v>
      </c>
      <c r="B50" s="216" t="s">
        <v>124</v>
      </c>
      <c r="C50" s="238"/>
      <c r="D50" s="238"/>
      <c r="E50" s="238"/>
      <c r="F50" s="270">
        <f>IF('数据-取费表'!B24=0,'数据-取费表'!N16,1)</f>
        <v>0.88</v>
      </c>
      <c r="G50" s="253" t="s">
        <v>125</v>
      </c>
    </row>
    <row r="51" spans="1:7" ht="16.5" customHeight="1">
      <c r="A51" s="885" t="s">
        <v>790</v>
      </c>
      <c r="B51" s="216" t="s">
        <v>132</v>
      </c>
      <c r="C51" s="238">
        <f ca="1">ROUND(C49*F50,0)</f>
        <v>100956</v>
      </c>
      <c r="D51" s="238"/>
      <c r="E51" s="238"/>
      <c r="F51" s="270"/>
      <c r="G51" s="240" t="s">
        <v>64</v>
      </c>
    </row>
    <row r="52" spans="1:7" s="214" customFormat="1" ht="16.5" thickBot="1">
      <c r="A52" s="271" t="s">
        <v>65</v>
      </c>
      <c r="B52" s="272"/>
      <c r="C52" s="273">
        <f ca="1">C31+C51</f>
        <v>134421</v>
      </c>
      <c r="D52" s="272"/>
      <c r="E52" s="272"/>
      <c r="F52" s="272"/>
      <c r="G52" s="274"/>
    </row>
    <row r="55" spans="1:7" ht="15">
      <c r="B55" s="276" t="s">
        <v>66</v>
      </c>
      <c r="C55" s="277"/>
    </row>
    <row r="56" spans="1:7">
      <c r="B56" s="279" t="s">
        <v>67</v>
      </c>
      <c r="C56" s="280">
        <f ca="1">ROUND(C51/C52,3)</f>
        <v>0.751</v>
      </c>
    </row>
    <row r="57" spans="1:7">
      <c r="B57" s="279" t="s">
        <v>68</v>
      </c>
      <c r="C57" s="281">
        <f ca="1">1-C56</f>
        <v>0.249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3" t="s">
        <v>156</v>
      </c>
      <c r="B1" s="3543"/>
      <c r="C1" s="3543"/>
      <c r="D1" s="3543"/>
      <c r="E1" s="3543"/>
      <c r="F1" s="354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4" t="s">
        <v>169</v>
      </c>
      <c r="B2" s="3544"/>
      <c r="C2" s="3544"/>
      <c r="D2" s="3544"/>
      <c r="E2" s="3544"/>
      <c r="F2" s="354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3" t="s">
        <v>839</v>
      </c>
      <c r="B1" s="354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9: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44662</v>
      </c>
      <c r="D1" s="1441" t="s">
        <v>1209</v>
      </c>
      <c r="E1" s="1436">
        <f>'数据-取费表'!B22</f>
        <v>2.5</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2991</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opLeftCell="B1" workbookViewId="0">
      <selection activeCell="N4" sqref="N4"/>
    </sheetView>
  </sheetViews>
  <sheetFormatPr defaultRowHeight="13.5"/>
  <cols>
    <col min="1" max="1" width="32.25" style="3209" customWidth="1"/>
    <col min="2" max="5" width="9" style="3209"/>
    <col min="6" max="6" width="23.625" style="3209" customWidth="1"/>
    <col min="7" max="9" width="9" style="3209"/>
    <col min="10" max="10" width="11" style="3209" customWidth="1"/>
    <col min="11" max="16384" width="9" style="3209"/>
  </cols>
  <sheetData>
    <row r="1" spans="1:15" ht="14.25">
      <c r="A1" s="3547" t="s">
        <v>3183</v>
      </c>
      <c r="B1" s="3547" t="s">
        <v>3184</v>
      </c>
      <c r="C1" s="3547" t="s">
        <v>3185</v>
      </c>
      <c r="D1" s="3547" t="s">
        <v>3186</v>
      </c>
      <c r="E1" s="3547" t="s">
        <v>3187</v>
      </c>
      <c r="F1" s="3547" t="s">
        <v>3188</v>
      </c>
      <c r="G1" s="3547" t="s">
        <v>3189</v>
      </c>
      <c r="H1" s="3547" t="s">
        <v>3190</v>
      </c>
      <c r="I1" s="3547" t="s">
        <v>3191</v>
      </c>
      <c r="J1" s="3547" t="s">
        <v>3192</v>
      </c>
      <c r="K1" s="3547" t="s">
        <v>3193</v>
      </c>
      <c r="L1" s="3547" t="s">
        <v>3194</v>
      </c>
      <c r="M1" s="3547" t="s">
        <v>3195</v>
      </c>
      <c r="N1" s="3547" t="s">
        <v>3196</v>
      </c>
      <c r="O1" s="3547" t="s">
        <v>3197</v>
      </c>
    </row>
    <row r="2" spans="1:15" ht="14.25">
      <c r="A2" s="3547" t="s">
        <v>3199</v>
      </c>
      <c r="B2" s="3547" t="s">
        <v>3198</v>
      </c>
      <c r="C2" s="3547" t="s">
        <v>3200</v>
      </c>
      <c r="D2" s="3547">
        <v>907</v>
      </c>
      <c r="E2" s="3547">
        <v>997.7</v>
      </c>
      <c r="F2" s="3547" t="s">
        <v>3201</v>
      </c>
      <c r="G2" s="3547" t="s">
        <v>3202</v>
      </c>
      <c r="H2" s="3547" t="s">
        <v>3203</v>
      </c>
      <c r="I2" s="3547" t="s">
        <v>1239</v>
      </c>
      <c r="J2" s="3548" t="s">
        <v>3204</v>
      </c>
      <c r="K2" s="3547" t="s">
        <v>3205</v>
      </c>
      <c r="L2" s="3547" t="s">
        <v>3206</v>
      </c>
      <c r="M2" s="3547">
        <v>88</v>
      </c>
      <c r="N2" s="3547">
        <v>882</v>
      </c>
      <c r="O2" s="3547">
        <v>10</v>
      </c>
    </row>
    <row r="3" spans="1:15" s="3551" customFormat="1" ht="14.25">
      <c r="A3" s="3549" t="s">
        <v>3207</v>
      </c>
      <c r="B3" s="3549" t="s">
        <v>3198</v>
      </c>
      <c r="C3" s="3549" t="s">
        <v>3200</v>
      </c>
      <c r="D3" s="3549">
        <v>12961</v>
      </c>
      <c r="E3" s="3549">
        <v>45363.5</v>
      </c>
      <c r="F3" s="3549" t="s">
        <v>3208</v>
      </c>
      <c r="G3" s="3549" t="s">
        <v>3202</v>
      </c>
      <c r="H3" s="3549" t="s">
        <v>3209</v>
      </c>
      <c r="I3" s="3549" t="s">
        <v>1239</v>
      </c>
      <c r="J3" s="3550" t="s">
        <v>3210</v>
      </c>
      <c r="K3" s="3549" t="s">
        <v>3205</v>
      </c>
      <c r="L3" s="3549" t="s">
        <v>3211</v>
      </c>
      <c r="M3" s="3549">
        <v>3693.98</v>
      </c>
      <c r="N3" s="3549">
        <v>814</v>
      </c>
      <c r="O3" s="3549">
        <v>0</v>
      </c>
    </row>
    <row r="4" spans="1:15" s="3551" customFormat="1" ht="14.25">
      <c r="A4" s="3549" t="s">
        <v>3212</v>
      </c>
      <c r="B4" s="3549" t="s">
        <v>3198</v>
      </c>
      <c r="C4" s="3549" t="s">
        <v>3200</v>
      </c>
      <c r="D4" s="3549">
        <v>26467</v>
      </c>
      <c r="E4" s="3549">
        <v>92634.5</v>
      </c>
      <c r="F4" s="3549" t="s">
        <v>3208</v>
      </c>
      <c r="G4" s="3549" t="s">
        <v>3202</v>
      </c>
      <c r="H4" s="3549" t="s">
        <v>3209</v>
      </c>
      <c r="I4" s="3549" t="s">
        <v>1239</v>
      </c>
      <c r="J4" s="3550" t="s">
        <v>3210</v>
      </c>
      <c r="K4" s="3549" t="s">
        <v>3205</v>
      </c>
      <c r="L4" s="3549" t="s">
        <v>3213</v>
      </c>
      <c r="M4" s="3549">
        <v>7582.89</v>
      </c>
      <c r="N4" s="3549">
        <v>819</v>
      </c>
      <c r="O4" s="3549">
        <v>0.53</v>
      </c>
    </row>
    <row r="5" spans="1:15" ht="14.25">
      <c r="A5" s="3547" t="s">
        <v>3214</v>
      </c>
      <c r="B5" s="3547" t="s">
        <v>3198</v>
      </c>
      <c r="C5" s="3547" t="s">
        <v>3200</v>
      </c>
      <c r="D5" s="3547">
        <v>4000</v>
      </c>
      <c r="E5" s="3547">
        <v>18000</v>
      </c>
      <c r="F5" s="3547" t="s">
        <v>3215</v>
      </c>
      <c r="G5" s="3547" t="s">
        <v>3202</v>
      </c>
      <c r="H5" s="3547" t="s">
        <v>3203</v>
      </c>
      <c r="I5" s="3547" t="s">
        <v>1239</v>
      </c>
      <c r="J5" s="3548" t="s">
        <v>3216</v>
      </c>
      <c r="K5" s="3547" t="s">
        <v>3205</v>
      </c>
      <c r="L5" s="3547" t="s">
        <v>3217</v>
      </c>
      <c r="M5" s="3547">
        <v>1200</v>
      </c>
      <c r="N5" s="3547">
        <v>667</v>
      </c>
      <c r="O5" s="3547">
        <v>17.649999999999999</v>
      </c>
    </row>
    <row r="6" spans="1:15" ht="14.25">
      <c r="A6" s="3547" t="s">
        <v>3218</v>
      </c>
      <c r="B6" s="3547" t="s">
        <v>3198</v>
      </c>
      <c r="C6" s="3547" t="s">
        <v>3200</v>
      </c>
      <c r="D6" s="3547">
        <v>5034</v>
      </c>
      <c r="E6" s="3547">
        <v>6040.8</v>
      </c>
      <c r="F6" s="3547" t="s">
        <v>3219</v>
      </c>
      <c r="G6" s="3547" t="s">
        <v>3202</v>
      </c>
      <c r="H6" s="3547" t="s">
        <v>3220</v>
      </c>
      <c r="I6" s="3547" t="s">
        <v>1239</v>
      </c>
      <c r="J6" s="3548" t="s">
        <v>3221</v>
      </c>
      <c r="K6" s="3547" t="s">
        <v>3205</v>
      </c>
      <c r="L6" s="3547" t="s">
        <v>3222</v>
      </c>
      <c r="M6" s="3547">
        <v>604.08000000000004</v>
      </c>
      <c r="N6" s="3547">
        <v>1000</v>
      </c>
      <c r="O6" s="3547">
        <v>655.1</v>
      </c>
    </row>
    <row r="7" spans="1:15" ht="14.25">
      <c r="A7" s="3547" t="s">
        <v>3223</v>
      </c>
      <c r="B7" s="3547" t="s">
        <v>3198</v>
      </c>
      <c r="C7" s="3547" t="s">
        <v>3200</v>
      </c>
      <c r="D7" s="3547">
        <v>1333</v>
      </c>
      <c r="E7" s="3547">
        <v>1333</v>
      </c>
      <c r="F7" s="3547" t="s">
        <v>3224</v>
      </c>
      <c r="G7" s="3547" t="s">
        <v>3202</v>
      </c>
      <c r="H7" s="3547" t="s">
        <v>3203</v>
      </c>
      <c r="I7" s="3547" t="s">
        <v>1239</v>
      </c>
      <c r="J7" s="3548" t="s">
        <v>3225</v>
      </c>
      <c r="K7" s="3547" t="s">
        <v>3205</v>
      </c>
      <c r="L7" s="3547" t="s">
        <v>3226</v>
      </c>
      <c r="M7" s="3547">
        <v>122</v>
      </c>
      <c r="N7" s="3547">
        <v>915</v>
      </c>
      <c r="O7" s="3547">
        <v>0</v>
      </c>
    </row>
    <row r="8" spans="1:15" ht="14.25">
      <c r="A8" s="3547" t="s">
        <v>3227</v>
      </c>
      <c r="B8" s="3547" t="s">
        <v>3198</v>
      </c>
      <c r="C8" s="3547" t="s">
        <v>3200</v>
      </c>
      <c r="D8" s="3547">
        <v>4000</v>
      </c>
      <c r="E8" s="3547">
        <v>4000</v>
      </c>
      <c r="F8" s="3547" t="s">
        <v>3224</v>
      </c>
      <c r="G8" s="3547" t="s">
        <v>3228</v>
      </c>
      <c r="H8" s="3547" t="s">
        <v>3203</v>
      </c>
      <c r="I8" s="3547" t="s">
        <v>1239</v>
      </c>
      <c r="J8" s="3548" t="s">
        <v>3229</v>
      </c>
      <c r="K8" s="3547" t="s">
        <v>3205</v>
      </c>
      <c r="L8" s="3547" t="s">
        <v>3230</v>
      </c>
      <c r="M8" s="3547">
        <v>780</v>
      </c>
      <c r="N8" s="3547">
        <v>1950</v>
      </c>
      <c r="O8" s="3547">
        <v>0</v>
      </c>
    </row>
    <row r="9" spans="1:15" ht="14.25">
      <c r="A9" s="3547" t="s">
        <v>3231</v>
      </c>
      <c r="B9" s="3547" t="s">
        <v>3198</v>
      </c>
      <c r="C9" s="3547" t="s">
        <v>3200</v>
      </c>
      <c r="D9" s="3547">
        <v>1087</v>
      </c>
      <c r="E9" s="3547">
        <v>1739.2</v>
      </c>
      <c r="F9" s="3547" t="s">
        <v>3232</v>
      </c>
      <c r="G9" s="3547" t="s">
        <v>3228</v>
      </c>
      <c r="H9" s="3547" t="s">
        <v>3203</v>
      </c>
      <c r="I9" s="3547" t="s">
        <v>1239</v>
      </c>
      <c r="J9" s="3548" t="s">
        <v>3233</v>
      </c>
      <c r="K9" s="3547" t="s">
        <v>3205</v>
      </c>
      <c r="L9" s="3547" t="s">
        <v>3234</v>
      </c>
      <c r="M9" s="3547">
        <v>195</v>
      </c>
      <c r="N9" s="3547">
        <v>1121</v>
      </c>
      <c r="O9" s="3547">
        <v>0</v>
      </c>
    </row>
    <row r="10" spans="1:15" s="3551" customFormat="1" ht="14.25">
      <c r="A10" s="3549" t="s">
        <v>3235</v>
      </c>
      <c r="B10" s="3549" t="s">
        <v>3198</v>
      </c>
      <c r="C10" s="3549" t="s">
        <v>3200</v>
      </c>
      <c r="D10" s="3549">
        <v>14772</v>
      </c>
      <c r="E10" s="3549">
        <v>70905.600000000006</v>
      </c>
      <c r="F10" s="3549" t="s">
        <v>3236</v>
      </c>
      <c r="G10" s="3549" t="s">
        <v>3202</v>
      </c>
      <c r="H10" s="3549" t="s">
        <v>3209</v>
      </c>
      <c r="I10" s="3549" t="s">
        <v>1239</v>
      </c>
      <c r="J10" s="3550" t="s">
        <v>3237</v>
      </c>
      <c r="K10" s="3549" t="s">
        <v>3205</v>
      </c>
      <c r="L10" s="3549" t="s">
        <v>3238</v>
      </c>
      <c r="M10" s="3549">
        <v>5761.6</v>
      </c>
      <c r="N10" s="3549">
        <v>813</v>
      </c>
      <c r="O10" s="3549">
        <v>30.01</v>
      </c>
    </row>
    <row r="11" spans="1:15" ht="14.25">
      <c r="A11" s="3547" t="s">
        <v>3239</v>
      </c>
      <c r="B11" s="3547" t="s">
        <v>3198</v>
      </c>
      <c r="C11" s="3547" t="s">
        <v>3200</v>
      </c>
      <c r="D11" s="3547">
        <v>2000</v>
      </c>
      <c r="E11" s="3547">
        <v>3200</v>
      </c>
      <c r="F11" s="3547" t="s">
        <v>3240</v>
      </c>
      <c r="G11" s="3547" t="s">
        <v>3228</v>
      </c>
      <c r="H11" s="3547" t="s">
        <v>3241</v>
      </c>
      <c r="I11" s="3547" t="s">
        <v>1239</v>
      </c>
      <c r="J11" s="3548" t="s">
        <v>3233</v>
      </c>
      <c r="K11" s="3547" t="s">
        <v>3205</v>
      </c>
      <c r="L11" s="3547" t="s">
        <v>3234</v>
      </c>
      <c r="M11" s="3547">
        <v>195</v>
      </c>
      <c r="N11" s="3547">
        <v>609</v>
      </c>
      <c r="O11" s="3547">
        <v>0</v>
      </c>
    </row>
    <row r="12" spans="1:15" ht="14.25">
      <c r="A12" s="3547" t="s">
        <v>3293</v>
      </c>
      <c r="B12" s="3547" t="s">
        <v>3198</v>
      </c>
      <c r="C12" s="3547" t="s">
        <v>3200</v>
      </c>
      <c r="D12" s="3547">
        <v>44827</v>
      </c>
      <c r="E12" s="3547">
        <v>98619.4</v>
      </c>
      <c r="F12" s="3547" t="s">
        <v>3242</v>
      </c>
      <c r="G12" s="3547" t="s">
        <v>3202</v>
      </c>
      <c r="H12" s="3547" t="s">
        <v>3203</v>
      </c>
      <c r="I12" s="3547" t="s">
        <v>1239</v>
      </c>
      <c r="J12" s="3548" t="s">
        <v>3243</v>
      </c>
      <c r="K12" s="3547" t="s">
        <v>3205</v>
      </c>
      <c r="L12" s="3547" t="s">
        <v>3244</v>
      </c>
      <c r="M12" s="3547">
        <v>10086</v>
      </c>
      <c r="N12" s="3547">
        <v>1023</v>
      </c>
      <c r="O12" s="3547">
        <v>15.38</v>
      </c>
    </row>
    <row r="13" spans="1:15" ht="14.25">
      <c r="A13" s="3547" t="s">
        <v>3245</v>
      </c>
      <c r="B13" s="3547" t="s">
        <v>3198</v>
      </c>
      <c r="C13" s="3547" t="s">
        <v>3200</v>
      </c>
      <c r="D13" s="3547">
        <v>10667</v>
      </c>
      <c r="E13" s="3547">
        <v>11733.7</v>
      </c>
      <c r="F13" s="3547" t="s">
        <v>3246</v>
      </c>
      <c r="G13" s="3547" t="s">
        <v>3228</v>
      </c>
      <c r="H13" s="3547" t="s">
        <v>3247</v>
      </c>
      <c r="I13" s="3547" t="s">
        <v>1239</v>
      </c>
      <c r="J13" s="3548" t="s">
        <v>3248</v>
      </c>
      <c r="K13" s="3547" t="s">
        <v>3205</v>
      </c>
      <c r="L13" s="3547" t="s">
        <v>3249</v>
      </c>
      <c r="M13" s="3547">
        <v>1568</v>
      </c>
      <c r="N13" s="3547">
        <v>1336</v>
      </c>
      <c r="O13" s="3547">
        <v>15.29</v>
      </c>
    </row>
    <row r="14" spans="1:15" ht="14.25">
      <c r="A14" s="3547" t="s">
        <v>3250</v>
      </c>
      <c r="B14" s="3547" t="s">
        <v>3198</v>
      </c>
      <c r="C14" s="3547" t="s">
        <v>3200</v>
      </c>
      <c r="D14" s="3547">
        <v>18958</v>
      </c>
      <c r="E14" s="3547">
        <v>5687.4</v>
      </c>
      <c r="F14" s="3547" t="s">
        <v>3251</v>
      </c>
      <c r="G14" s="3547" t="s">
        <v>3202</v>
      </c>
      <c r="H14" s="3547" t="s">
        <v>3252</v>
      </c>
      <c r="I14" s="3547" t="s">
        <v>1239</v>
      </c>
      <c r="J14" s="3548" t="s">
        <v>3248</v>
      </c>
      <c r="K14" s="3547" t="s">
        <v>3205</v>
      </c>
      <c r="L14" s="3547" t="s">
        <v>3253</v>
      </c>
      <c r="M14" s="3547">
        <v>2844</v>
      </c>
      <c r="N14" s="3547">
        <v>5001</v>
      </c>
      <c r="O14" s="3547">
        <v>0</v>
      </c>
    </row>
    <row r="15" spans="1:15" ht="14.25">
      <c r="A15" s="3547" t="s">
        <v>3254</v>
      </c>
      <c r="B15" s="3547" t="s">
        <v>3198</v>
      </c>
      <c r="C15" s="3547" t="s">
        <v>3200</v>
      </c>
      <c r="D15" s="3547">
        <v>9898</v>
      </c>
      <c r="E15" s="3547">
        <v>10887.8</v>
      </c>
      <c r="F15" s="3547" t="s">
        <v>3246</v>
      </c>
      <c r="G15" s="3547" t="s">
        <v>3228</v>
      </c>
      <c r="H15" s="3547" t="s">
        <v>3247</v>
      </c>
      <c r="I15" s="3547" t="s">
        <v>1239</v>
      </c>
      <c r="J15" s="3548" t="s">
        <v>3255</v>
      </c>
      <c r="K15" s="3547" t="s">
        <v>3205</v>
      </c>
      <c r="L15" s="3547" t="s">
        <v>3249</v>
      </c>
      <c r="M15" s="3547">
        <v>1425.6</v>
      </c>
      <c r="N15" s="3547">
        <v>1309</v>
      </c>
      <c r="O15" s="3547">
        <v>12.94</v>
      </c>
    </row>
    <row r="16" spans="1:15" ht="14.25">
      <c r="A16" s="3547" t="s">
        <v>3254</v>
      </c>
      <c r="B16" s="3547" t="s">
        <v>3198</v>
      </c>
      <c r="C16" s="3547" t="s">
        <v>3200</v>
      </c>
      <c r="D16" s="3547">
        <v>17471</v>
      </c>
      <c r="E16" s="3547">
        <v>19218.099999999999</v>
      </c>
      <c r="F16" s="3547" t="s">
        <v>3246</v>
      </c>
      <c r="G16" s="3547" t="s">
        <v>3228</v>
      </c>
      <c r="H16" s="3547" t="s">
        <v>3247</v>
      </c>
      <c r="I16" s="3547" t="s">
        <v>1239</v>
      </c>
      <c r="J16" s="3548" t="s">
        <v>3255</v>
      </c>
      <c r="K16" s="3547" t="s">
        <v>3205</v>
      </c>
      <c r="L16" s="3547" t="s">
        <v>3256</v>
      </c>
      <c r="M16" s="3547">
        <v>3564.56</v>
      </c>
      <c r="N16" s="3547">
        <v>1855</v>
      </c>
      <c r="O16" s="3547">
        <v>60</v>
      </c>
    </row>
    <row r="17" spans="1:15" ht="14.25">
      <c r="A17" s="3547" t="s">
        <v>3257</v>
      </c>
      <c r="B17" s="3547" t="s">
        <v>3198</v>
      </c>
      <c r="C17" s="3547" t="s">
        <v>3200</v>
      </c>
      <c r="D17" s="3547">
        <v>9898</v>
      </c>
      <c r="E17" s="3547">
        <v>10887.8</v>
      </c>
      <c r="F17" s="3547" t="s">
        <v>3246</v>
      </c>
      <c r="G17" s="3547" t="s">
        <v>3228</v>
      </c>
      <c r="H17" s="3547" t="s">
        <v>3247</v>
      </c>
      <c r="I17" s="3547" t="s">
        <v>1239</v>
      </c>
      <c r="J17" s="3548" t="s">
        <v>3255</v>
      </c>
      <c r="K17" s="3547" t="s">
        <v>3205</v>
      </c>
      <c r="L17" s="3547" t="s">
        <v>3258</v>
      </c>
      <c r="M17" s="3547">
        <v>2019.6</v>
      </c>
      <c r="N17" s="3547">
        <v>1855</v>
      </c>
      <c r="O17" s="3547">
        <v>60</v>
      </c>
    </row>
    <row r="18" spans="1:15" ht="14.25">
      <c r="A18" s="3547" t="s">
        <v>3259</v>
      </c>
      <c r="B18" s="3547" t="s">
        <v>3198</v>
      </c>
      <c r="C18" s="3547" t="s">
        <v>3200</v>
      </c>
      <c r="D18" s="3547">
        <v>6266</v>
      </c>
      <c r="E18" s="3547">
        <v>9399</v>
      </c>
      <c r="F18" s="3547" t="s">
        <v>3260</v>
      </c>
      <c r="G18" s="3547" t="s">
        <v>3228</v>
      </c>
      <c r="H18" s="3547" t="s">
        <v>3203</v>
      </c>
      <c r="I18" s="3547" t="s">
        <v>1239</v>
      </c>
      <c r="J18" s="3548" t="s">
        <v>3255</v>
      </c>
      <c r="K18" s="3547" t="s">
        <v>3205</v>
      </c>
      <c r="L18" s="3547" t="s">
        <v>3261</v>
      </c>
      <c r="M18" s="3547">
        <v>2942.2</v>
      </c>
      <c r="N18" s="3547">
        <v>3130</v>
      </c>
      <c r="O18" s="3547">
        <v>123.57</v>
      </c>
    </row>
    <row r="19" spans="1:15" ht="14.25">
      <c r="A19" s="3547" t="s">
        <v>3245</v>
      </c>
      <c r="B19" s="3547" t="s">
        <v>3198</v>
      </c>
      <c r="C19" s="3547" t="s">
        <v>3200</v>
      </c>
      <c r="D19" s="3547">
        <v>13776</v>
      </c>
      <c r="E19" s="3547">
        <v>15153.6</v>
      </c>
      <c r="F19" s="3547" t="s">
        <v>3246</v>
      </c>
      <c r="G19" s="3547" t="s">
        <v>3228</v>
      </c>
      <c r="H19" s="3547" t="s">
        <v>3247</v>
      </c>
      <c r="I19" s="3547" t="s">
        <v>1239</v>
      </c>
      <c r="J19" s="3548" t="s">
        <v>3255</v>
      </c>
      <c r="K19" s="3547" t="s">
        <v>3205</v>
      </c>
      <c r="L19" s="3547" t="s">
        <v>3249</v>
      </c>
      <c r="M19" s="3547">
        <v>2871.74</v>
      </c>
      <c r="N19" s="3547">
        <v>1895</v>
      </c>
      <c r="O19" s="3547">
        <v>63.53</v>
      </c>
    </row>
    <row r="20" spans="1:15" ht="14.25">
      <c r="A20" s="3547" t="s">
        <v>3262</v>
      </c>
      <c r="B20" s="3547" t="s">
        <v>3198</v>
      </c>
      <c r="C20" s="3547" t="s">
        <v>3200</v>
      </c>
      <c r="D20" s="3547">
        <v>5335</v>
      </c>
      <c r="E20" s="3547">
        <v>5335</v>
      </c>
      <c r="F20" s="3547" t="s">
        <v>3263</v>
      </c>
      <c r="G20" s="3547" t="s">
        <v>3202</v>
      </c>
      <c r="H20" s="3547" t="s">
        <v>3247</v>
      </c>
      <c r="I20" s="3547" t="s">
        <v>1239</v>
      </c>
      <c r="J20" s="3548" t="s">
        <v>3264</v>
      </c>
      <c r="K20" s="3547" t="s">
        <v>3205</v>
      </c>
      <c r="L20" s="3547" t="s">
        <v>3265</v>
      </c>
      <c r="M20" s="3547">
        <v>1920</v>
      </c>
      <c r="N20" s="3547">
        <v>3599</v>
      </c>
      <c r="O20" s="3547">
        <v>0</v>
      </c>
    </row>
    <row r="21" spans="1:15" ht="14.25">
      <c r="A21" s="3547" t="s">
        <v>3266</v>
      </c>
      <c r="B21" s="3547" t="s">
        <v>3198</v>
      </c>
      <c r="C21" s="3547" t="s">
        <v>3200</v>
      </c>
      <c r="D21" s="3547">
        <v>16667</v>
      </c>
      <c r="E21" s="3547">
        <v>41667.5</v>
      </c>
      <c r="F21" s="3547" t="s">
        <v>3267</v>
      </c>
      <c r="G21" s="3547" t="s">
        <v>3202</v>
      </c>
      <c r="H21" s="3547" t="s">
        <v>3203</v>
      </c>
      <c r="I21" s="3547" t="s">
        <v>1239</v>
      </c>
      <c r="J21" s="3548" t="s">
        <v>3264</v>
      </c>
      <c r="K21" s="3547" t="s">
        <v>3205</v>
      </c>
      <c r="L21" s="3547" t="s">
        <v>3268</v>
      </c>
      <c r="M21" s="3547">
        <v>4250</v>
      </c>
      <c r="N21" s="3547">
        <v>1020</v>
      </c>
      <c r="O21" s="3547">
        <v>6.25</v>
      </c>
    </row>
    <row r="22" spans="1:15" ht="14.25">
      <c r="A22" s="3547" t="s">
        <v>3269</v>
      </c>
      <c r="B22" s="3547" t="s">
        <v>3198</v>
      </c>
      <c r="C22" s="3547" t="s">
        <v>3200</v>
      </c>
      <c r="D22" s="3547">
        <v>11198</v>
      </c>
      <c r="E22" s="3547">
        <v>22396</v>
      </c>
      <c r="F22" s="3547" t="s">
        <v>3270</v>
      </c>
      <c r="G22" s="3547" t="s">
        <v>3202</v>
      </c>
      <c r="H22" s="3547" t="s">
        <v>3203</v>
      </c>
      <c r="I22" s="3547" t="s">
        <v>1239</v>
      </c>
      <c r="J22" s="3548" t="s">
        <v>3264</v>
      </c>
      <c r="K22" s="3547" t="s">
        <v>3205</v>
      </c>
      <c r="L22" s="3547" t="s">
        <v>3271</v>
      </c>
      <c r="M22" s="3547">
        <v>2654.4</v>
      </c>
      <c r="N22" s="3547">
        <v>1185</v>
      </c>
      <c r="O22" s="3547">
        <v>21.54</v>
      </c>
    </row>
    <row r="23" spans="1:15" ht="14.25">
      <c r="A23" s="3547" t="s">
        <v>3266</v>
      </c>
      <c r="B23" s="3547" t="s">
        <v>3198</v>
      </c>
      <c r="C23" s="3547" t="s">
        <v>3200</v>
      </c>
      <c r="D23" s="3547">
        <v>16595</v>
      </c>
      <c r="E23" s="3547">
        <v>41487.5</v>
      </c>
      <c r="F23" s="3547" t="s">
        <v>3267</v>
      </c>
      <c r="G23" s="3547" t="s">
        <v>3202</v>
      </c>
      <c r="H23" s="3547" t="s">
        <v>3203</v>
      </c>
      <c r="I23" s="3547" t="s">
        <v>1239</v>
      </c>
      <c r="J23" s="3548" t="s">
        <v>3264</v>
      </c>
      <c r="K23" s="3547" t="s">
        <v>3205</v>
      </c>
      <c r="L23" s="3547" t="s">
        <v>3272</v>
      </c>
      <c r="M23" s="3547">
        <v>4231.3</v>
      </c>
      <c r="N23" s="3547">
        <v>1020</v>
      </c>
      <c r="O23" s="3547">
        <v>6.25</v>
      </c>
    </row>
    <row r="24" spans="1:15" ht="14.25">
      <c r="A24" s="3547" t="s">
        <v>3273</v>
      </c>
      <c r="B24" s="3547" t="s">
        <v>3198</v>
      </c>
      <c r="C24" s="3547" t="s">
        <v>3200</v>
      </c>
      <c r="D24" s="3547">
        <v>14046</v>
      </c>
      <c r="E24" s="3547">
        <v>5218.67</v>
      </c>
      <c r="F24" s="3547" t="s">
        <v>3274</v>
      </c>
      <c r="G24" s="3547" t="s">
        <v>3202</v>
      </c>
      <c r="H24" s="3547" t="s">
        <v>3275</v>
      </c>
      <c r="I24" s="3547" t="s">
        <v>1239</v>
      </c>
      <c r="J24" s="3548" t="s">
        <v>3276</v>
      </c>
      <c r="K24" s="3547" t="s">
        <v>3205</v>
      </c>
      <c r="L24" s="3547" t="s">
        <v>3253</v>
      </c>
      <c r="M24" s="3547">
        <v>1685.52</v>
      </c>
      <c r="N24" s="3547">
        <v>3230</v>
      </c>
      <c r="O24" s="3547">
        <v>0</v>
      </c>
    </row>
    <row r="25" spans="1:15" ht="14.25">
      <c r="A25" s="3547" t="s">
        <v>3277</v>
      </c>
      <c r="B25" s="3547" t="s">
        <v>3198</v>
      </c>
      <c r="C25" s="3547" t="s">
        <v>3200</v>
      </c>
      <c r="D25" s="3547">
        <v>13333.33</v>
      </c>
      <c r="E25" s="3547">
        <v>100000</v>
      </c>
      <c r="F25" s="3547" t="s">
        <v>3278</v>
      </c>
      <c r="G25" s="3547" t="s">
        <v>3202</v>
      </c>
      <c r="H25" s="3547" t="s">
        <v>1283</v>
      </c>
      <c r="I25" s="3547" t="s">
        <v>1239</v>
      </c>
      <c r="J25" s="3548" t="s">
        <v>3279</v>
      </c>
      <c r="K25" s="3547" t="s">
        <v>3205</v>
      </c>
      <c r="L25" s="3547" t="s">
        <v>3280</v>
      </c>
      <c r="M25" s="3547">
        <v>3500</v>
      </c>
      <c r="N25" s="3547">
        <v>350</v>
      </c>
      <c r="O25" s="3547">
        <v>12.9</v>
      </c>
    </row>
    <row r="26" spans="1:15" ht="14.25">
      <c r="A26" s="3547" t="s">
        <v>3281</v>
      </c>
      <c r="B26" s="3547" t="s">
        <v>3198</v>
      </c>
      <c r="C26" s="3547" t="s">
        <v>3200</v>
      </c>
      <c r="D26" s="3547">
        <v>10000</v>
      </c>
      <c r="E26" s="3547">
        <v>11000</v>
      </c>
      <c r="F26" s="3547" t="s">
        <v>3246</v>
      </c>
      <c r="G26" s="3547" t="s">
        <v>3202</v>
      </c>
      <c r="H26" s="3547" t="s">
        <v>3282</v>
      </c>
      <c r="I26" s="3547" t="s">
        <v>1239</v>
      </c>
      <c r="J26" s="3548" t="s">
        <v>3283</v>
      </c>
      <c r="K26" s="3547" t="s">
        <v>3205</v>
      </c>
      <c r="L26" s="3547" t="s">
        <v>3284</v>
      </c>
      <c r="M26" s="3547">
        <v>1260</v>
      </c>
      <c r="N26" s="3547">
        <v>1145</v>
      </c>
      <c r="O26" s="3547">
        <v>0</v>
      </c>
    </row>
    <row r="27" spans="1:15" ht="14.25">
      <c r="A27" s="3547" t="s">
        <v>3281</v>
      </c>
      <c r="B27" s="3547" t="s">
        <v>3198</v>
      </c>
      <c r="C27" s="3547" t="s">
        <v>3200</v>
      </c>
      <c r="D27" s="3547">
        <v>10000</v>
      </c>
      <c r="E27" s="3547">
        <v>11000</v>
      </c>
      <c r="F27" s="3547" t="s">
        <v>3246</v>
      </c>
      <c r="G27" s="3547" t="s">
        <v>3202</v>
      </c>
      <c r="H27" s="3547" t="s">
        <v>3282</v>
      </c>
      <c r="I27" s="3547" t="s">
        <v>1239</v>
      </c>
      <c r="J27" s="3548" t="s">
        <v>3283</v>
      </c>
      <c r="K27" s="3547" t="s">
        <v>3205</v>
      </c>
      <c r="L27" s="3547" t="s">
        <v>3285</v>
      </c>
      <c r="M27" s="3547">
        <v>1260</v>
      </c>
      <c r="N27" s="3547">
        <v>1145</v>
      </c>
      <c r="O27" s="3547">
        <v>0</v>
      </c>
    </row>
    <row r="28" spans="1:15" ht="14.25">
      <c r="A28" s="3547" t="s">
        <v>3281</v>
      </c>
      <c r="B28" s="3547" t="s">
        <v>3198</v>
      </c>
      <c r="C28" s="3547" t="s">
        <v>3200</v>
      </c>
      <c r="D28" s="3547">
        <v>10667</v>
      </c>
      <c r="E28" s="3547">
        <v>11733.7</v>
      </c>
      <c r="F28" s="3547" t="s">
        <v>3246</v>
      </c>
      <c r="G28" s="3547" t="s">
        <v>3202</v>
      </c>
      <c r="H28" s="3547" t="s">
        <v>3282</v>
      </c>
      <c r="I28" s="3547" t="s">
        <v>1239</v>
      </c>
      <c r="J28" s="3548" t="s">
        <v>3283</v>
      </c>
      <c r="K28" s="3547" t="s">
        <v>3205</v>
      </c>
      <c r="L28" s="3547" t="s">
        <v>3286</v>
      </c>
      <c r="M28" s="3547">
        <v>1328</v>
      </c>
      <c r="N28" s="3547">
        <v>1132</v>
      </c>
      <c r="O28" s="3547">
        <v>0</v>
      </c>
    </row>
    <row r="29" spans="1:15" ht="14.25">
      <c r="A29" s="3547" t="s">
        <v>3281</v>
      </c>
      <c r="B29" s="3547" t="s">
        <v>3198</v>
      </c>
      <c r="C29" s="3547" t="s">
        <v>3200</v>
      </c>
      <c r="D29" s="3547">
        <v>10667</v>
      </c>
      <c r="E29" s="3547">
        <v>11733.7</v>
      </c>
      <c r="F29" s="3547" t="s">
        <v>3246</v>
      </c>
      <c r="G29" s="3547" t="s">
        <v>3202</v>
      </c>
      <c r="H29" s="3547" t="s">
        <v>3282</v>
      </c>
      <c r="I29" s="3547" t="s">
        <v>1239</v>
      </c>
      <c r="J29" s="3548" t="s">
        <v>3283</v>
      </c>
      <c r="K29" s="3547" t="s">
        <v>3205</v>
      </c>
      <c r="L29" s="3547" t="s">
        <v>3287</v>
      </c>
      <c r="M29" s="3547">
        <v>1328</v>
      </c>
      <c r="N29" s="3547">
        <v>1132</v>
      </c>
      <c r="O29" s="3547">
        <v>0</v>
      </c>
    </row>
    <row r="30" spans="1:15" ht="14.25">
      <c r="A30" s="3547" t="s">
        <v>3288</v>
      </c>
      <c r="B30" s="3547" t="s">
        <v>3198</v>
      </c>
      <c r="C30" s="3547" t="s">
        <v>3200</v>
      </c>
      <c r="D30" s="3547">
        <v>2565</v>
      </c>
      <c r="E30" s="3547">
        <v>10260</v>
      </c>
      <c r="F30" s="3547" t="s">
        <v>3289</v>
      </c>
      <c r="G30" s="3547" t="s">
        <v>3202</v>
      </c>
      <c r="H30" s="3547" t="s">
        <v>3203</v>
      </c>
      <c r="I30" s="3547" t="s">
        <v>1239</v>
      </c>
      <c r="J30" s="3548" t="s">
        <v>3290</v>
      </c>
      <c r="K30" s="3547" t="s">
        <v>3205</v>
      </c>
      <c r="L30" s="3547" t="s">
        <v>3291</v>
      </c>
      <c r="M30" s="3547">
        <v>150</v>
      </c>
      <c r="N30" s="3547">
        <v>146</v>
      </c>
      <c r="O30" s="3547">
        <v>0</v>
      </c>
    </row>
  </sheetData>
  <mergeCells count="450">
    <mergeCell ref="N29"/>
    <mergeCell ref="O29"/>
    <mergeCell ref="A30"/>
    <mergeCell ref="B30"/>
    <mergeCell ref="C30"/>
    <mergeCell ref="D30"/>
    <mergeCell ref="E30"/>
    <mergeCell ref="F30"/>
    <mergeCell ref="G30"/>
    <mergeCell ref="H30"/>
    <mergeCell ref="I30"/>
    <mergeCell ref="J30"/>
    <mergeCell ref="K30"/>
    <mergeCell ref="L30"/>
    <mergeCell ref="M30"/>
    <mergeCell ref="N30"/>
    <mergeCell ref="O30"/>
    <mergeCell ref="I29"/>
    <mergeCell ref="J29"/>
    <mergeCell ref="K29"/>
    <mergeCell ref="L29"/>
    <mergeCell ref="M29"/>
    <mergeCell ref="A29"/>
    <mergeCell ref="B29"/>
    <mergeCell ref="C29"/>
    <mergeCell ref="D29"/>
    <mergeCell ref="E29"/>
    <mergeCell ref="F29"/>
    <mergeCell ref="G29"/>
    <mergeCell ref="H29"/>
    <mergeCell ref="N27"/>
    <mergeCell ref="O27"/>
    <mergeCell ref="A28"/>
    <mergeCell ref="B28"/>
    <mergeCell ref="C28"/>
    <mergeCell ref="D28"/>
    <mergeCell ref="E28"/>
    <mergeCell ref="F28"/>
    <mergeCell ref="G28"/>
    <mergeCell ref="H28"/>
    <mergeCell ref="I28"/>
    <mergeCell ref="J28"/>
    <mergeCell ref="K28"/>
    <mergeCell ref="L28"/>
    <mergeCell ref="M28"/>
    <mergeCell ref="N28"/>
    <mergeCell ref="O28"/>
    <mergeCell ref="I27"/>
    <mergeCell ref="J27"/>
    <mergeCell ref="K27"/>
    <mergeCell ref="L27"/>
    <mergeCell ref="M27"/>
    <mergeCell ref="A27"/>
    <mergeCell ref="B27"/>
    <mergeCell ref="C27"/>
    <mergeCell ref="D27"/>
    <mergeCell ref="E27"/>
    <mergeCell ref="F27"/>
    <mergeCell ref="G27"/>
    <mergeCell ref="H27"/>
    <mergeCell ref="N25"/>
    <mergeCell ref="O25"/>
    <mergeCell ref="A26"/>
    <mergeCell ref="B26"/>
    <mergeCell ref="C26"/>
    <mergeCell ref="D26"/>
    <mergeCell ref="E26"/>
    <mergeCell ref="F26"/>
    <mergeCell ref="G26"/>
    <mergeCell ref="H26"/>
    <mergeCell ref="I26"/>
    <mergeCell ref="J26"/>
    <mergeCell ref="K26"/>
    <mergeCell ref="L26"/>
    <mergeCell ref="M26"/>
    <mergeCell ref="N26"/>
    <mergeCell ref="O26"/>
    <mergeCell ref="I25"/>
    <mergeCell ref="J25"/>
    <mergeCell ref="K25"/>
    <mergeCell ref="L25"/>
    <mergeCell ref="M25"/>
    <mergeCell ref="A25"/>
    <mergeCell ref="B25"/>
    <mergeCell ref="C25"/>
    <mergeCell ref="D25"/>
    <mergeCell ref="E25"/>
    <mergeCell ref="F25"/>
    <mergeCell ref="G25"/>
    <mergeCell ref="H25"/>
    <mergeCell ref="N23"/>
    <mergeCell ref="O23"/>
    <mergeCell ref="A24"/>
    <mergeCell ref="B24"/>
    <mergeCell ref="C24"/>
    <mergeCell ref="D24"/>
    <mergeCell ref="E24"/>
    <mergeCell ref="F24"/>
    <mergeCell ref="G24"/>
    <mergeCell ref="H24"/>
    <mergeCell ref="I24"/>
    <mergeCell ref="J24"/>
    <mergeCell ref="K24"/>
    <mergeCell ref="L24"/>
    <mergeCell ref="M24"/>
    <mergeCell ref="N24"/>
    <mergeCell ref="O24"/>
    <mergeCell ref="I23"/>
    <mergeCell ref="J23"/>
    <mergeCell ref="K23"/>
    <mergeCell ref="L23"/>
    <mergeCell ref="M23"/>
    <mergeCell ref="A23"/>
    <mergeCell ref="B23"/>
    <mergeCell ref="C23"/>
    <mergeCell ref="D23"/>
    <mergeCell ref="E23"/>
    <mergeCell ref="F23"/>
    <mergeCell ref="G23"/>
    <mergeCell ref="H23"/>
    <mergeCell ref="N21"/>
    <mergeCell ref="O21"/>
    <mergeCell ref="A22"/>
    <mergeCell ref="B22"/>
    <mergeCell ref="C22"/>
    <mergeCell ref="D22"/>
    <mergeCell ref="E22"/>
    <mergeCell ref="F22"/>
    <mergeCell ref="G22"/>
    <mergeCell ref="H22"/>
    <mergeCell ref="I22"/>
    <mergeCell ref="J22"/>
    <mergeCell ref="K22"/>
    <mergeCell ref="L22"/>
    <mergeCell ref="M22"/>
    <mergeCell ref="N22"/>
    <mergeCell ref="O22"/>
    <mergeCell ref="I21"/>
    <mergeCell ref="J21"/>
    <mergeCell ref="K21"/>
    <mergeCell ref="L21"/>
    <mergeCell ref="M21"/>
    <mergeCell ref="A21"/>
    <mergeCell ref="B21"/>
    <mergeCell ref="C21"/>
    <mergeCell ref="D21"/>
    <mergeCell ref="E21"/>
    <mergeCell ref="F21"/>
    <mergeCell ref="G21"/>
    <mergeCell ref="H21"/>
    <mergeCell ref="N19"/>
    <mergeCell ref="O19"/>
    <mergeCell ref="A20"/>
    <mergeCell ref="B20"/>
    <mergeCell ref="C20"/>
    <mergeCell ref="D20"/>
    <mergeCell ref="E20"/>
    <mergeCell ref="F20"/>
    <mergeCell ref="G20"/>
    <mergeCell ref="H20"/>
    <mergeCell ref="I20"/>
    <mergeCell ref="J20"/>
    <mergeCell ref="K20"/>
    <mergeCell ref="L20"/>
    <mergeCell ref="M20"/>
    <mergeCell ref="N20"/>
    <mergeCell ref="O20"/>
    <mergeCell ref="I19"/>
    <mergeCell ref="J19"/>
    <mergeCell ref="K19"/>
    <mergeCell ref="L19"/>
    <mergeCell ref="M19"/>
    <mergeCell ref="A19"/>
    <mergeCell ref="B19"/>
    <mergeCell ref="C19"/>
    <mergeCell ref="D19"/>
    <mergeCell ref="E19"/>
    <mergeCell ref="F19"/>
    <mergeCell ref="G19"/>
    <mergeCell ref="H19"/>
    <mergeCell ref="N17"/>
    <mergeCell ref="O17"/>
    <mergeCell ref="A18"/>
    <mergeCell ref="B18"/>
    <mergeCell ref="C18"/>
    <mergeCell ref="D18"/>
    <mergeCell ref="E18"/>
    <mergeCell ref="F18"/>
    <mergeCell ref="G18"/>
    <mergeCell ref="H18"/>
    <mergeCell ref="I18"/>
    <mergeCell ref="J18"/>
    <mergeCell ref="K18"/>
    <mergeCell ref="L18"/>
    <mergeCell ref="M18"/>
    <mergeCell ref="N18"/>
    <mergeCell ref="O18"/>
    <mergeCell ref="I17"/>
    <mergeCell ref="J17"/>
    <mergeCell ref="K17"/>
    <mergeCell ref="L17"/>
    <mergeCell ref="M17"/>
    <mergeCell ref="A17"/>
    <mergeCell ref="B17"/>
    <mergeCell ref="C17"/>
    <mergeCell ref="D17"/>
    <mergeCell ref="E17"/>
    <mergeCell ref="F17"/>
    <mergeCell ref="G17"/>
    <mergeCell ref="H17"/>
    <mergeCell ref="N15"/>
    <mergeCell ref="O15"/>
    <mergeCell ref="A16"/>
    <mergeCell ref="B16"/>
    <mergeCell ref="C16"/>
    <mergeCell ref="D16"/>
    <mergeCell ref="E16"/>
    <mergeCell ref="F16"/>
    <mergeCell ref="G16"/>
    <mergeCell ref="H16"/>
    <mergeCell ref="I16"/>
    <mergeCell ref="J16"/>
    <mergeCell ref="K16"/>
    <mergeCell ref="L16"/>
    <mergeCell ref="M16"/>
    <mergeCell ref="N16"/>
    <mergeCell ref="O16"/>
    <mergeCell ref="I15"/>
    <mergeCell ref="J15"/>
    <mergeCell ref="K15"/>
    <mergeCell ref="L15"/>
    <mergeCell ref="M15"/>
    <mergeCell ref="A15"/>
    <mergeCell ref="B15"/>
    <mergeCell ref="C15"/>
    <mergeCell ref="D15"/>
    <mergeCell ref="E15"/>
    <mergeCell ref="F15"/>
    <mergeCell ref="G15"/>
    <mergeCell ref="H15"/>
    <mergeCell ref="N13"/>
    <mergeCell ref="O13"/>
    <mergeCell ref="A14"/>
    <mergeCell ref="B14"/>
    <mergeCell ref="C14"/>
    <mergeCell ref="D14"/>
    <mergeCell ref="E14"/>
    <mergeCell ref="F14"/>
    <mergeCell ref="G14"/>
    <mergeCell ref="H14"/>
    <mergeCell ref="I14"/>
    <mergeCell ref="J14"/>
    <mergeCell ref="K14"/>
    <mergeCell ref="L14"/>
    <mergeCell ref="M14"/>
    <mergeCell ref="N14"/>
    <mergeCell ref="O14"/>
    <mergeCell ref="I13"/>
    <mergeCell ref="J13"/>
    <mergeCell ref="K13"/>
    <mergeCell ref="L13"/>
    <mergeCell ref="M13"/>
    <mergeCell ref="A13"/>
    <mergeCell ref="B13"/>
    <mergeCell ref="C13"/>
    <mergeCell ref="D13"/>
    <mergeCell ref="E13"/>
    <mergeCell ref="F13"/>
    <mergeCell ref="G13"/>
    <mergeCell ref="H13"/>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I11"/>
    <mergeCell ref="J11"/>
    <mergeCell ref="K11"/>
    <mergeCell ref="L11"/>
    <mergeCell ref="M11"/>
    <mergeCell ref="A11"/>
    <mergeCell ref="B11"/>
    <mergeCell ref="C11"/>
    <mergeCell ref="D11"/>
    <mergeCell ref="E11"/>
    <mergeCell ref="F11"/>
    <mergeCell ref="G11"/>
    <mergeCell ref="H11"/>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I9"/>
    <mergeCell ref="J9"/>
    <mergeCell ref="K9"/>
    <mergeCell ref="L9"/>
    <mergeCell ref="M9"/>
    <mergeCell ref="A9"/>
    <mergeCell ref="B9"/>
    <mergeCell ref="C9"/>
    <mergeCell ref="D9"/>
    <mergeCell ref="E9"/>
    <mergeCell ref="F9"/>
    <mergeCell ref="G9"/>
    <mergeCell ref="H9"/>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I7"/>
    <mergeCell ref="J7"/>
    <mergeCell ref="K7"/>
    <mergeCell ref="L7"/>
    <mergeCell ref="M7"/>
    <mergeCell ref="A7"/>
    <mergeCell ref="B7"/>
    <mergeCell ref="C7"/>
    <mergeCell ref="D7"/>
    <mergeCell ref="E7"/>
    <mergeCell ref="F7"/>
    <mergeCell ref="G7"/>
    <mergeCell ref="H7"/>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I5"/>
    <mergeCell ref="J5"/>
    <mergeCell ref="K5"/>
    <mergeCell ref="L5"/>
    <mergeCell ref="M5"/>
    <mergeCell ref="A5"/>
    <mergeCell ref="B5"/>
    <mergeCell ref="C5"/>
    <mergeCell ref="D5"/>
    <mergeCell ref="E5"/>
    <mergeCell ref="F5"/>
    <mergeCell ref="G5"/>
    <mergeCell ref="H5"/>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I3"/>
    <mergeCell ref="J3"/>
    <mergeCell ref="K3"/>
    <mergeCell ref="L3"/>
    <mergeCell ref="M3"/>
    <mergeCell ref="A3"/>
    <mergeCell ref="B3"/>
    <mergeCell ref="C3"/>
    <mergeCell ref="D3"/>
    <mergeCell ref="E3"/>
    <mergeCell ref="F3"/>
    <mergeCell ref="G3"/>
    <mergeCell ref="H3"/>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I1"/>
    <mergeCell ref="J1"/>
    <mergeCell ref="K1"/>
    <mergeCell ref="L1"/>
    <mergeCell ref="M1"/>
    <mergeCell ref="A1"/>
    <mergeCell ref="B1"/>
    <mergeCell ref="C1"/>
    <mergeCell ref="D1"/>
    <mergeCell ref="E1"/>
    <mergeCell ref="F1"/>
    <mergeCell ref="G1"/>
    <mergeCell ref="H1"/>
  </mergeCells>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
  <sheetViews>
    <sheetView topLeftCell="A19" workbookViewId="0">
      <selection activeCell="L47" sqref="L47"/>
    </sheetView>
  </sheetViews>
  <sheetFormatPr defaultRowHeight="13.5"/>
  <sheetData>
    <row r="39" spans="1:1">
      <c r="A39" s="3206" t="s">
        <v>3306</v>
      </c>
    </row>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30" t="str">
        <f>IF(项目基本情况!B9="房地产市场价值","估价结果一览表","结果表-2")</f>
        <v>结果表-2</v>
      </c>
      <c r="B1" s="3230"/>
      <c r="C1" s="3230"/>
      <c r="D1" s="3230"/>
      <c r="E1" s="3230"/>
      <c r="F1" s="3230"/>
      <c r="G1" s="3230"/>
      <c r="H1" s="3230"/>
      <c r="I1" s="3230"/>
    </row>
    <row r="2" spans="1:9" ht="30" customHeight="1" thickTop="1">
      <c r="A2" s="3231" t="s">
        <v>1546</v>
      </c>
      <c r="B2" s="3231" t="s">
        <v>1547</v>
      </c>
      <c r="C2" s="3231" t="s">
        <v>1548</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
      <c r="A3" s="3225"/>
      <c r="B3" s="3225"/>
      <c r="C3" s="3225"/>
      <c r="D3" s="963" t="s">
        <v>1543</v>
      </c>
      <c r="E3" s="963" t="s">
        <v>1549</v>
      </c>
      <c r="F3" s="963" t="s">
        <v>1543</v>
      </c>
      <c r="G3" s="963" t="s">
        <v>1544</v>
      </c>
      <c r="H3" s="963" t="s">
        <v>1543</v>
      </c>
      <c r="I3" s="963" t="s">
        <v>1544</v>
      </c>
    </row>
    <row r="4" spans="1:9" ht="15">
      <c r="A4" s="1659" t="str">
        <f>项目基本情况!S2</f>
        <v>房地产</v>
      </c>
      <c r="B4" s="963">
        <f>项目基本情况!C17</f>
        <v>171669.99</v>
      </c>
      <c r="C4" s="963">
        <f>项目基本情况!C18</f>
        <v>57307</v>
      </c>
      <c r="D4" s="963">
        <f ca="1">结果表!D118</f>
        <v>13429</v>
      </c>
      <c r="E4" s="963">
        <f ca="1">结果表!E118</f>
        <v>782</v>
      </c>
      <c r="F4" s="963">
        <f ca="1">结果表!F118</f>
        <v>78549</v>
      </c>
      <c r="G4" s="963">
        <f ca="1">结果表!G118</f>
        <v>4576</v>
      </c>
      <c r="H4" s="963">
        <f ca="1">结果表!H118</f>
        <v>91978</v>
      </c>
      <c r="I4" s="963">
        <f ca="1">结果表!I118</f>
        <v>5358</v>
      </c>
    </row>
    <row r="5" spans="1:9" ht="30" customHeight="1">
      <c r="A5" s="3225" t="s">
        <v>1545</v>
      </c>
      <c r="B5" s="3225"/>
      <c r="C5" s="3225"/>
      <c r="D5" s="3226" t="str">
        <f ca="1">结果表!D119</f>
        <v>壹亿叁仟肆佰贰拾玖万元整</v>
      </c>
      <c r="E5" s="3226"/>
      <c r="F5" s="3226" t="str">
        <f ca="1">结果表!F119</f>
        <v>柒亿捌仟伍佰肆拾玖万元整</v>
      </c>
      <c r="G5" s="3226"/>
      <c r="H5" s="3226" t="str">
        <f ca="1">结果表!H119</f>
        <v>玖亿壹仟玖佰柒拾捌万元整</v>
      </c>
      <c r="I5" s="3226"/>
    </row>
    <row r="6" spans="1:9" ht="15.75">
      <c r="A6" s="3224" t="str">
        <f>结果表!A120</f>
        <v>估价师知悉的法定优先受偿款</v>
      </c>
      <c r="B6" s="3224"/>
      <c r="C6" s="3224"/>
      <c r="D6" s="3224">
        <f>结果表!D120</f>
        <v>0</v>
      </c>
      <c r="E6" s="3224"/>
      <c r="F6" s="3224"/>
      <c r="G6" s="3224"/>
      <c r="H6" s="3224"/>
      <c r="I6" s="3224"/>
    </row>
    <row r="7" spans="1:9" ht="15">
      <c r="A7" s="3225" t="s">
        <v>1545</v>
      </c>
      <c r="B7" s="3225"/>
      <c r="C7" s="3225"/>
      <c r="D7" s="3227" t="str">
        <f>结果表!D121</f>
        <v>零元整</v>
      </c>
      <c r="E7" s="3228"/>
      <c r="F7" s="3228"/>
      <c r="G7" s="3228"/>
      <c r="H7" s="3228"/>
      <c r="I7" s="3229"/>
    </row>
    <row r="8" spans="1:9" ht="15.75">
      <c r="A8" s="3224" t="str">
        <f>结果表!A122</f>
        <v>房地产抵押价值</v>
      </c>
      <c r="B8" s="3224"/>
      <c r="C8" s="3224"/>
      <c r="D8" s="3224">
        <f ca="1">结果表!D122</f>
        <v>91978</v>
      </c>
      <c r="E8" s="3224"/>
      <c r="F8" s="3224"/>
      <c r="G8" s="3224"/>
      <c r="H8" s="3224"/>
      <c r="I8" s="3224"/>
    </row>
    <row r="9" spans="1:9" ht="15">
      <c r="A9" s="3225" t="s">
        <v>1545</v>
      </c>
      <c r="B9" s="3225"/>
      <c r="C9" s="3225"/>
      <c r="D9" s="3226" t="str">
        <f ca="1">结果表!D123</f>
        <v>玖亿壹仟玖佰柒拾捌万元整</v>
      </c>
      <c r="E9" s="3226"/>
      <c r="F9" s="3226"/>
      <c r="G9" s="3226"/>
      <c r="H9" s="3226"/>
      <c r="I9" s="3226"/>
    </row>
    <row r="10" spans="1:9" ht="15.75">
      <c r="A10" s="3224" t="str">
        <f>结果表!A124</f>
        <v/>
      </c>
      <c r="B10" s="3224"/>
      <c r="C10" s="3224"/>
      <c r="D10" s="3224" t="str">
        <f>结果表!D124</f>
        <v>——</v>
      </c>
      <c r="E10" s="3224"/>
      <c r="F10" s="3224"/>
      <c r="G10" s="3224"/>
      <c r="H10" s="3224"/>
      <c r="I10" s="3224"/>
    </row>
    <row r="11" spans="1:9" ht="15">
      <c r="A11" s="3225" t="s">
        <v>1545</v>
      </c>
      <c r="B11" s="3225"/>
      <c r="C11" s="3225"/>
      <c r="D11" s="3226" t="e">
        <f>结果表!D125</f>
        <v>#VALUE!</v>
      </c>
      <c r="E11" s="3226"/>
      <c r="F11" s="3226"/>
      <c r="G11" s="3226"/>
      <c r="H11" s="3226"/>
      <c r="I11" s="3226"/>
    </row>
    <row r="12" spans="1:9" ht="15.75">
      <c r="A12" s="3224" t="str">
        <f>结果表!A126</f>
        <v/>
      </c>
      <c r="B12" s="3224"/>
      <c r="C12" s="3224"/>
      <c r="D12" s="3224" t="str">
        <f>结果表!D126</f>
        <v>——</v>
      </c>
      <c r="E12" s="3224"/>
      <c r="F12" s="3224"/>
      <c r="G12" s="3224"/>
      <c r="H12" s="3224"/>
      <c r="I12" s="3224"/>
    </row>
    <row r="13" spans="1:9" ht="15.75" thickBot="1">
      <c r="A13" s="3221" t="s">
        <v>1545</v>
      </c>
      <c r="B13" s="3221"/>
      <c r="C13" s="3221"/>
      <c r="D13" s="3222" t="e">
        <f>结果表!D127</f>
        <v>#VALUE!</v>
      </c>
      <c r="E13" s="3222"/>
      <c r="F13" s="3222"/>
      <c r="G13" s="3222"/>
      <c r="H13" s="3222"/>
      <c r="I13" s="3222"/>
    </row>
    <row r="14" spans="1:9" ht="15" thickTop="1">
      <c r="A14" s="3223" t="s">
        <v>1550</v>
      </c>
      <c r="B14" s="3223"/>
      <c r="C14" s="3223"/>
      <c r="D14" s="3223"/>
      <c r="E14" s="3223"/>
      <c r="F14" s="3223"/>
      <c r="G14" s="3223"/>
      <c r="H14" s="3223"/>
      <c r="I14" s="3223"/>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38" t="s">
        <v>1567</v>
      </c>
      <c r="B1" s="3238"/>
      <c r="C1" s="3238"/>
      <c r="D1" s="3238"/>
    </row>
    <row r="2" spans="1:4" ht="18">
      <c r="A2" s="3239" t="s">
        <v>1551</v>
      </c>
      <c r="B2" s="3239"/>
      <c r="C2" s="3239"/>
      <c r="D2" s="3239"/>
    </row>
    <row r="3" spans="1:4" ht="18.75">
      <c r="A3" s="1663" t="s">
        <v>1552</v>
      </c>
      <c r="B3" s="1663" t="s">
        <v>1553</v>
      </c>
      <c r="C3" s="1663" t="s">
        <v>1554</v>
      </c>
      <c r="D3" s="1663" t="s">
        <v>1555</v>
      </c>
    </row>
    <row r="4" spans="1:4" ht="56.25" customHeight="1">
      <c r="A4" s="1664" t="str">
        <f>项目基本情况!B4</f>
        <v>王鹏</v>
      </c>
      <c r="B4" s="1665">
        <f ca="1">项目基本情况!C4</f>
        <v>0</v>
      </c>
      <c r="C4" s="1666"/>
      <c r="D4" s="1667" t="s">
        <v>1556</v>
      </c>
    </row>
    <row r="5" spans="1:4" ht="56.25" customHeight="1">
      <c r="A5" s="1664" t="str">
        <f>项目基本情况!D4</f>
        <v>郑燚</v>
      </c>
      <c r="B5" s="1665">
        <f ca="1">项目基本情况!E4</f>
        <v>1120070131</v>
      </c>
      <c r="C5" s="1668"/>
      <c r="D5" s="1667" t="s">
        <v>1556</v>
      </c>
    </row>
    <row r="6" spans="1:4" ht="18">
      <c r="A6" s="3239" t="s">
        <v>1557</v>
      </c>
      <c r="B6" s="3239"/>
      <c r="C6" s="3239"/>
      <c r="D6" s="3239"/>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40" t="s">
        <v>1560</v>
      </c>
      <c r="B11" s="3232"/>
      <c r="C11" s="3232"/>
      <c r="D11" s="3232"/>
    </row>
    <row r="12" spans="1:4" ht="15.75">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7"/>
      <c r="C12" s="3237"/>
      <c r="D12" s="3237"/>
    </row>
    <row r="13" spans="1:4" ht="30" customHeight="1">
      <c r="A13" s="32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7"/>
      <c r="C13" s="3237"/>
      <c r="D13" s="3237"/>
    </row>
    <row r="14" spans="1:4" ht="15.75" customHeight="1">
      <c r="A14" s="3232" t="str">
        <f>IF(项目基本情况!B8="抵押","4.本次评估估价师所知悉的法定优先受偿款情况说明如下：","——")</f>
        <v>4.本次评估估价师所知悉的法定优先受偿款情况说明如下：</v>
      </c>
      <c r="B14" s="3237"/>
      <c r="C14" s="3237"/>
      <c r="D14" s="3237"/>
    </row>
    <row r="15" spans="1:4" ht="42" customHeight="1">
      <c r="A15" s="32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2"/>
      <c r="C15" s="3232"/>
      <c r="D15" s="3232"/>
    </row>
    <row r="16" spans="1:4" ht="30" customHeight="1">
      <c r="A16" s="3234" t="s">
        <v>1561</v>
      </c>
      <c r="B16" s="3234"/>
      <c r="C16" s="3234"/>
      <c r="D16" s="3234"/>
    </row>
    <row r="17" spans="1:4" ht="144" customHeight="1">
      <c r="A17" s="3234" t="s">
        <v>1562</v>
      </c>
      <c r="B17" s="3234"/>
      <c r="C17" s="3234"/>
      <c r="D17" s="3234"/>
    </row>
    <row r="18" spans="1:4" ht="15.75" customHeight="1">
      <c r="A18" s="3232" t="str">
        <f>IF(项目基本情况!B8="抵押",结果表!K120,"——")</f>
        <v>故，本次评估不存在估价师知悉的法定优先受偿款</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2"/>
      <c r="C20" s="3232"/>
      <c r="D20" s="3232"/>
    </row>
    <row r="21" spans="1:4" ht="57.75" customHeight="1">
      <c r="A21" s="32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5"/>
      <c r="C21" s="3235"/>
      <c r="D21" s="3235"/>
    </row>
    <row r="22" spans="1:4" ht="18.75" customHeight="1">
      <c r="A22" s="3236" t="s">
        <v>1563</v>
      </c>
      <c r="B22" s="3236"/>
      <c r="C22" s="3236"/>
      <c r="D22" s="3236"/>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33">
        <v>42551</v>
      </c>
      <c r="D31" s="32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46" t="s">
        <v>1574</v>
      </c>
      <c r="B15" s="3241" t="s">
        <v>136</v>
      </c>
      <c r="C15" s="3242"/>
    </row>
    <row r="16" spans="1:7" ht="13.5">
      <c r="A16" s="3247"/>
      <c r="B16" s="3241" t="s">
        <v>69</v>
      </c>
      <c r="C16" s="3242"/>
    </row>
    <row r="17" spans="1:3" ht="13.5">
      <c r="A17" s="3247"/>
      <c r="B17" s="3244" t="s">
        <v>1575</v>
      </c>
      <c r="C17" s="1686" t="s">
        <v>1574</v>
      </c>
    </row>
    <row r="18" spans="1:3" ht="13.5">
      <c r="A18" s="3247"/>
      <c r="B18" s="3244"/>
      <c r="C18" s="1686" t="s">
        <v>1576</v>
      </c>
    </row>
    <row r="19" spans="1:3" ht="13.5">
      <c r="A19" s="3247"/>
      <c r="B19" s="3244"/>
      <c r="C19" s="1686" t="s">
        <v>1577</v>
      </c>
    </row>
    <row r="20" spans="1:3" ht="13.5">
      <c r="A20" s="3248"/>
      <c r="B20" s="3243" t="s">
        <v>1578</v>
      </c>
      <c r="C20" s="3242"/>
    </row>
    <row r="21" spans="1:3" ht="13.5">
      <c r="A21" s="1687" t="s">
        <v>1579</v>
      </c>
      <c r="B21" s="1688"/>
      <c r="C21" s="1689"/>
    </row>
    <row r="22" spans="1:3" ht="13.5">
      <c r="A22" s="3245" t="s">
        <v>1580</v>
      </c>
      <c r="B22" s="3243" t="s">
        <v>1581</v>
      </c>
      <c r="C22" s="3242"/>
    </row>
    <row r="23" spans="1:3" ht="13.5">
      <c r="A23" s="3245"/>
      <c r="B23" s="3243" t="s">
        <v>1582</v>
      </c>
      <c r="C23" s="3242"/>
    </row>
    <row r="24" spans="1:3" ht="13.5">
      <c r="A24" s="3245"/>
      <c r="B24" s="3243" t="s">
        <v>1583</v>
      </c>
      <c r="C24" s="3242"/>
    </row>
    <row r="25" spans="1:3" ht="13.5">
      <c r="A25" s="3245"/>
      <c r="B25" s="3244" t="s">
        <v>1584</v>
      </c>
      <c r="C25" s="1686" t="s">
        <v>1585</v>
      </c>
    </row>
    <row r="26" spans="1:3" ht="13.5">
      <c r="A26" s="3245"/>
      <c r="B26" s="3244"/>
      <c r="C26" s="1686" t="s">
        <v>1586</v>
      </c>
    </row>
    <row r="27" spans="1:3" ht="13.5">
      <c r="A27" s="3245"/>
      <c r="B27" s="3244"/>
      <c r="C27" s="1686" t="s">
        <v>1587</v>
      </c>
    </row>
    <row r="28" spans="1:3" ht="13.5">
      <c r="A28" s="3245"/>
      <c r="B28" s="3244"/>
      <c r="C28" s="1686" t="s">
        <v>1588</v>
      </c>
    </row>
    <row r="29" spans="1:3" ht="13.5">
      <c r="A29" s="3245"/>
      <c r="B29" s="3244"/>
      <c r="C29" s="1686" t="s">
        <v>1589</v>
      </c>
    </row>
    <row r="30" spans="1:3" ht="13.5">
      <c r="A30" s="3245"/>
      <c r="B30" s="3244"/>
      <c r="C30" s="1686" t="s">
        <v>1590</v>
      </c>
    </row>
    <row r="31" spans="1:3" ht="13.5">
      <c r="A31" s="3245"/>
      <c r="B31" s="3244"/>
      <c r="C31" s="1686" t="s">
        <v>1591</v>
      </c>
    </row>
    <row r="32" spans="1:3" ht="13.5">
      <c r="A32" s="3245"/>
      <c r="B32" s="3244"/>
      <c r="C32" s="1686" t="s">
        <v>1592</v>
      </c>
    </row>
    <row r="33" spans="1:3" ht="13.5">
      <c r="A33" s="3245"/>
      <c r="B33" s="3244"/>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2821</v>
      </c>
      <c r="B2" s="2531">
        <f ca="1">TODAY()</f>
        <v>44669</v>
      </c>
      <c r="C2" s="2532" t="s">
        <v>2822</v>
      </c>
      <c r="D2" s="2532"/>
      <c r="E2" s="2532"/>
      <c r="F2" s="2528"/>
      <c r="G2" s="2528"/>
      <c r="H2" s="2528"/>
    </row>
    <row r="3" spans="1:8" ht="24" customHeight="1">
      <c r="A3" s="2533" t="s">
        <v>2823</v>
      </c>
      <c r="B3" s="2534" t="s">
        <v>2824</v>
      </c>
      <c r="C3" s="2534" t="s">
        <v>2825</v>
      </c>
      <c r="D3" s="2535" t="s">
        <v>2826</v>
      </c>
      <c r="E3" s="2536" t="s">
        <v>2827</v>
      </c>
      <c r="F3" s="1443" t="s">
        <v>2828</v>
      </c>
      <c r="G3" s="2534" t="s">
        <v>2825</v>
      </c>
      <c r="H3" s="2535" t="s">
        <v>2829</v>
      </c>
    </row>
    <row r="4" spans="1:8" ht="24" customHeight="1">
      <c r="A4" s="1443" t="s">
        <v>2830</v>
      </c>
      <c r="B4" s="1443">
        <f ca="1">IF(C4&lt;B2,"已过期",1119970066)</f>
        <v>1119970066</v>
      </c>
      <c r="C4" s="2537">
        <v>44876</v>
      </c>
      <c r="D4" s="2538" t="str">
        <f ca="1">A4&amp;"（注册号："&amp;B4&amp;"）"</f>
        <v>梁津（注册号：1119970066）</v>
      </c>
      <c r="E4" s="2539" t="s">
        <v>2830</v>
      </c>
      <c r="F4" s="1443">
        <f ca="1">IF(G4&lt;B2,"已过期",96010014)</f>
        <v>96010014</v>
      </c>
      <c r="G4" s="2540">
        <v>47118</v>
      </c>
      <c r="H4" s="2541" t="str">
        <f ca="1">E4&amp;"（注册号："&amp;F4&amp;"）"</f>
        <v>梁津（注册号：96010014）</v>
      </c>
    </row>
    <row r="5" spans="1:8" ht="24" customHeight="1">
      <c r="A5" s="1443" t="s">
        <v>2831</v>
      </c>
      <c r="B5" s="1443">
        <f ca="1">IF(C5&lt;B2,"已过期",1119970111)</f>
        <v>1119970111</v>
      </c>
      <c r="C5" s="2537">
        <v>44876</v>
      </c>
      <c r="D5" s="2538" t="str">
        <f t="shared" ref="D5:D15" ca="1" si="0">A5&amp;"（注册号："&amp;B5&amp;"）"</f>
        <v>叶凌（注册号：1119970111）</v>
      </c>
      <c r="E5" s="2539" t="s">
        <v>2831</v>
      </c>
      <c r="F5" s="1443">
        <f ca="1">IF(G5&lt;B2,"已过期",94010078)</f>
        <v>94010078</v>
      </c>
      <c r="G5" s="2540">
        <v>46387</v>
      </c>
      <c r="H5" s="2541" t="str">
        <f t="shared" ref="H5:H16" ca="1" si="1">E5&amp;"（注册号："&amp;F5&amp;"）"</f>
        <v>叶凌（注册号：94010078）</v>
      </c>
    </row>
    <row r="6" spans="1:8" ht="24" customHeight="1">
      <c r="A6" s="1443" t="s">
        <v>2832</v>
      </c>
      <c r="B6" s="1443" t="str">
        <f ca="1">IF(C6&lt;B2,"已过期",1120050019)</f>
        <v>已过期</v>
      </c>
      <c r="C6" s="2537">
        <v>44395</v>
      </c>
      <c r="D6" s="2538" t="str">
        <f t="shared" ca="1" si="0"/>
        <v>王鹏（注册号：已过期）</v>
      </c>
      <c r="E6" s="2539" t="s">
        <v>2832</v>
      </c>
      <c r="F6" s="1443">
        <f ca="1">IF(G6&lt;B2,"已过期",2002110030)</f>
        <v>2002110030</v>
      </c>
      <c r="G6" s="2540">
        <v>46387</v>
      </c>
      <c r="H6" s="2541" t="str">
        <f t="shared" ca="1" si="1"/>
        <v>王鹏（注册号：2002110030）</v>
      </c>
    </row>
    <row r="7" spans="1:8" ht="24" customHeight="1">
      <c r="A7" s="1443" t="s">
        <v>2833</v>
      </c>
      <c r="B7" s="1443">
        <f ca="1">IF(C7&lt;B2,"已过期",1120000080)</f>
        <v>1120000080</v>
      </c>
      <c r="C7" s="2537">
        <v>44876</v>
      </c>
      <c r="D7" s="2538" t="str">
        <f t="shared" ca="1" si="0"/>
        <v>欧红伟（注册号：1120000080）</v>
      </c>
      <c r="E7" s="2539" t="s">
        <v>2833</v>
      </c>
      <c r="F7" s="1443">
        <f ca="1">IF(G7&lt;B2,"已过期",2000110082)</f>
        <v>2000110082</v>
      </c>
      <c r="G7" s="2540">
        <v>46387</v>
      </c>
      <c r="H7" s="2541" t="str">
        <f t="shared" ca="1" si="1"/>
        <v>欧红伟（注册号：2000110082）</v>
      </c>
    </row>
    <row r="8" spans="1:8" ht="24" customHeight="1">
      <c r="A8" s="1443" t="s">
        <v>2834</v>
      </c>
      <c r="B8" s="1443">
        <f ca="1">IF(C8&lt;B2,"已过期",1419970001)</f>
        <v>1419970001</v>
      </c>
      <c r="C8" s="2537">
        <v>44899</v>
      </c>
      <c r="D8" s="2538" t="str">
        <f t="shared" ca="1" si="0"/>
        <v>吴薇（注册号：1419970001）</v>
      </c>
      <c r="E8" s="2539" t="s">
        <v>2834</v>
      </c>
      <c r="F8" s="1443">
        <f ca="1">IF(G8&lt;B2,"已过期",2002110125)</f>
        <v>2002110125</v>
      </c>
      <c r="G8" s="2540">
        <v>47118</v>
      </c>
      <c r="H8" s="2541" t="str">
        <f t="shared" ca="1" si="1"/>
        <v>吴薇（注册号：2002110125）</v>
      </c>
    </row>
    <row r="9" spans="1:8" ht="24" customHeight="1">
      <c r="A9" s="1443" t="s">
        <v>2835</v>
      </c>
      <c r="B9" s="1443" t="str">
        <f ca="1">IF(C9&lt;B2,"已过期",1120060040)</f>
        <v>已过期</v>
      </c>
      <c r="C9" s="2542">
        <v>44554</v>
      </c>
      <c r="D9" s="2538" t="str">
        <f t="shared" ca="1" si="0"/>
        <v>陈颖（注册号：已过期）</v>
      </c>
      <c r="E9" s="2539" t="s">
        <v>2835</v>
      </c>
      <c r="F9" s="1443">
        <f ca="1">IF(G9&lt;B2,"已过期",2004110096)</f>
        <v>2004110096</v>
      </c>
      <c r="G9" s="2540">
        <v>47118</v>
      </c>
      <c r="H9" s="2541" t="str">
        <f t="shared" ca="1" si="1"/>
        <v>陈颖（注册号：2004110096）</v>
      </c>
    </row>
    <row r="10" spans="1:8" ht="24" customHeight="1">
      <c r="A10" s="1443" t="s">
        <v>2836</v>
      </c>
      <c r="B10" s="1443">
        <f ca="1">IF(C10&lt;B2,"已过期",1120100036)</f>
        <v>1120100036</v>
      </c>
      <c r="C10" s="2542">
        <v>44675</v>
      </c>
      <c r="D10" s="2538" t="str">
        <f t="shared" ca="1" si="0"/>
        <v>崔锴（注册号：1120100036）</v>
      </c>
      <c r="E10" s="2539" t="s">
        <v>2836</v>
      </c>
      <c r="F10" s="1443">
        <f ca="1">IF(G10&lt;B2,"已过期",2010110070)</f>
        <v>2010110070</v>
      </c>
      <c r="G10" s="2540">
        <v>47907</v>
      </c>
      <c r="H10" s="2541" t="str">
        <f t="shared" ca="1" si="1"/>
        <v>崔锴（注册号：2010110070）</v>
      </c>
    </row>
    <row r="11" spans="1:8" ht="24" customHeight="1">
      <c r="A11" s="1443" t="s">
        <v>2837</v>
      </c>
      <c r="B11" s="1443">
        <f ca="1">IF(C11&lt;B2,"已过期",1120070131)</f>
        <v>1120070131</v>
      </c>
      <c r="C11" s="2537">
        <v>44849</v>
      </c>
      <c r="D11" s="2538" t="str">
        <f t="shared" ca="1" si="0"/>
        <v>郑燚（注册号：1120070131）</v>
      </c>
      <c r="E11" s="2539" t="s">
        <v>2837</v>
      </c>
      <c r="F11" s="1443">
        <f ca="1">IF(G11&lt;B2,"已过期",2014110011)</f>
        <v>2014110011</v>
      </c>
      <c r="G11" s="2540">
        <v>49302</v>
      </c>
      <c r="H11" s="2541" t="str">
        <f t="shared" ca="1" si="1"/>
        <v>郑燚（注册号：2014110011）</v>
      </c>
    </row>
    <row r="12" spans="1:8" ht="24" customHeight="1">
      <c r="A12" s="1443" t="s">
        <v>2838</v>
      </c>
      <c r="B12" s="1443">
        <f ca="1">IF(C12&lt;B2,"已过期",1120040230)</f>
        <v>1120040230</v>
      </c>
      <c r="C12" s="2542">
        <v>44864</v>
      </c>
      <c r="D12" s="2538" t="str">
        <f t="shared" ca="1" si="0"/>
        <v>苏海（注册号：1120040230）</v>
      </c>
      <c r="E12" s="2539" t="s">
        <v>2838</v>
      </c>
      <c r="F12" s="1443">
        <f ca="1">IF(G12&lt;B2,"已过期",98030020)</f>
        <v>98030020</v>
      </c>
      <c r="G12" s="2540">
        <v>47118</v>
      </c>
      <c r="H12" s="2541" t="str">
        <f t="shared" ca="1" si="1"/>
        <v>苏海（注册号：98030020）</v>
      </c>
    </row>
    <row r="13" spans="1:8" ht="24" customHeight="1">
      <c r="A13" s="1443" t="s">
        <v>2839</v>
      </c>
      <c r="B13" s="1443" t="str">
        <f ca="1">IF(C13&lt;B2,"已过期",1120020033)</f>
        <v>已过期</v>
      </c>
      <c r="C13" s="2537">
        <v>44339</v>
      </c>
      <c r="D13" s="2538" t="str">
        <f t="shared" ca="1" si="0"/>
        <v>刘敬东（注册号：已过期）</v>
      </c>
      <c r="E13" s="2539" t="s">
        <v>2839</v>
      </c>
      <c r="F13" s="1443">
        <f ca="1">IF(G13&lt;B2,"已过期",2000110137)</f>
        <v>2000110137</v>
      </c>
      <c r="G13" s="2540">
        <v>46387</v>
      </c>
      <c r="H13" s="2541" t="str">
        <f t="shared" ca="1" si="1"/>
        <v>刘敬东（注册号：2000110137）</v>
      </c>
    </row>
    <row r="14" spans="1:8" ht="24" customHeight="1">
      <c r="A14" s="1443" t="s">
        <v>2840</v>
      </c>
      <c r="B14" s="1443">
        <f ca="1">IF(C14&lt;B2,"已过期",1119980106)</f>
        <v>1119980106</v>
      </c>
      <c r="C14" s="2542">
        <v>44969</v>
      </c>
      <c r="D14" s="2538" t="str">
        <f t="shared" ca="1" si="0"/>
        <v>刘俊财（注册号：1119980106）</v>
      </c>
      <c r="E14" s="2539" t="s">
        <v>2840</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2841</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49" t="s">
        <v>2842</v>
      </c>
      <c r="B17" s="3249"/>
      <c r="C17" s="3249"/>
      <c r="D17" s="3249"/>
      <c r="E17" s="3249"/>
      <c r="F17" s="3249"/>
      <c r="G17" s="3249"/>
      <c r="H17" s="3249"/>
    </row>
    <row r="18" spans="1:8" ht="24" customHeight="1">
      <c r="A18" s="3250" t="s">
        <v>2843</v>
      </c>
      <c r="B18" s="3250"/>
      <c r="C18" s="3250"/>
      <c r="D18" s="2535"/>
      <c r="E18" s="3251" t="s">
        <v>2844</v>
      </c>
      <c r="F18" s="3250"/>
      <c r="G18" s="3250"/>
    </row>
    <row r="19" spans="1:8" s="2546" customFormat="1" ht="24" customHeight="1">
      <c r="A19" s="2545" t="s">
        <v>2845</v>
      </c>
      <c r="B19" s="2534" t="s">
        <v>2846</v>
      </c>
      <c r="C19" s="2534" t="s">
        <v>2825</v>
      </c>
      <c r="D19" s="2535"/>
      <c r="E19" s="2539" t="s">
        <v>2845</v>
      </c>
      <c r="F19" s="2534" t="s">
        <v>2846</v>
      </c>
      <c r="G19" s="2534" t="s">
        <v>2825</v>
      </c>
    </row>
    <row r="20" spans="1:8" s="2546" customFormat="1" ht="24" customHeight="1">
      <c r="A20" s="2547" t="s">
        <v>2847</v>
      </c>
      <c r="B20" s="2547" t="s">
        <v>2848</v>
      </c>
      <c r="C20" s="2540">
        <v>44820</v>
      </c>
      <c r="D20" s="2548"/>
      <c r="E20" s="2549" t="s">
        <v>2849</v>
      </c>
      <c r="F20" s="2547" t="s">
        <v>2850</v>
      </c>
      <c r="G20" s="2550">
        <v>44377</v>
      </c>
    </row>
    <row r="21" spans="1:8" s="2546" customFormat="1" ht="24" customHeight="1">
      <c r="A21" s="2547"/>
      <c r="B21" s="2547"/>
      <c r="C21" s="2551"/>
      <c r="D21" s="2552"/>
      <c r="E21" s="2549" t="s">
        <v>2851</v>
      </c>
      <c r="F21" s="2553" t="s">
        <v>2852</v>
      </c>
      <c r="G21" s="2554">
        <v>44012</v>
      </c>
    </row>
    <row r="22" spans="1:8" ht="24" customHeight="1">
      <c r="C22" s="2555"/>
      <c r="D22" s="2555"/>
      <c r="E22" s="2556"/>
      <c r="F22" s="2557"/>
      <c r="G22" s="2558"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2022-04-18T05:12:41Z</dcterms:modified>
</cp:coreProperties>
</file>