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570" windowHeight="1140" tabRatio="875" firstSheet="14"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别墅" sheetId="70"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r:id="rId42"/>
    <sheet name="土地案例" sheetId="68" r:id="rId43"/>
    <sheet name="Sheet4" sheetId="71" r:id="rId44"/>
  </sheets>
  <externalReferences>
    <externalReference r:id="rId45"/>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6" hidden="1">'不动产比较法-别墅'!$A$1:$L$49</definedName>
    <definedName name="_xlnm._FilterDatabase" localSheetId="38" hidden="1">'不动产比较法-仓储'!$A$1:$L$37</definedName>
    <definedName name="_xlnm._FilterDatabase" localSheetId="37"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6">'不动产比较法-别墅'!$B$88:$M$88</definedName>
    <definedName name="住宅朝向">'不动产比较法-住宅'!$B$88:$M$88</definedName>
    <definedName name="住宅房型" localSheetId="36">'不动产比较法-别墅'!$B$118:$M$118</definedName>
    <definedName name="住宅房型">'不动产比较法-住宅'!$B$118:$M$118</definedName>
    <definedName name="住宅公共部分装修" localSheetId="36">'不动产比较法-别墅'!$B$109:$M$109</definedName>
    <definedName name="住宅公共部分装修">'不动产比较法-住宅'!$B$109:$M$109</definedName>
    <definedName name="住宅基础设施水平" localSheetId="36">'不动产比较法-别墅'!$B$116:$M$116</definedName>
    <definedName name="住宅基础设施水平">'不动产比较法-住宅'!$B$116:$M$116</definedName>
    <definedName name="住宅建筑结构" localSheetId="36">'不动产比较法-别墅'!$B$105:$M$105</definedName>
    <definedName name="住宅建筑结构">'不动产比较法-住宅'!$B$105:$M$105</definedName>
    <definedName name="住宅建筑类型" localSheetId="36">'不动产比较法-别墅'!$B$100:$M$100</definedName>
    <definedName name="住宅建筑类型">'不动产比较法-住宅'!$B$100:$M$100</definedName>
    <definedName name="住宅建筑品质" localSheetId="36">'不动产比较法-别墅'!$B$107:$M$107</definedName>
    <definedName name="住宅建筑品质">'不动产比较法-住宅'!$B$107:$M$107</definedName>
    <definedName name="住宅交易情况" localSheetId="36">'不动产比较法-别墅'!$A$61:$M$61</definedName>
    <definedName name="住宅交易情况">'不动产比较法-住宅'!$A$61:$M$61</definedName>
    <definedName name="住宅楼层" localSheetId="36">'不动产比较法-别墅'!$B$86:$M$86</definedName>
    <definedName name="住宅楼层">'不动产比较法-住宅'!$B$86:$M$86</definedName>
    <definedName name="住宅内部装修" localSheetId="36">'不动产比较法-别墅'!$B$122:$M$122</definedName>
    <definedName name="住宅内部装修">'不动产比较法-住宅'!$B$122:$M$122</definedName>
    <definedName name="住宅物业管理" localSheetId="36">'不动产比较法-别墅'!$B$114:$M$114</definedName>
    <definedName name="住宅物业管理">'不动产比较法-住宅'!$B$114:$M$114</definedName>
    <definedName name="住宅用途" localSheetId="36">'不动产比较法-别墅'!$B$63:$M$63</definedName>
    <definedName name="住宅用途">'不动产比较法-住宅'!$B$63:$M$63</definedName>
    <definedName name="住宅主力户型面积" localSheetId="36">'不动产比较法-别墅'!$B$120:$M$120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27" i="68" l="1"/>
  <c r="A6" i="1"/>
  <c r="A7" i="1"/>
  <c r="A8" i="1"/>
  <c r="G1" i="15"/>
  <c r="M15" i="3"/>
  <c r="G21" i="6"/>
  <c r="E21" i="6"/>
  <c r="K8" i="1"/>
  <c r="C1" i="65"/>
  <c r="N1" i="65"/>
  <c r="B43" i="1"/>
  <c r="B41" i="1"/>
  <c r="F32" i="15"/>
  <c r="M8" i="1"/>
  <c r="T4" i="1"/>
  <c r="BQ13" i="3"/>
  <c r="BQ14" i="3"/>
  <c r="BQ15" i="3"/>
  <c r="AL16"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AN16"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I13" i="3"/>
  <c r="F19" i="6"/>
  <c r="E19" i="6"/>
  <c r="K14" i="3"/>
  <c r="F20" i="6"/>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21" i="6"/>
  <c r="S8" i="1"/>
  <c r="K19" i="6"/>
  <c r="S6" i="1"/>
  <c r="K20" i="6"/>
  <c r="S7" i="1"/>
  <c r="A9" i="1"/>
  <c r="S9" i="1"/>
  <c r="A10" i="1"/>
  <c r="S10" i="1"/>
  <c r="A11" i="1"/>
  <c r="S11" i="1"/>
  <c r="A12" i="1"/>
  <c r="S12" i="1"/>
  <c r="A13" i="1"/>
  <c r="S13" i="1"/>
  <c r="S16" i="1"/>
  <c r="T8" i="1"/>
  <c r="F15" i="15"/>
  <c r="F17" i="15"/>
  <c r="F18" i="15"/>
  <c r="F20" i="15"/>
  <c r="H1" i="65"/>
  <c r="B22" i="1"/>
  <c r="C2" i="65"/>
  <c r="F23" i="15"/>
  <c r="F21" i="15"/>
  <c r="F28" i="15"/>
  <c r="B2" i="1"/>
  <c r="C42" i="1"/>
  <c r="C28" i="15"/>
  <c r="F33" i="15"/>
  <c r="BM13" i="3"/>
  <c r="BN13" i="3"/>
  <c r="BO13" i="3"/>
  <c r="BP13" i="3"/>
  <c r="BL13" i="3"/>
  <c r="AZ13" i="3"/>
  <c r="BM14" i="3"/>
  <c r="BN14" i="3"/>
  <c r="BO14" i="3"/>
  <c r="BP14" i="3"/>
  <c r="BL14" i="3"/>
  <c r="AZ14" i="3"/>
  <c r="BM15" i="3"/>
  <c r="BN15" i="3"/>
  <c r="BO15" i="3"/>
  <c r="BP15" i="3"/>
  <c r="BL15" i="3"/>
  <c r="AZ15" i="3"/>
  <c r="AD16"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1" i="6"/>
  <c r="L21" i="6"/>
  <c r="M21" i="6"/>
  <c r="I21" i="6"/>
  <c r="H21" i="6"/>
  <c r="R21" i="6"/>
  <c r="R8" i="1"/>
  <c r="B52" i="1"/>
  <c r="F34" i="15"/>
  <c r="G19" i="4"/>
  <c r="F8" i="1"/>
  <c r="M47" i="15"/>
  <c r="J50" i="15"/>
  <c r="J51" i="15"/>
  <c r="L46" i="15"/>
  <c r="D15" i="66"/>
  <c r="G15" i="66"/>
  <c r="C15" i="66"/>
  <c r="B15" i="66"/>
  <c r="C106" i="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19" i="6"/>
  <c r="D20" i="6"/>
  <c r="D22" i="6"/>
  <c r="D23" i="6"/>
  <c r="D24" i="6"/>
  <c r="D25" i="6"/>
  <c r="D26" i="6"/>
  <c r="D27" i="6"/>
  <c r="D28" i="6"/>
  <c r="BN5" i="3"/>
  <c r="BP5" i="3"/>
  <c r="G29" i="6"/>
  <c r="E29" i="6"/>
  <c r="D29" i="6"/>
  <c r="D30" i="6"/>
  <c r="D31" i="6"/>
  <c r="I6" i="6"/>
  <c r="C13" i="39"/>
  <c r="F13" i="39"/>
  <c r="AA13" i="39"/>
  <c r="B84" i="39"/>
  <c r="F14" i="39"/>
  <c r="AA14" i="39"/>
  <c r="B86" i="39"/>
  <c r="F15" i="39"/>
  <c r="AA15" i="39"/>
  <c r="B88" i="39"/>
  <c r="F16" i="39"/>
  <c r="AA16" i="39"/>
  <c r="F17" i="39"/>
  <c r="AA17" i="39"/>
  <c r="F19" i="39"/>
  <c r="AA19" i="39"/>
  <c r="F21" i="39"/>
  <c r="AA21" i="39"/>
  <c r="F23" i="39"/>
  <c r="AA23" i="39"/>
  <c r="F25" i="39"/>
  <c r="AA25" i="39"/>
  <c r="F27" i="39"/>
  <c r="AA27"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F41" i="39"/>
  <c r="AA41" i="39"/>
  <c r="F42" i="39"/>
  <c r="AA42" i="39"/>
  <c r="F43" i="39"/>
  <c r="AA43" i="39"/>
  <c r="F44" i="39"/>
  <c r="AA44" i="39"/>
  <c r="B129" i="39"/>
  <c r="F45" i="39"/>
  <c r="AA45" i="39"/>
  <c r="B131" i="39"/>
  <c r="F46" i="39"/>
  <c r="AA46" i="39"/>
  <c r="B133" i="39"/>
  <c r="F47" i="39"/>
  <c r="AA47" i="39"/>
  <c r="R47" i="21"/>
  <c r="C7" i="21"/>
  <c r="C58" i="21"/>
  <c r="D58" i="21"/>
  <c r="E58" i="21"/>
  <c r="F58" i="21"/>
  <c r="G58" i="21"/>
  <c r="H58" i="21"/>
  <c r="I58" i="21"/>
  <c r="J58" i="21"/>
  <c r="K58" i="21"/>
  <c r="L58" i="21"/>
  <c r="M58" i="21"/>
  <c r="N58" i="21"/>
  <c r="O58" i="21"/>
  <c r="F7" i="21"/>
  <c r="AA7" i="21"/>
  <c r="F8" i="21"/>
  <c r="AA8" i="21"/>
  <c r="C63" i="21"/>
  <c r="F9" i="21"/>
  <c r="AA9" i="21"/>
  <c r="F10" i="21"/>
  <c r="AA10" i="21"/>
  <c r="D69" i="21"/>
  <c r="C11" i="21"/>
  <c r="F11" i="21"/>
  <c r="AA11" i="21"/>
  <c r="B70" i="21"/>
  <c r="F12" i="21"/>
  <c r="AA12" i="21"/>
  <c r="B72" i="21"/>
  <c r="F13" i="21"/>
  <c r="AA13" i="21"/>
  <c r="B74" i="21"/>
  <c r="F14" i="21"/>
  <c r="AA14" i="21"/>
  <c r="F15" i="21"/>
  <c r="AA15" i="21"/>
  <c r="F17" i="21"/>
  <c r="AA17" i="21"/>
  <c r="F19" i="21"/>
  <c r="AA19" i="21"/>
  <c r="F21" i="21"/>
  <c r="AA21"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R47" i="70"/>
  <c r="C7" i="70"/>
  <c r="C58" i="70"/>
  <c r="D58" i="70"/>
  <c r="E58" i="70"/>
  <c r="F58" i="70"/>
  <c r="G58" i="70"/>
  <c r="H58" i="70"/>
  <c r="I58" i="70"/>
  <c r="J58" i="70"/>
  <c r="K58" i="70"/>
  <c r="L58" i="70"/>
  <c r="M58" i="70"/>
  <c r="N58" i="70"/>
  <c r="O58" i="70"/>
  <c r="F7" i="70"/>
  <c r="AA7" i="70"/>
  <c r="F8" i="70"/>
  <c r="AA8" i="70"/>
  <c r="C63" i="70"/>
  <c r="F9" i="70"/>
  <c r="AA9" i="70"/>
  <c r="F10" i="70"/>
  <c r="AA10" i="70"/>
  <c r="D69" i="70"/>
  <c r="C11" i="70"/>
  <c r="F11" i="70"/>
  <c r="AA11" i="70"/>
  <c r="B70" i="70"/>
  <c r="F12" i="70"/>
  <c r="AA12" i="70"/>
  <c r="B72" i="70"/>
  <c r="F13" i="70"/>
  <c r="AA13" i="70"/>
  <c r="B74" i="70"/>
  <c r="F14" i="70"/>
  <c r="AA14" i="70"/>
  <c r="F15" i="70"/>
  <c r="AA15" i="70"/>
  <c r="F17" i="70"/>
  <c r="AA17" i="70"/>
  <c r="F19" i="70"/>
  <c r="AA19" i="70"/>
  <c r="F21" i="70"/>
  <c r="AA21" i="70"/>
  <c r="F23" i="70"/>
  <c r="AA23" i="70"/>
  <c r="F25" i="70"/>
  <c r="AA25" i="70"/>
  <c r="F26" i="70"/>
  <c r="AA26" i="70"/>
  <c r="B90" i="70"/>
  <c r="F27" i="70"/>
  <c r="AA27" i="70"/>
  <c r="B92" i="70"/>
  <c r="F28" i="70"/>
  <c r="AA28" i="70"/>
  <c r="B94" i="70"/>
  <c r="F29" i="70"/>
  <c r="AA29" i="70"/>
  <c r="B96" i="70"/>
  <c r="F30" i="70"/>
  <c r="AA30" i="70"/>
  <c r="B98" i="70"/>
  <c r="F31" i="70"/>
  <c r="AA31" i="70"/>
  <c r="F32" i="70"/>
  <c r="AA32" i="70"/>
  <c r="C33" i="70"/>
  <c r="F33" i="70"/>
  <c r="AA33" i="70"/>
  <c r="F34" i="70"/>
  <c r="AA34" i="70"/>
  <c r="F35" i="70"/>
  <c r="AA35" i="70"/>
  <c r="F36" i="70"/>
  <c r="AA36" i="70"/>
  <c r="D113" i="70"/>
  <c r="E113" i="70"/>
  <c r="F113" i="70"/>
  <c r="G113" i="70"/>
  <c r="F37" i="70"/>
  <c r="AA37" i="70"/>
  <c r="F38" i="70"/>
  <c r="AA38" i="70"/>
  <c r="F39" i="70"/>
  <c r="AA39" i="70"/>
  <c r="F40" i="70"/>
  <c r="AA40" i="70"/>
  <c r="F41" i="70"/>
  <c r="AA41" i="70"/>
  <c r="F42" i="70"/>
  <c r="AA42" i="70"/>
  <c r="F43" i="70"/>
  <c r="AA43" i="70"/>
  <c r="B126" i="70"/>
  <c r="F44" i="70"/>
  <c r="AA44" i="70"/>
  <c r="B128" i="70"/>
  <c r="F45" i="70"/>
  <c r="AA45" i="70"/>
  <c r="B130" i="70"/>
  <c r="F46" i="70"/>
  <c r="AA46" i="70"/>
  <c r="R48" i="70"/>
  <c r="T47" i="70"/>
  <c r="H7" i="70"/>
  <c r="AB7" i="70"/>
  <c r="H8" i="70"/>
  <c r="AB8" i="70"/>
  <c r="H9" i="70"/>
  <c r="AB9" i="70"/>
  <c r="H10" i="70"/>
  <c r="AB10" i="70"/>
  <c r="H11" i="70"/>
  <c r="AB11"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T48" i="70"/>
  <c r="V47" i="70"/>
  <c r="J7" i="70"/>
  <c r="AC7" i="70"/>
  <c r="J8" i="70"/>
  <c r="AC8" i="70"/>
  <c r="J9" i="70"/>
  <c r="AC9" i="70"/>
  <c r="J10" i="70"/>
  <c r="AC10" i="70"/>
  <c r="J11" i="70"/>
  <c r="AC11"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3" i="70"/>
  <c r="AC33"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V48" i="70"/>
  <c r="R49" i="70"/>
  <c r="C49" i="70"/>
  <c r="B3" i="70"/>
  <c r="D3" i="70"/>
  <c r="B2" i="70"/>
  <c r="D10" i="12"/>
  <c r="K6" i="1"/>
  <c r="M6" i="1"/>
  <c r="O6" i="1"/>
  <c r="P6" i="1"/>
  <c r="K7" i="1"/>
  <c r="M7"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c r="E21" i="12"/>
  <c r="C21" i="12"/>
  <c r="D22" i="12"/>
  <c r="C22" i="12"/>
  <c r="C20" i="12"/>
  <c r="E6" i="6"/>
  <c r="E22" i="12"/>
  <c r="F23" i="12"/>
  <c r="F24" i="12"/>
  <c r="B24" i="1"/>
  <c r="F29" i="12"/>
  <c r="Q16" i="1"/>
  <c r="F33" i="12"/>
  <c r="F25" i="12"/>
  <c r="C25" i="12"/>
  <c r="C34" i="12"/>
  <c r="D33" i="12"/>
  <c r="C7" i="35"/>
  <c r="C48" i="35"/>
  <c r="D48" i="35"/>
  <c r="E48" i="35"/>
  <c r="F48" i="35"/>
  <c r="G48" i="35"/>
  <c r="H48" i="35"/>
  <c r="I48" i="35"/>
  <c r="J48" i="35"/>
  <c r="K48" i="35"/>
  <c r="L48" i="35"/>
  <c r="M48" i="35"/>
  <c r="N48" i="35"/>
  <c r="O48" i="35"/>
  <c r="F7" i="35"/>
  <c r="AA7" i="35"/>
  <c r="F8" i="35"/>
  <c r="AA8" i="35"/>
  <c r="C53" i="35"/>
  <c r="F9" i="35"/>
  <c r="AA9" i="35"/>
  <c r="C26" i="35"/>
  <c r="C79" i="35"/>
  <c r="F26" i="35"/>
  <c r="AA26" i="35"/>
  <c r="D87" i="35"/>
  <c r="E87" i="35"/>
  <c r="F87" i="35"/>
  <c r="G87" i="35"/>
  <c r="F29" i="35"/>
  <c r="AA29" i="35"/>
  <c r="R37" i="35"/>
  <c r="F10" i="35"/>
  <c r="AA10" i="35"/>
  <c r="B57" i="35"/>
  <c r="F11" i="35"/>
  <c r="AA11" i="35"/>
  <c r="B59" i="35"/>
  <c r="F12" i="35"/>
  <c r="AA12" i="35"/>
  <c r="B61" i="35"/>
  <c r="F13" i="35"/>
  <c r="AA13" i="35"/>
  <c r="F14" i="35"/>
  <c r="AA14" i="35"/>
  <c r="F16" i="35"/>
  <c r="AA16" i="35"/>
  <c r="F18" i="35"/>
  <c r="AA18" i="35"/>
  <c r="F20" i="35"/>
  <c r="AA20" i="35"/>
  <c r="F22" i="35"/>
  <c r="AA22" i="35"/>
  <c r="B73" i="35"/>
  <c r="F23" i="35"/>
  <c r="AA23" i="35"/>
  <c r="B75" i="35"/>
  <c r="F24" i="35"/>
  <c r="AA24" i="35"/>
  <c r="B77" i="35"/>
  <c r="F25" i="35"/>
  <c r="AA25" i="35"/>
  <c r="F27" i="35"/>
  <c r="AA27" i="35"/>
  <c r="F28" i="35"/>
  <c r="AA28" i="35"/>
  <c r="F30" i="35"/>
  <c r="AA30" i="35"/>
  <c r="F31" i="35"/>
  <c r="AA31" i="35"/>
  <c r="F32" i="35"/>
  <c r="AA32" i="35"/>
  <c r="F33" i="35"/>
  <c r="AA33" i="35"/>
  <c r="B97" i="35"/>
  <c r="F34" i="35"/>
  <c r="AA34" i="35"/>
  <c r="B99" i="35"/>
  <c r="F35" i="35"/>
  <c r="AA35" i="35"/>
  <c r="B101" i="35"/>
  <c r="F36" i="35"/>
  <c r="AA36" i="35"/>
  <c r="R38" i="35"/>
  <c r="R39" i="35"/>
  <c r="C39" i="35"/>
  <c r="B3" i="35"/>
  <c r="D3" i="35"/>
  <c r="B2" i="35"/>
  <c r="D8" i="12"/>
  <c r="C8" i="12"/>
  <c r="J140" i="70"/>
  <c r="C145" i="70"/>
  <c r="K139" i="70"/>
  <c r="K145" i="70"/>
  <c r="K144" i="70"/>
  <c r="K143" i="70"/>
  <c r="J142" i="70"/>
  <c r="K141"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I54" i="70"/>
  <c r="J54" i="70"/>
  <c r="G54" i="70"/>
  <c r="H54" i="70"/>
  <c r="E54" i="70"/>
  <c r="F54" i="70"/>
  <c r="I48" i="70"/>
  <c r="E48" i="70"/>
  <c r="I53" i="70"/>
  <c r="J53"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I40" i="39"/>
  <c r="G40" i="39"/>
  <c r="D19" i="4"/>
  <c r="C12" i="39"/>
  <c r="I9" i="39"/>
  <c r="G9" i="39"/>
  <c r="I7" i="39"/>
  <c r="G7" i="39"/>
  <c r="E7"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F6" i="1"/>
  <c r="F9" i="1"/>
  <c r="G1" i="44"/>
  <c r="M48" i="44"/>
  <c r="J51" i="44"/>
  <c r="J52" i="44"/>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K38" i="9"/>
  <c r="C14" i="66"/>
  <c r="L38" i="9"/>
  <c r="B14" i="66"/>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E19" i="4"/>
  <c r="F7" i="1"/>
  <c r="B2" i="52"/>
  <c r="E22" i="52"/>
  <c r="I2" i="46"/>
  <c r="N12" i="46"/>
  <c r="A7" i="46"/>
  <c r="F41" i="4"/>
  <c r="J52" i="40"/>
  <c r="H61" i="49"/>
  <c r="H39" i="46"/>
  <c r="H38" i="46"/>
  <c r="H37" i="46"/>
  <c r="H36" i="46"/>
  <c r="H35" i="46"/>
  <c r="H34"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J31" i="35"/>
  <c r="H31"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J22" i="35"/>
  <c r="AC22" i="35"/>
  <c r="H36" i="35"/>
  <c r="J24" i="35"/>
  <c r="AC24"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H9" i="35"/>
  <c r="AB9" i="35"/>
  <c r="P39" i="35"/>
  <c r="P38" i="35"/>
  <c r="V37" i="35"/>
  <c r="T37" i="35"/>
  <c r="P37" i="35"/>
  <c r="Q36" i="35"/>
  <c r="Z36" i="35"/>
  <c r="J36" i="35"/>
  <c r="AC36" i="35"/>
  <c r="Q35" i="35"/>
  <c r="Z35" i="35"/>
  <c r="Q34" i="35"/>
  <c r="Z34" i="35"/>
  <c r="J34" i="35"/>
  <c r="AC34" i="35"/>
  <c r="H34" i="35"/>
  <c r="AB34" i="35"/>
  <c r="Q33" i="35"/>
  <c r="Z33" i="35"/>
  <c r="Q32" i="35"/>
  <c r="Z32" i="35"/>
  <c r="H32" i="35"/>
  <c r="AB32" i="35"/>
  <c r="Q31" i="35"/>
  <c r="Z31" i="35"/>
  <c r="AC31" i="35"/>
  <c r="AB31" i="35"/>
  <c r="Q30" i="35"/>
  <c r="Z30" i="35"/>
  <c r="Q29" i="35"/>
  <c r="Z29" i="35"/>
  <c r="Q28" i="35"/>
  <c r="Z28" i="35"/>
  <c r="J28" i="35"/>
  <c r="H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Q11" i="35"/>
  <c r="Z11" i="35"/>
  <c r="Q10" i="35"/>
  <c r="Z10" i="35"/>
  <c r="Q9" i="35"/>
  <c r="Z9" i="35"/>
  <c r="J9" i="35"/>
  <c r="W9" i="35"/>
  <c r="J8" i="35"/>
  <c r="H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S33" i="35"/>
  <c r="J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J13" i="35"/>
  <c r="AC13" i="35"/>
  <c r="H13" i="35"/>
  <c r="U13" i="35"/>
  <c r="J25" i="35"/>
  <c r="AC25" i="35"/>
  <c r="H25" i="35"/>
  <c r="AB25" i="35"/>
  <c r="J35" i="35"/>
  <c r="AC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G4" i="4"/>
  <c r="S37" i="34"/>
  <c r="J16" i="35"/>
  <c r="W16" i="35"/>
  <c r="U42" i="21"/>
  <c r="AC26" i="36"/>
  <c r="W25" i="35"/>
  <c r="H13" i="39"/>
  <c r="AB13" i="39"/>
  <c r="J13" i="39"/>
  <c r="AC13" i="39"/>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J29" i="35"/>
  <c r="AC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B30" i="35"/>
  <c r="S27" i="35"/>
  <c r="S28" i="35"/>
  <c r="J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AG6" i="1"/>
  <c r="G6" i="1"/>
  <c r="E86" i="3"/>
  <c r="AE11" i="46"/>
  <c r="AE13" i="46"/>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AP16" i="1"/>
  <c r="F22" i="11"/>
  <c r="E4" i="4"/>
  <c r="C4" i="4"/>
  <c r="B20" i="55"/>
  <c r="B70" i="63"/>
  <c r="G66" i="36"/>
  <c r="J18" i="36"/>
  <c r="AE7" i="1"/>
  <c r="AE6" i="1"/>
  <c r="F33" i="44"/>
  <c r="F31" i="15"/>
  <c r="F58" i="15"/>
  <c r="M17" i="15"/>
  <c r="M19" i="44"/>
  <c r="H7" i="37"/>
  <c r="J7" i="37"/>
  <c r="F7" i="37"/>
  <c r="AA7" i="37"/>
  <c r="R42" i="37"/>
  <c r="E42" i="37"/>
  <c r="H6" i="3"/>
  <c r="L109" i="46"/>
  <c r="G109" i="46"/>
  <c r="I109" i="46"/>
  <c r="M109" i="46"/>
  <c r="H109" i="46"/>
  <c r="U7" i="35"/>
  <c r="AC7" i="36"/>
  <c r="V36" i="36"/>
  <c r="I36" i="36"/>
  <c r="I40" i="36"/>
  <c r="J40" i="36"/>
  <c r="W18" i="36"/>
  <c r="AC18" i="36"/>
  <c r="U7" i="36"/>
  <c r="G41" i="36"/>
  <c r="H41" i="36"/>
  <c r="W7" i="35"/>
  <c r="S7" i="37"/>
  <c r="U7" i="34"/>
  <c r="E48" i="33"/>
  <c r="E52" i="33"/>
  <c r="F52" i="33"/>
  <c r="AC6" i="3"/>
  <c r="D12" i="11"/>
  <c r="C12" i="11"/>
  <c r="E59" i="40"/>
  <c r="L20" i="6"/>
  <c r="E58" i="40"/>
  <c r="E63" i="39"/>
  <c r="E16" i="6"/>
  <c r="F24" i="43"/>
  <c r="C26" i="43"/>
  <c r="D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B21" i="55"/>
  <c r="B72"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E46" i="37"/>
  <c r="F46" i="37"/>
  <c r="C48" i="33"/>
  <c r="C49" i="33"/>
  <c r="B3" i="33"/>
  <c r="B2" i="33"/>
  <c r="U7" i="37"/>
  <c r="AB7" i="37"/>
  <c r="T42" i="37"/>
  <c r="G42" i="37"/>
  <c r="E6" i="3"/>
  <c r="J22" i="46"/>
  <c r="E41" i="36"/>
  <c r="F41" i="36"/>
  <c r="I47" i="37"/>
  <c r="J47" i="37"/>
  <c r="G47" i="37"/>
  <c r="H47" i="37"/>
  <c r="E53" i="33"/>
  <c r="F53" i="33"/>
  <c r="I53" i="33"/>
  <c r="J53" i="33"/>
  <c r="L27" i="6"/>
  <c r="E38" i="35"/>
  <c r="I43" i="35"/>
  <c r="J43" i="35"/>
  <c r="I41" i="36"/>
  <c r="J41" i="36"/>
  <c r="R37" i="36"/>
  <c r="K16" i="1"/>
  <c r="M20" i="6"/>
  <c r="I20" i="6"/>
  <c r="S20" i="6"/>
  <c r="K27" i="6"/>
  <c r="M19" i="6"/>
  <c r="S21" i="6"/>
  <c r="M22" i="6"/>
  <c r="I22" i="6"/>
  <c r="S22" i="6"/>
  <c r="B1" i="66"/>
  <c r="R43" i="37"/>
  <c r="R50" i="34"/>
  <c r="C50" i="34"/>
  <c r="B3" i="34"/>
  <c r="B2" i="34"/>
  <c r="E49" i="34"/>
  <c r="I48" i="21"/>
  <c r="W7" i="21"/>
  <c r="U7" i="21"/>
  <c r="G48" i="21"/>
  <c r="S7" i="21"/>
  <c r="F67" i="40"/>
  <c r="G65" i="40"/>
  <c r="G46" i="37"/>
  <c r="H46" i="37"/>
  <c r="E47" i="37"/>
  <c r="F47" i="37"/>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0" i="6"/>
  <c r="H24" i="6"/>
  <c r="H25" i="6"/>
  <c r="D6" i="6"/>
  <c r="D9" i="6"/>
  <c r="D5" i="6"/>
  <c r="D14" i="6"/>
  <c r="H22" i="6"/>
  <c r="R22" i="6"/>
  <c r="R9" i="1"/>
  <c r="D15" i="6"/>
  <c r="D8" i="6"/>
  <c r="H26" i="6"/>
  <c r="H23" i="6"/>
  <c r="E53" i="21"/>
  <c r="F53" i="21"/>
  <c r="E52" i="21"/>
  <c r="F52" i="21"/>
  <c r="C48" i="21"/>
  <c r="I53" i="21"/>
  <c r="J53" i="21"/>
  <c r="I65" i="40"/>
  <c r="H67" i="40"/>
  <c r="T16" i="1"/>
  <c r="H27" i="6"/>
  <c r="R20" i="6"/>
  <c r="R7" i="1"/>
  <c r="R24" i="6"/>
  <c r="D16" i="6"/>
  <c r="R23" i="6"/>
  <c r="R25" i="6"/>
  <c r="R19" i="6"/>
  <c r="R6" i="1"/>
  <c r="A6" i="51"/>
  <c r="B7" i="63"/>
  <c r="A20" i="64"/>
  <c r="A6" i="64"/>
  <c r="A20" i="51"/>
  <c r="B15" i="63"/>
  <c r="N5" i="54"/>
  <c r="B43" i="63"/>
  <c r="R26" i="6"/>
  <c r="C17" i="43"/>
  <c r="C14" i="43"/>
  <c r="C18" i="43"/>
  <c r="J65" i="40"/>
  <c r="I67" i="40"/>
  <c r="R16" i="1"/>
  <c r="R27" i="6"/>
  <c r="K65" i="40"/>
  <c r="J67" i="40"/>
  <c r="I5" i="6"/>
  <c r="K67" i="40"/>
  <c r="L65" i="40"/>
  <c r="M65" i="40"/>
  <c r="L67" i="40"/>
  <c r="N65" i="40"/>
  <c r="N67" i="40"/>
  <c r="M67" i="40"/>
  <c r="J9" i="40"/>
  <c r="F9" i="40"/>
  <c r="H9" i="40"/>
  <c r="J9" i="39"/>
  <c r="H9" i="39"/>
  <c r="S9" i="39"/>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F6" i="15"/>
  <c r="F7" i="15"/>
  <c r="F16" i="15"/>
  <c r="F43" i="15"/>
  <c r="F36" i="15"/>
  <c r="F13" i="15"/>
  <c r="F37" i="15"/>
  <c r="F38" i="15"/>
  <c r="F42" i="15"/>
  <c r="L48" i="15"/>
  <c r="M8" i="15"/>
  <c r="M9" i="15"/>
  <c r="L49" i="44"/>
  <c r="F8" i="67"/>
  <c r="F10" i="67"/>
  <c r="F12" i="67"/>
  <c r="F14" i="67"/>
  <c r="E7" i="67"/>
  <c r="E9" i="67"/>
  <c r="E11" i="67"/>
  <c r="E13" i="67"/>
  <c r="B14" i="67"/>
  <c r="B8" i="67"/>
  <c r="B12" i="67"/>
  <c r="B10" i="67"/>
  <c r="I3" i="65"/>
  <c r="I7" i="65"/>
  <c r="J6" i="65"/>
  <c r="J5" i="65"/>
  <c r="J4" i="65"/>
  <c r="M11" i="44"/>
  <c r="M28" i="15"/>
  <c r="J17" i="44"/>
  <c r="F39" i="44"/>
  <c r="M26" i="15"/>
  <c r="M10" i="44"/>
  <c r="M29" i="44"/>
  <c r="F10" i="44"/>
  <c r="F28" i="44"/>
  <c r="M22" i="15"/>
  <c r="F8" i="44"/>
  <c r="M23" i="15"/>
  <c r="F9" i="44"/>
  <c r="M30" i="44"/>
  <c r="F43" i="44"/>
  <c r="F38" i="44"/>
  <c r="F8" i="15"/>
  <c r="F9" i="15"/>
  <c r="N4" i="65"/>
  <c r="C14" i="15"/>
  <c r="I6" i="65"/>
  <c r="I5" i="65"/>
  <c r="F26" i="15"/>
  <c r="F35" i="15"/>
  <c r="F40" i="15"/>
  <c r="M6" i="15"/>
  <c r="I4" i="65"/>
  <c r="F9" i="67"/>
  <c r="F11" i="67"/>
  <c r="F13" i="67"/>
  <c r="E8" i="67"/>
  <c r="E10" i="67"/>
  <c r="E12" i="67"/>
  <c r="E14" i="67"/>
  <c r="B7" i="67"/>
  <c r="B9" i="67"/>
  <c r="B13" i="67"/>
  <c r="B11" i="67"/>
  <c r="N7" i="65"/>
  <c r="J7" i="65"/>
  <c r="N5" i="65"/>
  <c r="N3" i="65"/>
  <c r="N6" i="65"/>
  <c r="J3" i="65"/>
  <c r="F11" i="44"/>
  <c r="M27" i="15"/>
  <c r="F18" i="44"/>
  <c r="M24" i="15"/>
  <c r="M25" i="44"/>
  <c r="F15" i="44"/>
  <c r="L48" i="44"/>
  <c r="J36" i="15"/>
  <c r="M8" i="44"/>
  <c r="M26" i="44"/>
  <c r="M28" i="44"/>
  <c r="F40" i="44"/>
  <c r="L47" i="15"/>
  <c r="M31" i="44"/>
  <c r="F45" i="44"/>
  <c r="M29" i="15"/>
  <c r="M24" i="44"/>
  <c r="J15" i="15"/>
  <c r="C19" i="44"/>
  <c r="C16" i="44"/>
  <c r="F37" i="44"/>
  <c r="C19" i="9"/>
  <c r="F46" i="44"/>
  <c r="M21" i="15"/>
  <c r="M23" i="44"/>
  <c r="C21" i="9"/>
  <c r="C20" i="9"/>
  <c r="J22" i="44"/>
  <c r="J20" i="15"/>
  <c r="L43" i="9"/>
  <c r="C36" i="44"/>
  <c r="C17" i="44"/>
  <c r="C20" i="44"/>
  <c r="L58" i="15"/>
  <c r="L59" i="15"/>
  <c r="Q72" i="15"/>
  <c r="L60" i="44"/>
  <c r="L59" i="44"/>
  <c r="J1" i="65"/>
  <c r="B2" i="67"/>
  <c r="E20" i="46"/>
  <c r="F67" i="15"/>
  <c r="C34" i="15"/>
  <c r="F62" i="15"/>
  <c r="C61" i="15"/>
  <c r="C27" i="15"/>
  <c r="I1" i="65"/>
  <c r="C18" i="15"/>
  <c r="C15" i="15"/>
  <c r="C4" i="65"/>
  <c r="B39" i="1"/>
  <c r="F50" i="15"/>
  <c r="Q73" i="44"/>
  <c r="M9" i="44"/>
  <c r="J8" i="44"/>
  <c r="C8" i="44"/>
  <c r="C29" i="44"/>
  <c r="E3" i="67"/>
  <c r="J54" i="44"/>
  <c r="I55" i="44"/>
  <c r="J60" i="44"/>
  <c r="J58" i="44"/>
  <c r="J56" i="44"/>
  <c r="J59" i="44"/>
  <c r="Q52" i="44"/>
  <c r="J61" i="44"/>
  <c r="Q50" i="44"/>
  <c r="L57" i="44"/>
  <c r="L47" i="44"/>
  <c r="J53" i="15"/>
  <c r="I54" i="15"/>
  <c r="J57" i="15"/>
  <c r="J55" i="15"/>
  <c r="J58" i="15"/>
  <c r="Q51" i="15"/>
  <c r="J60" i="15"/>
  <c r="Q49" i="15"/>
  <c r="L57" i="15"/>
  <c r="L56" i="15"/>
  <c r="J59" i="15"/>
  <c r="L60" i="15"/>
  <c r="F65" i="15"/>
  <c r="F64" i="15"/>
  <c r="F63" i="15"/>
  <c r="F70" i="15"/>
  <c r="M7" i="15"/>
  <c r="J6" i="15"/>
  <c r="F49" i="15"/>
  <c r="C6" i="15"/>
  <c r="C19" i="43"/>
  <c r="C25" i="43"/>
  <c r="C24" i="43"/>
  <c r="C23" i="12"/>
  <c r="C18" i="44"/>
  <c r="C17" i="15"/>
  <c r="C16" i="15"/>
  <c r="E3" i="65"/>
  <c r="F7" i="67"/>
  <c r="E2" i="65"/>
  <c r="B40" i="1"/>
  <c r="E4" i="67"/>
  <c r="F17" i="11"/>
  <c r="C17" i="11"/>
  <c r="C19" i="11"/>
  <c r="C19" i="15"/>
  <c r="M11" i="15"/>
  <c r="J10" i="15"/>
  <c r="J5" i="15"/>
  <c r="M13" i="44"/>
  <c r="J12" i="44"/>
  <c r="J7" i="44"/>
  <c r="C21" i="44"/>
  <c r="F11" i="15"/>
  <c r="F13" i="44"/>
  <c r="C12" i="44"/>
  <c r="C7" i="44"/>
  <c r="O17" i="46"/>
  <c r="M17" i="46"/>
  <c r="P17" i="46"/>
  <c r="N17" i="46"/>
  <c r="Q75" i="44"/>
  <c r="Q62" i="44"/>
  <c r="Q75" i="15"/>
  <c r="Q62" i="15"/>
  <c r="Q58" i="15"/>
  <c r="Q67" i="15"/>
  <c r="F1" i="15"/>
  <c r="Q53" i="15"/>
  <c r="F1" i="44"/>
  <c r="Q54" i="44"/>
  <c r="C48" i="15"/>
  <c r="B4" i="67"/>
  <c r="B3" i="67"/>
  <c r="Q63" i="44"/>
  <c r="Q76" i="44"/>
  <c r="Q74" i="15"/>
  <c r="Q61" i="15"/>
  <c r="AE8" i="1"/>
  <c r="F41" i="15"/>
  <c r="F68" i="15"/>
  <c r="C40" i="44"/>
  <c r="C34" i="44"/>
  <c r="C22" i="44"/>
  <c r="F26" i="44"/>
  <c r="C25" i="44"/>
  <c r="C28" i="44"/>
  <c r="C26" i="44"/>
  <c r="C31" i="44"/>
  <c r="C20" i="15"/>
  <c r="C26" i="15"/>
  <c r="C10" i="15"/>
  <c r="C5" i="15"/>
  <c r="C52" i="15"/>
  <c r="C47" i="15"/>
  <c r="J26" i="44"/>
  <c r="J28" i="44"/>
  <c r="J31" i="44"/>
  <c r="J20" i="44"/>
  <c r="J26" i="15"/>
  <c r="J29" i="15"/>
  <c r="J18" i="15"/>
  <c r="J24" i="15"/>
  <c r="C20" i="11"/>
  <c r="C21" i="11"/>
  <c r="C22" i="11"/>
  <c r="C23" i="11"/>
  <c r="B2" i="11"/>
  <c r="F24" i="15"/>
  <c r="C24" i="15"/>
  <c r="F26" i="12"/>
  <c r="C27" i="12"/>
  <c r="D26" i="12"/>
  <c r="C32" i="12"/>
  <c r="D30" i="12"/>
  <c r="F21" i="43"/>
  <c r="L52" i="44"/>
  <c r="Q69" i="44"/>
  <c r="L58" i="44"/>
  <c r="L61" i="44"/>
  <c r="B5" i="11"/>
  <c r="B3" i="11"/>
  <c r="B4" i="11"/>
  <c r="C59" i="15"/>
  <c r="C65" i="15"/>
  <c r="C15" i="44"/>
  <c r="J16" i="44"/>
  <c r="C35" i="44"/>
  <c r="C33" i="44"/>
  <c r="J21" i="44"/>
  <c r="Q51" i="44"/>
  <c r="C38" i="44"/>
  <c r="C23" i="43"/>
  <c r="D21" i="43"/>
  <c r="C22" i="43"/>
  <c r="C21" i="43"/>
  <c r="C28" i="43"/>
  <c r="C30" i="43"/>
  <c r="C32" i="43"/>
  <c r="B2" i="43"/>
  <c r="J19" i="44"/>
  <c r="C32" i="15"/>
  <c r="C38" i="15"/>
  <c r="C23" i="15"/>
  <c r="C29" i="15"/>
  <c r="Q67" i="44"/>
  <c r="Q49" i="44"/>
  <c r="Q55" i="44"/>
  <c r="Q58" i="44"/>
  <c r="C33" i="15"/>
  <c r="C36" i="15"/>
  <c r="C13" i="15"/>
  <c r="J19" i="15"/>
  <c r="J17" i="15"/>
  <c r="J14" i="15"/>
  <c r="C56" i="15"/>
  <c r="Q50" i="15"/>
  <c r="B5" i="43"/>
  <c r="B3" i="43"/>
  <c r="B4" i="43"/>
  <c r="J15" i="44"/>
  <c r="J25" i="44"/>
  <c r="J24" i="44"/>
  <c r="J18" i="44"/>
  <c r="J27" i="44"/>
  <c r="Q59" i="44"/>
  <c r="Q68" i="44"/>
  <c r="Q77" i="44"/>
  <c r="Q64" i="44"/>
  <c r="C31" i="15"/>
  <c r="C43" i="44"/>
  <c r="C39" i="44"/>
  <c r="C32" i="44"/>
  <c r="C42" i="44"/>
  <c r="Q72" i="44"/>
  <c r="Q71" i="44"/>
  <c r="Q70" i="44"/>
  <c r="C44" i="44"/>
  <c r="C45" i="44"/>
  <c r="B2" i="44"/>
  <c r="C37" i="15"/>
  <c r="C30" i="15"/>
  <c r="C39" i="15"/>
  <c r="J35" i="15"/>
  <c r="J39" i="15"/>
  <c r="J40" i="15"/>
  <c r="C55" i="15"/>
  <c r="C64" i="15"/>
  <c r="Q71" i="15"/>
  <c r="C63" i="15"/>
  <c r="C60" i="15"/>
  <c r="C58" i="15"/>
  <c r="J22" i="15"/>
  <c r="J13" i="15"/>
  <c r="J23" i="15"/>
  <c r="J16" i="15"/>
  <c r="J25" i="15"/>
  <c r="C40" i="15"/>
  <c r="Q70" i="15"/>
  <c r="Q69" i="15"/>
  <c r="C57" i="15"/>
  <c r="C66" i="15"/>
  <c r="C67" i="15"/>
  <c r="B4" i="44"/>
  <c r="B3" i="44"/>
  <c r="B5" i="44"/>
  <c r="L51" i="15"/>
  <c r="Q68" i="15"/>
  <c r="C70" i="15"/>
  <c r="C46" i="15"/>
  <c r="B2" i="15"/>
  <c r="Q66" i="15"/>
  <c r="Q76" i="15"/>
  <c r="C43" i="15"/>
  <c r="Q48" i="15"/>
  <c r="Q54" i="15"/>
  <c r="Q57" i="15"/>
  <c r="Q63" i="15"/>
  <c r="J42" i="15"/>
  <c r="J43" i="15"/>
  <c r="E10" i="12"/>
  <c r="C6" i="12"/>
  <c r="B3" i="15"/>
  <c r="E8" i="12"/>
  <c r="C24" i="12"/>
  <c r="C29" i="12"/>
  <c r="C28" i="12"/>
  <c r="C26" i="12"/>
  <c r="C35" i="12"/>
  <c r="C33" i="12"/>
  <c r="C31" i="12"/>
  <c r="C30" i="12"/>
  <c r="C36" i="12"/>
  <c r="B2" i="12"/>
  <c r="D19" i="9"/>
  <c r="L44" i="9"/>
  <c r="G19" i="9"/>
  <c r="D22" i="9"/>
  <c r="B4" i="12"/>
  <c r="B5" i="12"/>
  <c r="B3" i="12"/>
  <c r="D21" i="9"/>
  <c r="D20" i="9"/>
  <c r="G20" i="9"/>
  <c r="G21" i="9"/>
  <c r="C32" i="9"/>
  <c r="G22" i="9"/>
  <c r="D27" i="9"/>
  <c r="N43" i="9"/>
  <c r="O38" i="9"/>
  <c r="O43" i="9"/>
  <c r="C42" i="9"/>
  <c r="C34" i="9"/>
  <c r="C33" i="9"/>
  <c r="C35" i="9"/>
  <c r="F42" i="9"/>
  <c r="D42" i="9"/>
  <c r="Q5" i="54"/>
  <c r="B47" i="63"/>
  <c r="N38" i="9"/>
  <c r="K28" i="9"/>
  <c r="C44" i="9"/>
  <c r="D63" i="9"/>
  <c r="N68" i="9"/>
  <c r="R5" i="54"/>
  <c r="B48" i="63"/>
  <c r="D14" i="66"/>
  <c r="K26" i="9"/>
  <c r="K25" i="9"/>
  <c r="M38" i="9"/>
  <c r="K27" i="9"/>
  <c r="E42" i="9"/>
  <c r="P5" i="54"/>
  <c r="B46" i="63"/>
  <c r="B5" i="66"/>
  <c r="F14" i="66"/>
  <c r="E14" i="66"/>
  <c r="N69" i="9"/>
  <c r="D44" i="9"/>
  <c r="O39" i="9"/>
  <c r="E44" i="9"/>
  <c r="G14" i="66"/>
  <c r="B6" i="66"/>
  <c r="F44" i="9"/>
  <c r="C103" i="9"/>
  <c r="C96" i="9"/>
  <c r="C91" i="9"/>
  <c r="D71" i="9"/>
  <c r="D66" i="9"/>
  <c r="N72" i="9"/>
  <c r="C111" i="9"/>
  <c r="C104" i="9"/>
  <c r="D77" i="9"/>
  <c r="N75" i="9"/>
  <c r="C90" i="9"/>
  <c r="C97" i="9"/>
  <c r="C82" i="9"/>
  <c r="C81" i="9"/>
  <c r="C85" i="9"/>
  <c r="C86" i="9"/>
  <c r="D72" i="9"/>
  <c r="D70" i="9"/>
  <c r="C113" i="9"/>
  <c r="D6" i="66"/>
  <c r="C6" i="66"/>
  <c r="R6" i="54"/>
  <c r="B50" i="63"/>
  <c r="K29" i="9"/>
  <c r="K30" i="9"/>
  <c r="M84" i="9"/>
  <c r="N84" i="9"/>
  <c r="M86" i="9"/>
  <c r="N86" i="9"/>
  <c r="M83" i="9"/>
  <c r="N83" i="9"/>
  <c r="M85" i="9"/>
  <c r="N85" i="9"/>
  <c r="M87" i="9"/>
  <c r="N87" i="9"/>
  <c r="M88" i="9"/>
  <c r="N88" i="9"/>
  <c r="C98" i="9"/>
  <c r="E98" i="9"/>
  <c r="E99" i="9"/>
  <c r="D5" i="66"/>
  <c r="C5" i="66"/>
  <c r="C99" i="9"/>
  <c r="N89" i="9"/>
  <c r="O89" i="9"/>
  <c r="C114" i="9"/>
  <c r="E114" i="9"/>
  <c r="E115" i="9"/>
  <c r="C115" i="9"/>
  <c r="D76" i="9"/>
  <c r="D74" i="9"/>
  <c r="N74" i="9"/>
  <c r="O77" i="9"/>
  <c r="O78" i="9"/>
  <c r="Q77"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<sst xmlns="http://schemas.openxmlformats.org/spreadsheetml/2006/main" count="7374" uniqueCount="3165">
  <si>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</si>
  <si>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</si>
  <si>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</si>
  <si>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</si>
  <si>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</si>
  <si>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</si>
  <si>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</si>
  <si>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</si>
  <si>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</si>
  <si>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</si>
  <si>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</si>
  <si>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</si>
  <si>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</si>
  <si>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</si>
  <si>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</si>
  <si>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</si>
  <si>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</si>
  <si>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</si>
  <si>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</si>
  <si>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</si>
  <si>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</si>
  <si>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</si>
  <si>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</si>
  <si>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</si>
  <si>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</si>
  <si>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</si>
  <si>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</si>
  <si>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</si>
  <si>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</si>
  <si>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</si>
  <si>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</si>
  <si>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</si>
  <si>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</si>
  <si>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</si>
  <si>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</si>
  <si>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</si>
  <si>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</si>
  <si>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</si>
  <si>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</si>
  <si>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</si>
  <si>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</si>
  <si>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</si>
  <si>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</si>
  <si>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</si>
  <si>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</si>
  <si>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</si>
  <si>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</si>
  <si>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</si>
  <si>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</si>
  <si>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</si>
  <si>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</si>
  <si>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</si>
  <si>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</si>
  <si>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</si>
  <si>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</si>
  <si>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</si>
  <si>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</si>
  <si>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</si>
  <si>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</si>
  <si>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</si>
  <si>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</si>
  <si>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</si>
  <si>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</si>
  <si>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</si>
  <si>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</si>
  <si>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</si>
  <si>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</si>
  <si>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</si>
  <si>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</si>
  <si>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</si>
  <si>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</si>
  <si>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</si>
  <si>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</si>
  <si>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</si>
  <si>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</si>
  <si>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</si>
  <si>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</si>
  <si>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</si>
  <si>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</si>
  <si>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</si>
  <si>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</si>
  <si>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</si>
  <si>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</si>
  <si>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</si>
  <si>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</si>
  <si>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</si>
  <si>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</si>
  <si>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</si>
  <si>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</si>
  <si>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</si>
  <si>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</si>
  <si>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</si>
  <si>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</si>
  <si>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</si>
  <si>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</si>
  <si>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</si>
  <si>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</si>
  <si>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</si>
  <si>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</si>
  <si>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</si>
  <si>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</si>
  <si>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</si>
  <si>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</si>
  <si>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</si>
  <si>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</si>
  <si>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</si>
  <si>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</si>
  <si>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</si>
  <si>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</si>
  <si>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</si>
  <si>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</si>
  <si>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</si>
  <si>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</si>
  <si>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</si>
  <si>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</si>
  <si>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</si>
  <si>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</si>
  <si>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</si>
  <si>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</si>
  <si>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</si>
  <si>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</si>
  <si>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</si>
  <si>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</si>
  <si>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</si>
  <si>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</si>
  <si>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</si>
  <si>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</si>
  <si>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</si>
  <si>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</si>
  <si>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</si>
  <si>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</si>
  <si>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</si>
  <si>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</si>
  <si>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</si>
  <si>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</si>
  <si>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</si>
  <si>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</si>
  <si>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</si>
  <si>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</si>
  <si>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</si>
  <si>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</si>
  <si>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</si>
  <si>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</si>
  <si>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</si>
  <si>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</si>
  <si>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</si>
  <si>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</si>
  <si>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</si>
  <si>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</si>
  <si>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</si>
  <si>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</si>
  <si>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</si>
  <si>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</si>
  <si>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</si>
  <si>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</si>
  <si>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</si>
  <si>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</si>
  <si>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</si>
  <si>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</si>
  <si>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</si>
  <si>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</si>
  <si>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</si>
  <si>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</si>
  <si>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</si>
  <si>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</si>
  <si>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</si>
  <si>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</si>
  <si>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</si>
  <si>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</si>
  <si>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</si>
  <si>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</si>
  <si>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</si>
  <si>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</si>
  <si>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</si>
  <si>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</si>
  <si>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</si>
  <si>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</si>
  <si>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</si>
  <si>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</si>
  <si>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</si>
  <si>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</si>
  <si>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</si>
  <si>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</si>
  <si>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</si>
  <si>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</si>
  <si>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</si>
  <si>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</si>
  <si>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</si>
  <si>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</si>
  <si>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</si>
  <si>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</si>
  <si>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</si>
  <si>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</si>
  <si>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</si>
  <si>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</si>
  <si>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</si>
  <si>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</si>
  <si>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</si>
  <si>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</si>
  <si>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</si>
  <si>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</si>
  <si>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</si>
  <si>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</si>
  <si>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</si>
  <si>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</si>
  <si>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</si>
  <si>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</si>
  <si>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</si>
  <si>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</si>
  <si>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</si>
  <si>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</si>
  <si>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</si>
  <si>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</si>
  <si>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</si>
  <si>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</si>
  <si>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</si>
  <si>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</si>
  <si>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</si>
  <si>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</si>
  <si>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</si>
  <si>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</si>
  <si>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</si>
  <si>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</si>
  <si>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</si>
  <si>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</si>
  <si>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</si>
  <si>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</si>
  <si>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</si>
  <si>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</si>
  <si>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</si>
  <si>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</si>
  <si>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</si>
  <si>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</si>
  <si>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</si>
  <si>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</si>
  <si>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</si>
  <si>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</si>
  <si>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</si>
  <si>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</si>
  <si>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</si>
  <si>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</si>
  <si>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</si>
  <si>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</si>
  <si>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</si>
  <si>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</si>
  <si>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</si>
  <si>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</si>
  <si>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</si>
  <si>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</si>
  <si>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</si>
  <si>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</si>
  <si>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</si>
  <si>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</si>
  <si>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</si>
  <si>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</si>
  <si>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</si>
  <si>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</si>
  <si>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</si>
  <si>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</si>
  <si>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</si>
  <si>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</si>
  <si>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</si>
  <si>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</si>
  <si>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</si>
  <si>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</si>
  <si>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</si>
  <si>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</si>
  <si>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</si>
  <si>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</si>
  <si>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</si>
  <si>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</si>
  <si>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</si>
  <si>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</si>
  <si>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</si>
  <si>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</si>
  <si>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</si>
  <si>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</si>
  <si>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</si>
  <si>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</si>
  <si>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</si>
  <si>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</si>
  <si>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</si>
  <si>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</si>
  <si>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</si>
  <si>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</si>
  <si>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</si>
  <si>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</si>
  <si>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</si>
  <si>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</si>
  <si>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</si>
  <si>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</si>
  <si>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</si>
  <si>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</si>
  <si>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</si>
  <si>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</si>
  <si>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</si>
  <si>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</si>
  <si>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</si>
  <si>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</si>
  <si>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</si>
  <si>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</si>
  <si>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</si>
  <si>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</si>
  <si>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</si>
  <si>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</si>
  <si>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</si>
  <si>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</si>
  <si>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</si>
  <si>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</si>
  <si>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</si>
  <si>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</si>
  <si>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</si>
  <si>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</si>
  <si>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</si>
  <si>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</si>
  <si>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</si>
  <si>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</si>
  <si>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</si>
  <si>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</si>
  <si>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</si>
  <si>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</si>
  <si>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</si>
  <si>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</si>
  <si>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</si>
  <si>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</si>
  <si>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</si>
  <si>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</si>
  <si>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</si>
  <si>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</si>
  <si>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</si>
  <si>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</si>
  <si>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</si>
  <si>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</si>
  <si>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</si>
  <si>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</si>
  <si>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</si>
  <si>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</si>
  <si>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</si>
  <si>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</si>
  <si>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</si>
  <si>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</si>
  <si>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</si>
  <si>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</si>
  <si>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</si>
  <si>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</si>
  <si>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</si>
  <si>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</si>
  <si>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</si>
  <si>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</si>
  <si>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</si>
  <si>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</si>
  <si>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</si>
  <si>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</si>
  <si>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</si>
  <si>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</si>
  <si>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</si>
  <si>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</si>
  <si>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</si>
  <si>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</si>
  <si>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</si>
  <si>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</si>
  <si>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</si>
  <si>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</si>
  <si>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</si>
  <si>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</si>
  <si>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</si>
  <si>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</si>
  <si>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</si>
  <si>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</si>
  <si>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</si>
  <si>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</si>
  <si>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</si>
  <si>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</si>
  <si>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</si>
  <si>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</si>
  <si>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</si>
  <si>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</si>
  <si>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</si>
  <si>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</si>
  <si>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</si>
  <si>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</si>
  <si>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</si>
  <si>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</si>
  <si>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</si>
  <si>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</si>
  <si>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</si>
  <si>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</si>
  <si>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</si>
  <si>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</si>
  <si>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</si>
  <si>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</si>
  <si>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</si>
  <si>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</si>
  <si>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</si>
  <si>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</si>
  <si>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</si>
  <si>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</si>
  <si>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</si>
  <si>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</si>
  <si>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</si>
  <si>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</si>
  <si>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</si>
  <si>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</si>
  <si>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</si>
  <si>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</si>
  <si>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</si>
  <si>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</si>
  <si>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</si>
  <si>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</si>
  <si>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</si>
  <si>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</si>
  <si>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</si>
  <si>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</si>
  <si>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</si>
  <si>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</si>
  <si>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</si>
  <si>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</si>
  <si>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</si>
  <si>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</si>
  <si>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</si>
  <si>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</si>
  <si>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</si>
  <si>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</si>
  <si>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</si>
  <si>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</si>
  <si>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</si>
  <si>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</si>
  <si>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</si>
  <si>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</si>
  <si>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</si>
  <si>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</si>
  <si>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</si>
  <si>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</si>
  <si>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</si>
  <si>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</si>
  <si>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</si>
  <si>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</si>
  <si>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</si>
  <si>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</si>
  <si>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</si>
  <si>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</si>
  <si>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</si>
  <si>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</si>
  <si>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</si>
  <si>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</si>
  <si>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</si>
  <si>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</si>
  <si>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</si>
  <si>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</si>
  <si>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</si>
  <si>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</si>
  <si>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</si>
  <si>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</si>
  <si>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</si>
  <si>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</si>
  <si>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</si>
  <si>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</si>
  <si>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</si>
  <si>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</si>
  <si>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</si>
  <si>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</si>
  <si>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</si>
  <si>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</si>
  <si>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</si>
  <si>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</si>
  <si>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</si>
  <si>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</si>
  <si>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</si>
  <si>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</si>
  <si>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</si>
  <si>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</si>
  <si>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</si>
  <si>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</si>
  <si>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</si>
  <si>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</si>
  <si>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</si>
  <si>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</si>
  <si>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</si>
  <si>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</si>
  <si>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</si>
  <si>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</si>
  <si>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</si>
  <si>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</si>
  <si>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</si>
  <si>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</si>
  <si>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</si>
  <si>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</si>
  <si>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</si>
  <si>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</si>
  <si>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</si>
  <si>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</si>
  <si>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</si>
  <si>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</si>
  <si>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</si>
  <si>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</si>
  <si>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</si>
  <si>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</si>
  <si>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</si>
  <si>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</si>
  <si>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</si>
  <si>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</si>
  <si>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</si>
  <si>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</si>
  <si>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</si>
  <si>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</si>
  <si>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</si>
  <si>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</si>
  <si>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</si>
  <si>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</si>
  <si>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</si>
  <si>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</si>
  <si>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</si>
  <si>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</si>
  <si>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</si>
  <si>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</si>
  <si>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</si>
  <si>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</si>
  <si>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</si>
  <si>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</si>
  <si>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</si>
  <si>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</si>
  <si>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</si>
  <si>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</si>
  <si>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</si>
  <si>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</si>
  <si>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</si>
  <si>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</si>
  <si>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</si>
  <si>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</si>
  <si>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</si>
  <si>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</si>
  <si>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</si>
  <si>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</si>
  <si>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</si>
  <si>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</si>
  <si>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</si>
  <si>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</si>
  <si>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</si>
  <si>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</si>
  <si>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</si>
  <si>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</si>
  <si>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</si>
  <si>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</si>
  <si>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</si>
  <si>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</si>
  <si>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</si>
  <si>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</si>
  <si>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</si>
  <si>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</si>
  <si>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</si>
  <si>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</si>
  <si>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</si>
  <si>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</si>
  <si>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</si>
  <si>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</si>
  <si>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</si>
  <si>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</si>
  <si>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</si>
  <si>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</si>
  <si>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</si>
  <si>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</si>
  <si>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</si>
  <si>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</si>
  <si>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</si>
  <si>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</si>
  <si>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</si>
  <si>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</si>
  <si>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</si>
  <si>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</si>
  <si>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</si>
  <si>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</si>
  <si>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</si>
  <si>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</si>
  <si>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</si>
  <si>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</si>
  <si>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</si>
  <si>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</si>
  <si>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</si>
  <si>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</si>
  <si>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</si>
  <si>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</si>
  <si>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</si>
  <si>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</si>
  <si>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</si>
  <si>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</si>
  <si>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</si>
  <si>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</si>
  <si>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</si>
  <si>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</si>
  <si>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</si>
  <si>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</si>
  <si>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</si>
  <si>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</si>
  <si>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</si>
  <si>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</si>
  <si>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</si>
  <si>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</si>
  <si>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</si>
  <si>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</si>
  <si>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</si>
  <si>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</si>
  <si>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</si>
  <si>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</si>
  <si>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</si>
  <si>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</si>
  <si>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</si>
  <si>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</si>
  <si>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</si>
  <si>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</si>
  <si>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</si>
  <si>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</si>
  <si>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</si>
  <si>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</si>
  <si>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</si>
  <si>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</si>
  <si>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</si>
  <si>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</si>
  <si>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</si>
  <si>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</si>
  <si>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</si>
  <si>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</si>
  <si>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</si>
  <si>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</si>
  <si>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</si>
  <si>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</si>
  <si>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</si>
  <si>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</si>
  <si>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</si>
  <si>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</si>
  <si>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</si>
  <si>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</si>
  <si>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</si>
  <si>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</si>
  <si>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</si>
  <si>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</si>
  <si>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</si>
  <si>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</si>
  <si>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</si>
  <si>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</si>
  <si>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</si>
  <si>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</si>
  <si>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</si>
  <si>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</si>
  <si>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</si>
  <si>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</si>
  <si>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</si>
  <si>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</si>
  <si>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</si>
  <si>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</si>
  <si>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</si>
  <si>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</si>
  <si>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</si>
  <si>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</si>
  <si>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</si>
  <si>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</si>
  <si>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</si>
  <si>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</si>
  <si>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</si>
  <si>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</si>
  <si>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</si>
  <si>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</si>
  <si>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</si>
  <si>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</si>
  <si>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</si>
  <si>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</si>
  <si>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</si>
  <si>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</si>
  <si>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</si>
  <si>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</si>
  <si>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</si>
  <si>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</si>
  <si>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</si>
  <si>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</si>
  <si>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</si>
  <si>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</si>
  <si>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</si>
  <si>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</si>
  <si>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</si>
  <si>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</si>
  <si>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</si>
  <si>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</si>
  <si>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</si>
  <si>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</si>
  <si>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</si>
  <si>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</si>
  <si>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</si>
  <si>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</si>
  <si>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</si>
  <si>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</si>
  <si>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</si>
  <si>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</si>
  <si>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</si>
  <si>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</si>
  <si>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</si>
  <si>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</si>
  <si>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</si>
  <si>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</si>
  <si>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</si>
  <si>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</si>
  <si>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</si>
  <si>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</si>
  <si>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</si>
  <si>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</si>
  <si>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</si>
  <si>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</si>
  <si>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</si>
  <si>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</si>
  <si>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</si>
  <si>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</si>
  <si>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</si>
  <si>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</si>
  <si>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</si>
  <si>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</si>
  <si>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</si>
  <si>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</si>
  <si>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</si>
  <si>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</si>
  <si>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</si>
  <si>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</si>
  <si>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</si>
  <si>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</si>
  <si>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</si>
  <si>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</si>
  <si>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</si>
  <si>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</si>
  <si>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</si>
  <si>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</si>
  <si>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</si>
  <si>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</si>
  <si>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</si>
  <si>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</si>
  <si>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</si>
  <si>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</si>
  <si>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</si>
  <si>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</si>
  <si>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</si>
  <si>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</si>
  <si>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</si>
  <si>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</si>
  <si>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</si>
  <si>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</si>
  <si>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</si>
  <si>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</si>
  <si>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</si>
  <si>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</si>
  <si>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</si>
  <si>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</si>
  <si>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</si>
  <si>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</si>
  <si>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</si>
  <si>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</si>
  <si>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</si>
  <si>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</si>
  <si>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</si>
  <si>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</si>
  <si>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</si>
  <si>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</si>
  <si>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</si>
  <si>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</si>
  <si>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</si>
  <si>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</si>
  <si>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</si>
  <si>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</si>
  <si>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</si>
  <si>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</si>
  <si>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</si>
  <si>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</si>
  <si>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</si>
  <si>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</si>
  <si>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</si>
  <si>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</si>
  <si>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</si>
  <si>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</si>
  <si>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</si>
  <si>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</si>
  <si>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</si>
  <si>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</si>
  <si>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</si>
  <si>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</si>
  <si>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</si>
  <si>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</si>
  <si>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</si>
  <si>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</si>
  <si>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</si>
  <si>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</si>
  <si>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</si>
  <si>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</si>
  <si>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</si>
  <si>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</si>
  <si>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</si>
  <si>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</si>
  <si>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</si>
  <si>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</si>
  <si>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</si>
  <si>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</si>
  <si>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</si>
  <si>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</si>
  <si>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</si>
  <si>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</si>
  <si>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</si>
  <si>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</si>
  <si>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</si>
  <si>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</si>
  <si>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</si>
  <si>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</si>
  <si>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</si>
  <si>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</si>
  <si>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</si>
  <si>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</si>
  <si>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</si>
  <si>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</si>
  <si>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</si>
  <si>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</si>
  <si>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</si>
  <si>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</si>
  <si>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</si>
  <si>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</si>
  <si>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</si>
  <si>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</si>
  <si>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</si>
  <si>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</si>
  <si>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</si>
  <si>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</si>
  <si>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</si>
  <si>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</si>
  <si>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</si>
  <si>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</si>
  <si>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</si>
  <si>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</si>
  <si>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</si>
  <si>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</si>
  <si>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</si>
  <si>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</si>
  <si>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</si>
  <si>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</si>
  <si>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</si>
  <si>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</si>
  <si>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</si>
  <si>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</si>
  <si>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</si>
  <si>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</si>
  <si>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</si>
  <si>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</si>
  <si>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</si>
  <si>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</si>
  <si>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</si>
  <si>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</si>
  <si>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</si>
  <si>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</si>
  <si>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</si>
  <si>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</si>
  <si>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</si>
  <si>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</si>
  <si>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</si>
  <si>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</si>
  <si>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</si>
  <si>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</si>
  <si>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</si>
  <si>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</si>
  <si>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</si>
  <si>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</si>
  <si>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</si>
  <si>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</si>
  <si>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</si>
  <si>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</si>
  <si>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</si>
  <si>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</si>
  <si>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</si>
  <si>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</si>
  <si>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</si>
  <si>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</si>
  <si>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</si>
  <si>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</si>
  <si>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</si>
  <si>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</si>
  <si>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</si>
  <si>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</si>
  <si>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</si>
  <si>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</si>
  <si>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</si>
  <si>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</si>
  <si>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</si>
  <si>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</si>
  <si>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</si>
  <si>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</si>
  <si>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</si>
  <si>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</si>
  <si>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</si>
  <si>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</si>
  <si>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</si>
  <si>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</si>
  <si>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</si>
  <si>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</si>
  <si>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</si>
  <si>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</si>
  <si>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</si>
  <si>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</si>
  <si>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</si>
  <si>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</si>
  <si>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</si>
  <si>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</si>
  <si>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</si>
  <si>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</si>
  <si>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</si>
  <si>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</si>
  <si>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</si>
  <si>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</si>
  <si>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</si>
  <si>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</si>
  <si>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</si>
  <si>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</si>
  <si>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</si>
  <si>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</si>
  <si>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</si>
  <si>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</si>
  <si>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</si>
  <si>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</si>
  <si>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</si>
  <si>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</si>
  <si>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</si>
  <si>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</si>
  <si>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</si>
  <si>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</si>
  <si>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</si>
  <si>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</si>
  <si>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</si>
  <si>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</si>
  <si>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</si>
  <si>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</si>
  <si>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</si>
  <si>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</si>
  <si>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</si>
  <si>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</si>
  <si>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</si>
  <si>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</si>
  <si>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</si>
  <si>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</si>
  <si>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</si>
  <si>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</si>
  <si>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</si>
  <si>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</si>
  <si>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</si>
  <si>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</si>
  <si>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</si>
  <si>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</si>
  <si>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</si>
  <si>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</si>
  <si>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</si>
  <si>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</si>
  <si>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</si>
  <si>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</si>
  <si>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</si>
  <si>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</si>
  <si>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</si>
  <si>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</si>
  <si>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</si>
  <si>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</si>
  <si>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</si>
  <si>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</si>
  <si>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</si>
  <si>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</si>
  <si>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</si>
  <si>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</si>
  <si>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</si>
  <si>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</si>
  <si>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</si>
  <si>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</si>
  <si>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</si>
  <si>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</si>
  <si>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</si>
  <si>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</si>
  <si>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</si>
  <si>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</si>
  <si>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</si>
  <si>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</si>
  <si>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</si>
  <si>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</si>
  <si>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</si>
  <si>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</si>
  <si>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</si>
  <si>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</si>
  <si>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</si>
  <si>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</si>
  <si>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</si>
  <si>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</si>
  <si>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</si>
  <si>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</si>
  <si>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</si>
  <si>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</si>
  <si>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</si>
  <si>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</si>
  <si>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</si>
  <si>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</si>
  <si>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</si>
  <si>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</si>
  <si>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</si>
  <si>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</si>
  <si>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</si>
  <si>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</si>
  <si>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</si>
  <si>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</si>
  <si>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</si>
  <si>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</si>
  <si>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</si>
  <si>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</si>
  <si>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</si>
  <si>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</si>
  <si>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</si>
  <si>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</si>
  <si>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</si>
  <si>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</si>
  <si>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</si>
  <si>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</si>
  <si>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</si>
  <si>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</si>
  <si>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</si>
  <si>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</si>
  <si>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</si>
  <si>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</si>
  <si>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</si>
  <si>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</si>
  <si>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</si>
  <si>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</si>
  <si>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</si>
  <si>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</si>
  <si>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</si>
  <si>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</si>
  <si>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</si>
  <si>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</si>
  <si>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</si>
  <si>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</si>
  <si>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</si>
  <si>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</si>
  <si>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</si>
  <si>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</si>
  <si>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</si>
  <si>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</si>
  <si>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</si>
  <si>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</si>
  <si>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</si>
  <si>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</si>
  <si>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</si>
  <si>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</si>
  <si>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</si>
  <si>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</si>
  <si>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</si>
  <si>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</si>
  <si>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</si>
  <si>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</si>
  <si>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</si>
  <si>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</si>
  <si>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</si>
  <si>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</si>
  <si>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</si>
  <si>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</si>
  <si>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</si>
  <si>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</si>
  <si>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</si>
  <si>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</si>
  <si>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</si>
  <si>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</si>
  <si>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</si>
  <si>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</si>
  <si>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</si>
  <si>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</si>
  <si>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</si>
  <si>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</si>
  <si>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</si>
  <si>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</si>
  <si>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</si>
  <si>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</si>
  <si>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</si>
  <si>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</si>
  <si>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</si>
  <si>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</si>
  <si>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</si>
  <si>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</si>
  <si>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</si>
  <si>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</si>
  <si>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</si>
  <si>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</si>
  <si>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</si>
  <si>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</si>
  <si>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</si>
  <si>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</si>
  <si>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</si>
  <si>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</si>
  <si>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</si>
  <si>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</si>
  <si>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</si>
  <si>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</si>
  <si>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</si>
  <si>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</si>
  <si>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</si>
  <si>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</si>
  <si>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</si>
  <si>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</si>
  <si>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</si>
  <si>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</si>
  <si>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</si>
  <si>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</si>
  <si>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</si>
  <si>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</si>
  <si>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</si>
  <si>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</si>
  <si>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</si>
  <si>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</si>
  <si>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</si>
  <si>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</si>
  <si>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</si>
  <si>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</si>
  <si>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</si>
  <si>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</si>
  <si>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</si>
  <si>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</si>
  <si>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</si>
  <si>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</si>
  <si>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</si>
  <si>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</si>
  <si>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</si>
  <si>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</si>
  <si>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</si>
  <si>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</si>
  <si>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</si>
  <si>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</si>
  <si>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</si>
  <si>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</si>
  <si>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</si>
  <si>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</si>
  <si>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</si>
  <si>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</si>
  <si>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</si>
  <si>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</si>
  <si>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</si>
  <si>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</si>
  <si>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</si>
  <si>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</si>
  <si>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</si>
  <si>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</si>
  <si>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</si>
  <si>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</si>
  <si>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</si>
  <si>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</si>
  <si>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</si>
  <si>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</si>
  <si>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</si>
  <si>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</si>
  <si>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</si>
  <si>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</si>
  <si>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</si>
  <si>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</si>
  <si>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</si>
  <si>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</si>
  <si>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</si>
  <si>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</si>
  <si>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</si>
  <si>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</si>
  <si>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</si>
  <si>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</si>
  <si>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</si>
  <si>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</si>
  <si>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</si>
  <si>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</si>
  <si>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</si>
  <si>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</si>
  <si>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</si>
  <si>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</si>
  <si>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</si>
  <si>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</si>
  <si>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</si>
  <si>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</si>
  <si>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</si>
  <si>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</si>
  <si>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</si>
  <si>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</si>
  <si>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</si>
  <si>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</si>
  <si>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</si>
  <si>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</si>
  <si>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</si>
  <si>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</si>
  <si>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</si>
  <si>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</si>
  <si>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</si>
  <si>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</si>
  <si>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</si>
  <si>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</si>
  <si>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</si>
  <si>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</si>
  <si>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</si>
  <si>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</si>
  <si>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</si>
  <si>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</si>
  <si>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</si>
  <si>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</si>
  <si>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</si>
  <si>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</si>
  <si>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</si>
  <si>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</si>
  <si>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</si>
  <si>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</si>
  <si>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</si>
  <si>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</si>
  <si>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</si>
  <si>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</si>
  <si>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</si>
  <si>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</si>
  <si>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</si>
  <si>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</si>
  <si>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</si>
  <si>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</si>
  <si>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</si>
  <si>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</si>
  <si>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</si>
  <si>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</si>
  <si>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</si>
  <si>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</si>
  <si>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</si>
  <si>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</si>
  <si>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</si>
  <si>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</si>
  <si>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</si>
  <si>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</si>
  <si>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</si>
  <si>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</si>
  <si>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</si>
  <si>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</si>
  <si>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</si>
  <si>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</si>
  <si>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</si>
  <si>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</si>
  <si>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</si>
  <si>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</si>
  <si>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</si>
  <si>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</si>
  <si>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</si>
  <si>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</si>
  <si>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</si>
  <si>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</si>
  <si>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</si>
  <si>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</si>
  <si>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</si>
  <si>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</si>
  <si>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</si>
  <si>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</si>
  <si>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</si>
  <si>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</si>
  <si>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</si>
  <si>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</si>
  <si>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</si>
  <si>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</si>
  <si>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</si>
  <si>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</si>
  <si>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</si>
  <si>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</si>
  <si>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</si>
  <si>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</si>
  <si>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</si>
  <si>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</si>
  <si>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</si>
  <si>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</si>
  <si>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</si>
  <si>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</si>
  <si>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</si>
  <si>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</si>
  <si>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</si>
  <si>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</si>
  <si>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</si>
  <si>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</si>
  <si>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</si>
  <si>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</si>
  <si>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</si>
  <si>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</si>
  <si>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</si>
  <si>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</si>
  <si>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</si>
  <si>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</si>
  <si>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</si>
  <si>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</si>
  <si>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</si>
  <si>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</si>
  <si>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</si>
  <si>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</si>
  <si>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</si>
  <si>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</si>
  <si>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</si>
  <si>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</si>
  <si>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</si>
  <si>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</si>
  <si>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</si>
  <si>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</si>
  <si>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</si>
  <si>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</si>
  <si>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</si>
  <si>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</si>
  <si>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</si>
  <si>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</si>
  <si>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</si>
  <si>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</si>
  <si>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</si>
  <si>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</si>
  <si>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</si>
  <si>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</si>
  <si>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</si>
  <si>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</si>
  <si>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</si>
  <si>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</si>
  <si>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</si>
  <si>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</si>
  <si>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</si>
  <si>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</si>
  <si>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</si>
  <si>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</si>
  <si>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</si>
  <si>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</si>
  <si>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</si>
  <si>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</si>
  <si>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</si>
  <si>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</si>
  <si>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</si>
  <si>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</si>
  <si>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</si>
  <si>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</si>
  <si>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</si>
  <si>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</si>
  <si>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</si>
  <si>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</si>
  <si>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</si>
  <si>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</si>
  <si>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</si>
  <si>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</si>
  <si>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</si>
  <si>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</si>
  <si>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</si>
  <si>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</si>
  <si>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</si>
  <si>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</si>
  <si>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</si>
  <si>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</si>
  <si>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</si>
  <si>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</si>
  <si>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</si>
  <si>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</si>
  <si>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</si>
  <si>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</si>
  <si>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</si>
  <si>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</si>
  <si>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</si>
  <si>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</si>
  <si>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</si>
  <si>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</si>
  <si>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</si>
  <si>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</si>
  <si>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</si>
  <si>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</si>
  <si>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</si>
  <si>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</si>
  <si>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</si>
  <si>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</si>
  <si>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</si>
  <si>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</si>
  <si>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</si>
  <si>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</si>
  <si>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</si>
  <si>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</si>
  <si>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</si>
  <si>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</si>
  <si>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</si>
  <si>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</si>
  <si>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</si>
  <si>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</si>
  <si>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</si>
  <si>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</si>
  <si>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</si>
  <si>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</si>
  <si>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</si>
  <si>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</si>
  <si>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</si>
  <si>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</si>
  <si>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</si>
  <si>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</si>
  <si>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</si>
  <si>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</si>
  <si>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</si>
  <si>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</si>
  <si>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</si>
  <si>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</si>
  <si>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</si>
  <si>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</si>
  <si>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</si>
  <si>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</si>
  <si>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</si>
  <si>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</si>
  <si>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</si>
  <si>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</si>
  <si>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</si>
  <si>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</si>
  <si>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</si>
  <si>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</si>
  <si>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</si>
  <si>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</si>
  <si>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</si>
  <si>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</si>
  <si>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</si>
  <si>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</si>
  <si>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</si>
  <si>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</si>
  <si>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</si>
  <si>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</si>
  <si>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</si>
  <si>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</si>
  <si>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</si>
  <si>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</si>
  <si>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</si>
  <si>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</si>
  <si>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</si>
  <si>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</si>
  <si>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</si>
  <si>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</si>
  <si>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</si>
  <si>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</si>
  <si>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</si>
  <si>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</si>
  <si>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</si>
  <si>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</si>
  <si>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</si>
  <si>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</si>
  <si>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</si>
  <si>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</si>
  <si>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</si>
  <si>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</si>
  <si>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</si>
  <si>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</si>
  <si>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</si>
  <si>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</si>
  <si>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</si>
  <si>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</si>
  <si>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</si>
  <si>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</si>
  <si>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</si>
  <si>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</si>
  <si>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</si>
  <si>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</si>
  <si>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</si>
  <si>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</si>
  <si>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</si>
  <si>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</si>
  <si>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</si>
  <si>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</si>
  <si>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</si>
  <si>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</si>
  <si>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</si>
  <si>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</si>
  <si>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</si>
  <si>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</si>
  <si>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</si>
  <si>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</si>
  <si>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</si>
  <si>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</si>
  <si>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</si>
  <si>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</si>
  <si>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</si>
  <si>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</si>
  <si>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</si>
  <si>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</si>
  <si>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</si>
  <si>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</si>
  <si>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</si>
  <si>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</si>
  <si>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</si>
  <si>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</si>
  <si>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</si>
  <si>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</si>
  <si>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</si>
  <si>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</si>
  <si>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</si>
  <si>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</si>
  <si>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</si>
  <si>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</si>
  <si>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</si>
  <si>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</si>
  <si>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</si>
  <si>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</si>
  <si>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</si>
  <si>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</si>
  <si>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</si>
  <si>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</si>
  <si>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</si>
  <si>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</si>
  <si>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</si>
  <si>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</si>
  <si>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</si>
  <si>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</si>
  <si>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</si>
  <si>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</si>
  <si>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</si>
  <si>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</si>
  <si>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</si>
  <si>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</si>
  <si>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</si>
  <si>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</si>
  <si>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</si>
  <si>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</si>
  <si>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</si>
  <si>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</si>
  <si>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</si>
  <si>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</si>
  <si>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</si>
  <si>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</si>
  <si>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</si>
  <si>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</si>
  <si>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</si>
  <si>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</si>
  <si>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</si>
  <si>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</si>
  <si>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</si>
  <si>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</si>
  <si>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</si>
  <si>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</si>
  <si>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</si>
  <si>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</si>
  <si>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</si>
  <si>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</si>
  <si>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</si>
  <si>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</si>
  <si>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</si>
  <si>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</si>
  <si>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</si>
  <si>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</si>
  <si>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</si>
  <si>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</si>
  <si>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</si>
  <si>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</si>
  <si>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</si>
  <si>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</si>
  <si>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</si>
  <si>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</si>
  <si>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</si>
  <si>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</si>
  <si>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</si>
  <si>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</si>
  <si>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</si>
  <si>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</si>
  <si>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</si>
  <si>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</si>
  <si>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</si>
  <si>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</si>
  <si>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</si>
  <si>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</si>
  <si>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</si>
  <si>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</si>
  <si>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</si>
  <si>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</si>
  <si>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</si>
  <si>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</si>
  <si>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</si>
  <si>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</si>
  <si>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</si>
  <si>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</si>
  <si>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</si>
  <si>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</si>
  <si>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</si>
  <si>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</si>
  <si>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</si>
  <si>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</si>
  <si>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</si>
  <si>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</si>
  <si>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</si>
  <si>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</si>
  <si>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</si>
  <si>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</si>
  <si>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</si>
  <si>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</si>
  <si>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</si>
  <si>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</si>
  <si>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</si>
  <si>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</si>
  <si>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</si>
  <si>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</si>
  <si>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</si>
  <si>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</si>
  <si>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</si>
  <si>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</si>
  <si>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</si>
  <si>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</si>
  <si>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</si>
  <si>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</si>
  <si>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</si>
  <si>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</si>
  <si>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</si>
  <si>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</si>
  <si>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</si>
  <si>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</si>
  <si>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</si>
  <si>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</si>
  <si>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</si>
  <si>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</si>
  <si>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</si>
  <si>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</si>
  <si>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</si>
  <si>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</si>
  <si>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</si>
  <si>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</si>
  <si>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</si>
  <si>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</si>
  <si>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</si>
  <si>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</si>
  <si>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</si>
  <si>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</si>
  <si>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</si>
  <si>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</si>
  <si>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</si>
  <si>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</si>
  <si>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</si>
  <si>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</si>
  <si>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</si>
  <si>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</si>
  <si>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</si>
  <si>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</si>
  <si>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</si>
  <si>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</si>
  <si>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</si>
  <si>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</si>
  <si>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</si>
  <si>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</si>
  <si>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</si>
  <si>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</si>
  <si>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</si>
  <si>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</si>
  <si>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</si>
  <si>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</si>
  <si>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</si>
  <si>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</si>
  <si>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</si>
  <si>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</si>
  <si>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</si>
  <si>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</si>
  <si>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</si>
  <si>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</si>
  <si>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</si>
  <si>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</si>
  <si>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</si>
  <si>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</si>
  <si>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</si>
  <si>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</si>
  <si>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</si>
  <si>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</si>
  <si>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</si>
  <si>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</si>
  <si>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</si>
  <si>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</si>
  <si>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</si>
  <si>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</si>
  <si>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</si>
  <si>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</si>
  <si>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</si>
  <si>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</si>
  <si>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</si>
  <si>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</si>
  <si>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</si>
  <si>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</si>
  <si>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</si>
  <si>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</si>
  <si>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</si>
  <si>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</si>
  <si>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</si>
  <si>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</si>
  <si>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</si>
  <si>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</si>
  <si>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</si>
  <si>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</si>
  <si>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</si>
  <si>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</si>
  <si>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</si>
  <si>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</si>
  <si>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</si>
  <si>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</si>
  <si>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</si>
  <si>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</si>
  <si>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</si>
  <si>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</si>
  <si>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</si>
  <si>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</si>
  <si>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</si>
  <si>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</si>
  <si>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</si>
  <si>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</si>
  <si>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</si>
  <si>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</si>
  <si>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</si>
  <si>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</si>
  <si>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</si>
  <si>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</si>
  <si>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</si>
  <si>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</si>
  <si>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</si>
  <si>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</si>
  <si>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</si>
  <si>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</si>
  <si>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</si>
  <si>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</si>
  <si>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</si>
  <si>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</si>
  <si>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</si>
  <si>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</si>
  <si>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</si>
  <si>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</si>
  <si>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</si>
  <si>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</si>
  <si>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</si>
  <si>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</si>
  <si>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</si>
  <si>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</si>
  <si>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</si>
  <si>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</si>
  <si>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</si>
  <si>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</si>
  <si>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</si>
  <si>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</si>
  <si>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</si>
  <si>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</si>
  <si>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</si>
  <si>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</si>
  <si>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</si>
  <si>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</si>
  <si>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</si>
  <si>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</si>
  <si>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</si>
  <si>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</si>
  <si>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</si>
  <si>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</si>
  <si>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</si>
  <si>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</si>
  <si>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</si>
  <si>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</si>
  <si>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</si>
  <si>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</si>
  <si>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</si>
  <si>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</si>
  <si>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</si>
  <si>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</si>
  <si>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</si>
  <si>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</si>
  <si>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</si>
  <si>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</si>
  <si>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</si>
  <si>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</si>
  <si>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</si>
  <si>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</si>
  <si>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</si>
  <si>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</si>
  <si>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</si>
  <si>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</si>
  <si>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</si>
  <si>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</si>
  <si>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</si>
  <si>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</si>
  <si>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</si>
  <si>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</si>
  <si>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</si>
  <si>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</si>
  <si>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</si>
  <si>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</si>
  <si>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</si>
  <si>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</si>
  <si>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</si>
  <si>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</si>
  <si>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</si>
  <si>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</si>
  <si>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</si>
  <si>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</si>
  <si>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</si>
  <si>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</si>
  <si>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</si>
  <si>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</si>
  <si>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</si>
  <si>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</si>
  <si>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</si>
  <si>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</si>
  <si>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</si>
  <si>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</si>
  <si>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</si>
  <si>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</si>
  <si>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</si>
  <si>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</si>
  <si>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</si>
  <si>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</si>
  <si>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</si>
  <si>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</si>
  <si>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</si>
  <si>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</si>
  <si>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</si>
  <si>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</si>
  <si>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</si>
  <si>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</si>
  <si>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</si>
  <si>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</si>
  <si>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</si>
  <si>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</si>
  <si>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</si>
  <si>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</si>
  <si>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</si>
  <si>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</si>
  <si>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</si>
  <si>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</si>
  <si>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</si>
  <si>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</si>
  <si>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</si>
  <si>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</si>
  <si>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</si>
  <si>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</si>
  <si>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</si>
  <si>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</si>
  <si>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</si>
  <si>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</si>
  <si>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</si>
  <si>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</si>
  <si>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</si>
  <si>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</si>
  <si>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</si>
  <si>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</si>
  <si>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</si>
  <si>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</si>
  <si>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</si>
  <si>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</si>
  <si>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</si>
  <si>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</si>
  <si>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</si>
  <si>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</si>
  <si>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</si>
  <si>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</si>
  <si>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</si>
  <si>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</si>
  <si>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</si>
  <si>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</si>
  <si>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</si>
  <si>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</si>
  <si>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</si>
  <si>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</si>
  <si>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</si>
  <si>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</si>
  <si>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</si>
  <si>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</si>
  <si>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</si>
  <si>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</si>
  <si>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</si>
  <si>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</si>
  <si>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</si>
  <si>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</si>
  <si>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</si>
  <si>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</si>
  <si>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</si>
  <si>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</si>
  <si>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</si>
  <si>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</si>
  <si>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</si>
  <si>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</si>
  <si>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</si>
  <si>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</si>
  <si>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</si>
  <si>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</si>
  <si>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</si>
  <si>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</si>
  <si>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</si>
  <si>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</si>
  <si>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</si>
  <si>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</si>
  <si>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</si>
  <si>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</si>
  <si>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</si>
  <si>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</si>
  <si>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</si>
  <si>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</si>
  <si>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</si>
  <si>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</si>
  <si>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</si>
  <si>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</si>
  <si>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</si>
  <si>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</si>
  <si>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</si>
  <si>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</si>
  <si>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</si>
  <si>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</si>
  <si>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</si>
  <si>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</si>
  <si>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</si>
  <si>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</si>
  <si>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</si>
  <si>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</si>
  <si>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</si>
  <si>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</si>
  <si>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</si>
  <si>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</si>
  <si>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</si>
  <si>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</si>
  <si>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</si>
  <si>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</si>
  <si>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</si>
  <si>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</si>
  <si>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</si>
  <si>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</si>
  <si>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</si>
  <si>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</si>
  <si>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</si>
  <si>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</si>
  <si>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</si>
  <si>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</si>
  <si>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</si>
  <si>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</si>
  <si>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</si>
  <si>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</si>
  <si>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</si>
  <si>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</si>
  <si>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</si>
  <si>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</si>
  <si>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</si>
  <si>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</si>
  <si>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</si>
  <si>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</si>
  <si>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</si>
  <si>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</si>
  <si>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</si>
  <si>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</si>
  <si>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</si>
  <si>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</si>
  <si>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</si>
  <si>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</si>
  <si>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</si>
  <si>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</si>
  <si>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</si>
  <si>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</si>
  <si>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</si>
  <si>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</si>
  <si>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</si>
  <si>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</si>
  <si>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</si>
  <si>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</si>
  <si>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</si>
  <si>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</si>
  <si>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</si>
  <si>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</si>
  <si>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</si>
  <si>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</si>
  <si>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</si>
  <si>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</si>
  <si>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</si>
  <si>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</si>
  <si>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</si>
  <si>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</si>
  <si>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</si>
  <si>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</si>
  <si>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</si>
  <si>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</si>
  <si>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</si>
  <si>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</si>
  <si>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</si>
  <si>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</si>
  <si>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</si>
  <si>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</si>
  <si>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</si>
  <si>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</si>
  <si>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</si>
  <si>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</si>
  <si>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</si>
  <si>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</si>
  <si>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</si>
  <si>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</si>
  <si>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</si>
  <si>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</si>
  <si>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</si>
  <si>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</si>
  <si>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</si>
  <si>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</si>
  <si>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</si>
  <si>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</si>
  <si>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</si>
  <si>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</si>
  <si>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</si>
  <si>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</si>
  <si>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</si>
  <si>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</si>
  <si>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</si>
  <si>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</si>
  <si>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</si>
  <si>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</si>
  <si>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</si>
  <si>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</si>
  <si>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</si>
  <si>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</si>
  <si>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</si>
  <si>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</si>
  <si>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</si>
  <si>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</si>
  <si>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</si>
  <si>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</si>
  <si>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</si>
  <si>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</si>
  <si>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</si>
  <si>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</si>
  <si>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</si>
  <si>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</si>
  <si>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</si>
  <si>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</si>
  <si>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</si>
  <si>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</si>
  <si>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</si>
  <si>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</si>
  <si>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</si>
  <si>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</si>
  <si>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</si>
  <si>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</si>
  <si>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</si>
  <si>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</si>
  <si>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</si>
  <si>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</si>
  <si>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</si>
  <si>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</si>
  <si>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</si>
  <si>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</si>
  <si>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</si>
  <si>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</si>
  <si>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</si>
  <si>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</si>
  <si>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</si>
  <si>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</si>
  <si>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</si>
  <si>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</si>
  <si>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</si>
  <si>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</si>
  <si>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</si>
  <si>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</si>
  <si>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</si>
  <si>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</si>
  <si>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</si>
  <si>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</si>
  <si>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</si>
  <si>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</si>
  <si>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</si>
  <si>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</si>
  <si>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</si>
  <si>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</si>
  <si>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</si>
  <si>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</si>
  <si>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</si>
  <si>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</si>
  <si>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</si>
  <si>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</si>
  <si>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</si>
  <si>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</si>
  <si>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</si>
  <si>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</si>
  <si>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</si>
  <si>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</si>
  <si>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</si>
  <si>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</si>
  <si>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</si>
  <si>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</si>
  <si>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</si>
  <si>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</si>
  <si>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</si>
  <si>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</si>
  <si>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</si>
  <si>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</si>
  <si>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</si>
  <si>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</si>
  <si>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</si>
  <si>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</si>
  <si>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</si>
  <si>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</si>
  <si>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</si>
  <si>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</si>
  <si>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</si>
  <si>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</si>
  <si>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</si>
  <si>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</si>
  <si>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</si>
  <si>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</si>
  <si>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</si>
  <si>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</si>
  <si>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</si>
  <si>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</si>
  <si>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</si>
  <si>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</si>
  <si>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</si>
  <si>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</si>
  <si>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</si>
  <si>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</si>
  <si>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</si>
  <si>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</si>
  <si>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</si>
  <si>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</si>
  <si>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</si>
  <si>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</si>
  <si>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</si>
  <si>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</si>
  <si>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</si>
  <si>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</si>
  <si>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</si>
  <si>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</si>
  <si>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</si>
  <si>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</si>
  <si>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</si>
  <si>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</si>
  <si>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</si>
  <si>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</si>
  <si>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</si>
  <si>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</si>
  <si>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</si>
  <si>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</si>
  <si>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</si>
  <si>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</si>
  <si>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</si>
  <si>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</si>
  <si>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</si>
  <si>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</si>
  <si>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</si>
  <si>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</si>
  <si>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</si>
  <si>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</si>
  <si>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</si>
  <si>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</si>
  <si>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</si>
  <si>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</si>
  <si>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</si>
  <si>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</si>
  <si>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</si>
  <si>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</si>
  <si>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</si>
  <si>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</si>
  <si>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</si>
  <si>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</si>
  <si>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</si>
  <si>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</si>
  <si>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</si>
  <si>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</si>
  <si>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</si>
  <si>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</si>
  <si>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</si>
  <si>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</si>
  <si>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</si>
  <si>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</si>
  <si>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</si>
  <si>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</si>
  <si>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</si>
  <si>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</si>
  <si>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</si>
  <si>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</si>
  <si>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</si>
  <si>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</si>
  <si>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</si>
  <si>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</si>
  <si>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</si>
  <si>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</si>
  <si>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</si>
  <si>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</si>
  <si>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</si>
  <si>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</si>
  <si>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</si>
  <si>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</si>
  <si>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</si>
  <si>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</si>
  <si>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</si>
  <si>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</si>
  <si>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</si>
  <si>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</si>
  <si>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</si>
  <si>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</si>
  <si>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</si>
  <si>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</si>
  <si>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</si>
  <si>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</si>
  <si>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</si>
  <si>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</si>
  <si>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</si>
  <si>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</si>
  <si>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</si>
  <si>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</si>
  <si>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</si>
  <si>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</si>
  <si>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</si>
  <si>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</si>
  <si>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</si>
  <si>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</si>
  <si>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</si>
  <si>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</si>
  <si>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</si>
  <si>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</si>
  <si>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</si>
  <si>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</si>
  <si>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</si>
  <si>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</si>
  <si>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</si>
  <si>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</si>
  <si>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</si>
  <si>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</si>
  <si>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</si>
  <si>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</si>
  <si>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</si>
  <si>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</si>
  <si>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</si>
  <si>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</si>
  <si>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</si>
  <si>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</si>
  <si>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</si>
  <si>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</si>
  <si>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</si>
  <si>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</si>
  <si>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</si>
  <si>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</si>
  <si>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</si>
  <si>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</si>
  <si>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</si>
  <si>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</si>
  <si>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</si>
  <si>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</si>
  <si>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</si>
  <si>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</si>
  <si>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</si>
  <si>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</si>
  <si>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</si>
  <si>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</si>
  <si>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</si>
  <si>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</si>
  <si>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</si>
  <si>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</si>
  <si>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</si>
  <si>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</si>
  <si>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</si>
  <si>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</si>
  <si>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</si>
  <si>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</si>
  <si>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</si>
  <si>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</si>
  <si>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</si>
  <si>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</si>
  <si>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</si>
  <si>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</si>
  <si>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</si>
  <si>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</si>
  <si>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</si>
  <si>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</si>
  <si>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</si>
  <si>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</si>
  <si>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</si>
  <si>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</si>
  <si>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</si>
  <si>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</si>
  <si>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</si>
  <si>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</si>
  <si>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</si>
  <si>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</si>
  <si>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</si>
  <si>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</si>
  <si>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</si>
  <si>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</si>
  <si>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</si>
  <si>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</si>
  <si>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</si>
  <si>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</si>
  <si>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</si>
  <si>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</si>
  <si>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</si>
  <si>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</si>
  <si>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</si>
  <si>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</si>
  <si>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</si>
  <si>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</si>
  <si>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</si>
  <si>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</si>
  <si>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</si>
  <si>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</si>
  <si>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</si>
  <si>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</si>
  <si>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</si>
  <si>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</si>
  <si>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</si>
  <si>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</si>
  <si>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</si>
  <si>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</si>
  <si>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</si>
  <si>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</si>
  <si>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</si>
  <si>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</si>
  <si>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</si>
  <si>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</si>
  <si>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</si>
  <si>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</si>
  <si>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</si>
  <si>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</si>
  <si>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</si>
  <si>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</si>
  <si>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</si>
  <si>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</si>
  <si>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</si>
  <si>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</si>
  <si>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</si>
  <si>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</si>
  <si>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</si>
  <si>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</si>
  <si>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</si>
  <si>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</si>
  <si>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</si>
  <si>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</si>
  <si>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</si>
  <si>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</si>
  <si>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</si>
  <si>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</si>
  <si>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</si>
  <si>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</si>
  <si>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</si>
  <si>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</si>
  <si>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</si>
  <si>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</si>
  <si>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</si>
  <si>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</si>
  <si>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</si>
  <si>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</si>
  <si>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</si>
  <si>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</si>
  <si>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</si>
  <si>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</si>
  <si>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</si>
  <si>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</si>
  <si>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</si>
  <si>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</si>
  <si>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</si>
  <si>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</si>
  <si>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</si>
  <si>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</si>
  <si>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</si>
  <si>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</si>
  <si>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</si>
  <si>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</si>
  <si>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</si>
  <si>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</si>
  <si>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</si>
  <si>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</si>
  <si>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</si>
  <si>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</si>
  <si>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</si>
  <si>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</si>
  <si>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</si>
  <si>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</si>
  <si>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</si>
  <si>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</si>
  <si>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</si>
  <si>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</si>
  <si>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</si>
  <si>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</si>
  <si>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</si>
  <si>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</si>
  <si>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</si>
  <si>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</si>
  <si>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</si>
  <si>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</si>
  <si>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</si>
  <si>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</si>
  <si>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</si>
  <si>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</si>
  <si>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</si>
  <si>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</si>
  <si>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</si>
  <si>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</si>
  <si>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</si>
  <si>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</si>
  <si>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</si>
  <si>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</si>
  <si>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</si>
  <si>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</si>
  <si>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</si>
  <si>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</si>
  <si>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</si>
  <si>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</si>
  <si>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</si>
  <si>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</si>
  <si>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</si>
  <si>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</si>
  <si>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</si>
  <si>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</si>
  <si>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</si>
  <si>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</si>
  <si>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</si>
  <si>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</si>
  <si>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</si>
  <si>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</si>
  <si>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</si>
  <si>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</si>
  <si>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</si>
  <si>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</si>
  <si>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</si>
  <si>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</si>
  <si>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</si>
  <si>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</si>
  <si>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</si>
  <si>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</si>
  <si>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</si>
  <si>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</si>
  <si>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</si>
  <si>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</si>
  <si>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</si>
  <si>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</si>
  <si>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</si>
  <si>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</si>
  <si>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</si>
  <si>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</si>
  <si>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</si>
  <si>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</si>
  <si>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</si>
  <si>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</si>
  <si>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</si>
  <si>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</si>
  <si>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</si>
  <si>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</si>
  <si>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</si>
  <si>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</si>
  <si>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</si>
  <si>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</si>
  <si>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</si>
  <si>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</si>
  <si>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</si>
  <si>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</si>
  <si>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</si>
  <si>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</si>
  <si>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</si>
  <si>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</si>
  <si>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</si>
  <si>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</si>
  <si>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</si>
  <si>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</si>
  <si>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</si>
  <si>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</si>
  <si>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</si>
  <si>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</si>
  <si>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</si>
  <si>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</si>
  <si>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</si>
  <si>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</si>
  <si>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</si>
  <si>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</si>
  <si>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</si>
  <si>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</si>
  <si>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</si>
  <si>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</si>
  <si>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</si>
  <si>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</si>
  <si>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</si>
  <si>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</si>
  <si>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</si>
  <si>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</si>
  <si>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</si>
  <si>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</si>
  <si>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</si>
  <si>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</si>
  <si>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</si>
  <si>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</si>
  <si>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</si>
  <si>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</si>
  <si>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</si>
  <si>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</si>
  <si>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</si>
  <si>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</si>
  <si>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</si>
  <si>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</si>
  <si>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</si>
  <si>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</si>
  <si>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</si>
  <si>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</si>
  <si>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</si>
  <si>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</si>
  <si>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</si>
  <si>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</si>
  <si>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</si>
  <si>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</si>
  <si>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</si>
  <si>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</si>
  <si>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</si>
  <si>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</si>
  <si>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</si>
  <si>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</si>
  <si>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</si>
  <si>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</si>
  <si>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</si>
  <si>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</si>
  <si>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</si>
  <si>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</si>
  <si>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</si>
  <si>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</si>
  <si>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</si>
  <si>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</si>
  <si>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</si>
  <si>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</si>
  <si>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</si>
  <si>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</si>
  <si>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</si>
  <si>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</si>
  <si>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</si>
  <si>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</si>
  <si>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</si>
  <si>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</si>
  <si>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</si>
  <si>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</si>
  <si>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</si>
  <si>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</si>
  <si>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</si>
  <si>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</si>
  <si>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</si>
  <si>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</si>
  <si>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</si>
  <si>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</si>
  <si>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</si>
  <si>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</si>
  <si>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</si>
  <si>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</si>
  <si>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</si>
  <si>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</si>
  <si>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</si>
  <si>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</si>
  <si>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</si>
  <si>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</si>
  <si>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</si>
  <si>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</si>
  <si>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</si>
  <si>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</si>
  <si>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</si>
  <si>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</si>
  <si>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</si>
  <si>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</si>
  <si>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</si>
  <si>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</si>
  <si>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</si>
  <si>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</si>
  <si>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</si>
  <si>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</si>
  <si>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</si>
  <si>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</si>
  <si>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</si>
  <si>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</si>
  <si>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</si>
  <si>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</si>
  <si>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</si>
  <si>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</si>
  <si>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</si>
  <si>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</si>
  <si>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</si>
  <si>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</si>
  <si>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</si>
  <si>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</si>
  <si>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</si>
  <si>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</si>
  <si>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</si>
  <si>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</si>
  <si>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</si>
  <si>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</si>
  <si>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</si>
  <si>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</si>
  <si>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</si>
  <si>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</si>
  <si>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</si>
  <si>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</si>
  <si>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</si>
  <si>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</si>
  <si>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</si>
  <si>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</si>
  <si>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</si>
  <si>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</si>
  <si>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</si>
  <si>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</si>
  <si>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</si>
  <si>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</si>
  <si>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</si>
  <si>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</si>
  <si>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</si>
  <si>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</si>
  <si>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</si>
  <si>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</si>
  <si>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</si>
  <si>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</si>
  <si>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</si>
  <si>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</si>
  <si>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</si>
  <si>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</si>
  <si>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</si>
  <si>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</si>
  <si>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</si>
  <si>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</si>
  <si>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</si>
  <si>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</si>
  <si>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</si>
  <si>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</si>
  <si>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</si>
  <si>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</si>
  <si>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</si>
  <si>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</si>
  <si>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</si>
  <si>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</si>
  <si>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</si>
  <si>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</si>
  <si>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</si>
  <si>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</si>
  <si>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</si>
  <si>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</si>
  <si>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</si>
  <si>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</si>
  <si>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</si>
  <si>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</si>
  <si>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</si>
  <si>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</si>
  <si>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</si>
  <si>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</si>
  <si>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</si>
  <si>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</si>
  <si>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</si>
  <si>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</si>
  <si>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</si>
  <si>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</si>
  <si>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</si>
  <si>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</si>
  <si>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</si>
  <si>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</si>
  <si>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</si>
  <si>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</si>
  <si>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</si>
  <si>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</si>
  <si>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</si>
  <si>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</si>
  <si>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</si>
  <si>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</si>
  <si>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</si>
  <si>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</si>
  <si>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</si>
  <si>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</si>
  <si>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</si>
  <si>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</si>
  <si>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</si>
  <si>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</si>
  <si>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</si>
  <si>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</si>
  <si>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</si>
  <si>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</si>
  <si>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</si>
  <si>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</si>
  <si>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</si>
  <si>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</si>
  <si>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</si>
  <si>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</si>
  <si>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</si>
  <si>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</si>
  <si>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</si>
  <si>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</si>
  <si>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</si>
  <si>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</si>
  <si>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</si>
  <si>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</si>
  <si>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</si>
  <si>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</si>
  <si>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</si>
  <si>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</si>
  <si>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</si>
  <si>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</si>
  <si>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</si>
  <si>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</si>
  <si>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</si>
  <si>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</si>
  <si>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</si>
  <si>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</si>
  <si>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</si>
  <si>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</si>
  <si>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</si>
  <si>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</si>
  <si>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</si>
  <si>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</si>
  <si>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</si>
  <si>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</si>
  <si>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</si>
  <si>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</si>
  <si>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</si>
  <si>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</si>
  <si>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</si>
  <si>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</si>
  <si>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</si>
  <si>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</si>
  <si>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</si>
  <si>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</si>
  <si>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</si>
  <si>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</si>
  <si>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</si>
  <si>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</si>
  <si>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</si>
  <si>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</si>
  <si>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</si>
  <si>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</si>
  <si>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</si>
  <si>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</si>
  <si>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</si>
  <si>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</si>
  <si>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</si>
  <si>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</si>
  <si>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</si>
  <si>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</si>
  <si>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</si>
  <si>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</si>
  <si>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</si>
  <si>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</si>
  <si>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</si>
  <si>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</si>
  <si>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</si>
  <si>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</si>
  <si>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</si>
  <si>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</si>
  <si>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</si>
  <si>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</si>
  <si>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</si>
  <si>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</si>
  <si>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</si>
  <si>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</si>
  <si>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</si>
  <si>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</si>
  <si>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</si>
  <si>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</si>
  <si>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</si>
  <si>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</si>
  <si>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</si>
  <si>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</si>
  <si>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</si>
  <si>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</si>
  <si>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</si>
  <si>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</si>
  <si>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</si>
  <si>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</si>
  <si>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</si>
  <si>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</si>
  <si>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</si>
  <si>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</si>
  <si>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</si>
  <si>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</si>
  <si>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</si>
  <si>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</si>
  <si>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</si>
  <si>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</si>
  <si>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</si>
  <si>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</si>
  <si>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</si>
  <si>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</si>
  <si>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</si>
  <si>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</si>
  <si>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</si>
  <si>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</si>
  <si>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</si>
  <si>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</si>
  <si>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</si>
  <si>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</si>
  <si>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</si>
  <si>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</si>
  <si>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</si>
  <si>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</si>
  <si>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</si>
  <si>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</si>
  <si>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</si>
  <si>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</si>
  <si>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</si>
  <si>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</si>
  <si>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</si>
  <si>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</si>
  <si>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</si>
  <si>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</si>
  <si>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</si>
  <si>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</si>
  <si>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</si>
  <si>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</si>
  <si>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</si>
  <si>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</si>
  <si>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</si>
  <si>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</si>
  <si>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</si>
  <si>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</si>
  <si>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</si>
  <si>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</si>
  <si>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</si>
  <si>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</si>
  <si>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</si>
  <si>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</si>
  <si>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</si>
  <si>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</si>
  <si>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</si>
  <si>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</si>
  <si>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</si>
  <si>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</si>
  <si>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</si>
  <si>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</si>
  <si>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</si>
  <si>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</si>
  <si>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</si>
  <si>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</si>
  <si>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</si>
  <si>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</si>
  <si>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</si>
  <si>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</si>
  <si>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</si>
  <si>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</si>
  <si>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</si>
  <si>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</si>
  <si>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</si>
  <si>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</si>
  <si>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</si>
  <si>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</si>
  <si>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</si>
  <si>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</si>
  <si>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</si>
  <si>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</si>
  <si>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</si>
  <si>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</si>
  <si>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</si>
  <si>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</si>
  <si>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</si>
  <si>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</si>
  <si>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</si>
  <si>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</si>
  <si>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</si>
  <si>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</si>
  <si>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</si>
  <si>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</si>
  <si>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</si>
  <si>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</si>
  <si>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</si>
  <si>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</si>
  <si>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</si>
  <si>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</si>
  <si>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</si>
  <si>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</si>
  <si>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</si>
  <si>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</si>
  <si>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</si>
  <si>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</si>
  <si>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</si>
  <si>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</si>
  <si>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</si>
  <si>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</si>
  <si>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</si>
  <si>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</si>
  <si>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</si>
  <si>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</si>
  <si>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</si>
  <si>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</si>
  <si>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</si>
  <si>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</si>
  <si>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</si>
  <si>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</si>
  <si>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</si>
  <si>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</si>
  <si>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</si>
  <si>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</si>
  <si>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</si>
  <si>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</si>
  <si>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</si>
  <si>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</si>
  <si>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</si>
  <si>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</si>
  <si>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</si>
  <si>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</si>
  <si>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</si>
  <si>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</si>
  <si>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</si>
  <si>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</si>
  <si>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</si>
  <si>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</si>
  <si>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</si>
  <si>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</si>
  <si>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</si>
  <si>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</si>
  <si>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</si>
  <si>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</si>
  <si>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</si>
  <si>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</si>
  <si>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</si>
  <si>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</si>
  <si>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</si>
  <si>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</si>
  <si>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</si>
  <si>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</si>
  <si>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</si>
  <si>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</si>
  <si>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</si>
  <si>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</si>
  <si>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</si>
  <si>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</si>
  <si>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</si>
  <si>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</si>
  <si>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</si>
  <si>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</si>
  <si>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</si>
  <si>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</si>
  <si>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</si>
  <si>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</si>
  <si>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</si>
  <si>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</si>
  <si>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</si>
  <si>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</si>
  <si>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</si>
  <si>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</si>
  <si>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</si>
  <si>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</si>
  <si>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</si>
  <si>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</si>
  <si>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</si>
  <si>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</si>
  <si>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</si>
  <si>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</si>
  <si>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</si>
  <si>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</si>
  <si>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</si>
  <si>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</si>
  <si>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</si>
  <si>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</si>
  <si>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</si>
  <si>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</si>
  <si>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</si>
  <si>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</si>
  <si>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</si>
  <si>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</si>
  <si>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</si>
  <si>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</si>
  <si>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</si>
  <si>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</si>
  <si>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</si>
  <si>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</si>
  <si>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</si>
  <si>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</si>
  <si>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</si>
  <si>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</si>
  <si>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</si>
  <si>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</si>
  <si>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</si>
  <si>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</si>
  <si>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</si>
  <si>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</si>
  <si>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</si>
  <si>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</si>
  <si>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</si>
  <si>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</si>
  <si>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</si>
  <si>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</si>
  <si>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</si>
  <si>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</si>
  <si>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</si>
  <si>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</si>
  <si>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</si>
  <si>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</si>
  <si>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</si>
  <si>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</si>
  <si>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</si>
  <si>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</si>
  <si>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</si>
  <si>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</si>
  <si>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</si>
  <si>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</si>
  <si>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</si>
  <si>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</si>
  <si>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</si>
  <si>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</si>
  <si>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</si>
  <si>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</si>
  <si>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</si>
  <si>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</si>
  <si>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</si>
  <si>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</si>
  <si>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</si>
  <si>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</si>
  <si>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</si>
  <si>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</si>
  <si>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</si>
  <si>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</si>
  <si>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</si>
  <si>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</si>
  <si>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</si>
  <si>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</si>
  <si>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</si>
  <si>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</si>
  <si>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</si>
  <si>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</si>
  <si>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</si>
  <si>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</si>
  <si>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</si>
  <si>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</si>
  <si>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</si>
  <si>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</si>
  <si>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</si>
  <si>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吴薇</t>
  </si>
  <si>
    <t>郑燚</t>
  </si>
  <si>
    <t>抵押</t>
  </si>
  <si>
    <t>抵押价格</t>
  </si>
  <si>
    <t>其他：</t>
  </si>
  <si>
    <t>企业</t>
  </si>
  <si>
    <t>出让</t>
  </si>
  <si>
    <t>一致</t>
  </si>
  <si>
    <t>判定</t>
  </si>
  <si>
    <t>高层</t>
  </si>
  <si>
    <t>高层</t>
    <phoneticPr fontId="3" type="noConversion"/>
  </si>
  <si>
    <t>别墅</t>
  </si>
  <si>
    <t>别墅</t>
    <phoneticPr fontId="3" type="noConversion"/>
  </si>
  <si>
    <t>是</t>
    <phoneticPr fontId="3" type="noConversion"/>
  </si>
  <si>
    <t>是</t>
    <phoneticPr fontId="3" type="noConversion"/>
  </si>
  <si>
    <t>高层</t>
    <phoneticPr fontId="7" type="noConversion"/>
  </si>
  <si>
    <t>别墅</t>
    <phoneticPr fontId="7" type="noConversion"/>
  </si>
  <si>
    <t>地上</t>
  </si>
  <si>
    <t>普通住宅</t>
  </si>
  <si>
    <t>独栋</t>
  </si>
  <si>
    <t>铁路建设费</t>
    <phoneticPr fontId="3" type="noConversion"/>
  </si>
  <si>
    <t>代理代办费</t>
    <phoneticPr fontId="3" type="noConversion"/>
  </si>
  <si>
    <t>出让金</t>
    <phoneticPr fontId="3" type="noConversion"/>
  </si>
  <si>
    <t>交易手续费</t>
    <phoneticPr fontId="3" type="noConversion"/>
  </si>
  <si>
    <t>竞买转入</t>
    <phoneticPr fontId="3" type="noConversion"/>
  </si>
  <si>
    <t>合同</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</si>
  <si>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</si>
  <si>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</si>
  <si>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</si>
  <si>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</si>
  <si>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</si>
  <si>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</si>
  <si>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</si>
  <si>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</si>
  <si>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</si>
  <si>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</si>
  <si>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</si>
  <si>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</si>
  <si>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静海区瑞和道东侧</t>
  </si>
  <si>
    <t>天津市</t>
  </si>
  <si>
    <t>综合用地(含住宅)</t>
  </si>
  <si>
    <t>a地块≥1.0且≤1.8;b地块≤0.8;c地块≥1.0且≤1.8</t>
  </si>
  <si>
    <t>挂牌</t>
  </si>
  <si>
    <t>2018-06-29</t>
  </si>
  <si>
    <t>绿城(北京荣意房地产开发有限公司)</t>
  </si>
  <si>
    <t>静海区团泊新城东区</t>
  </si>
  <si>
    <t>住宅用地</t>
  </si>
  <si>
    <t>1.0-1.1</t>
  </si>
  <si>
    <t>2018-04-27</t>
  </si>
  <si>
    <t>碧桂园(天津凤详房地产开发有限公司)</t>
  </si>
  <si>
    <t>静海经济开发区顺帆路南侧、金海道西侧</t>
  </si>
  <si>
    <t>a地块≤7且＞1.0;b地块≤7且＞1.0</t>
  </si>
  <si>
    <t>2018-04-18</t>
  </si>
  <si>
    <t>天津市荣馨泰置业投资有限公司</t>
  </si>
  <si>
    <t>静海区团泊新城西区</t>
  </si>
  <si>
    <t>1.0-1.2</t>
  </si>
  <si>
    <t>2018-03-07</t>
  </si>
  <si>
    <t>碧桂园</t>
  </si>
  <si>
    <t>中骏</t>
  </si>
  <si>
    <t>静海区静海新城东方红路北侧、工农大街东侧</t>
  </si>
  <si>
    <t>＞1且≤4.2</t>
  </si>
  <si>
    <t>2017-10-11</t>
  </si>
  <si>
    <t>天津万辉置业有限公司</t>
  </si>
  <si>
    <t>≥1且≤1.2</t>
  </si>
  <si>
    <t>2017-04-19</t>
  </si>
  <si>
    <t>上海岚町房地产开发有限公司</t>
  </si>
  <si>
    <t>天津市静海区团泊新城西区</t>
  </si>
  <si>
    <t>住宅:≥1且≤1.2;科教:≤0.8</t>
  </si>
  <si>
    <t>拍卖</t>
  </si>
  <si>
    <t>2017-04-06</t>
  </si>
  <si>
    <t>天津荣筑房地产开发有限公司</t>
  </si>
  <si>
    <t>天津市静海区宙纬路南侧、高速西路西侧</t>
  </si>
  <si>
    <t>综合容积率:1.94</t>
  </si>
  <si>
    <t>2017-01-12</t>
  </si>
  <si>
    <t>天津市福运投资有限公司</t>
  </si>
  <si>
    <t>天津市静海区团泊新城东区</t>
  </si>
  <si>
    <t>居住用地:1.0-1.5,商业金融业用地:不大于1.5,市场用地:不大于1.0</t>
  </si>
  <si>
    <t>2016-11-30</t>
  </si>
  <si>
    <t>北京鸿坤伟业房地产开发有限公司</t>
  </si>
  <si>
    <t>居住用地:1.0-1.5、商业金融业用地≤1.5</t>
  </si>
  <si>
    <t>2016-11-23</t>
  </si>
  <si>
    <t>城镇住宅1.0-1.2、商服不大于1.5</t>
  </si>
  <si>
    <t>2016-10-11</t>
  </si>
  <si>
    <t>中昂地产(集团)有限公司</t>
  </si>
  <si>
    <t>静海区静文路南侧、工农大街东侧</t>
  </si>
  <si>
    <t>1.0-3.85</t>
  </si>
  <si>
    <t>2016-09-20</t>
  </si>
  <si>
    <t>天津市合利通金属材料销售有限公司</t>
  </si>
  <si>
    <t>1.0-1.5</t>
  </si>
  <si>
    <t>2016-09-08</t>
  </si>
  <si>
    <t>北京骏恒和信投资有限公司</t>
  </si>
  <si>
    <t>天津市静海区商贸物流园区内</t>
  </si>
  <si>
    <t>居住用地:1.0-1.5;商业服务业设施用地:不大于2.0</t>
  </si>
  <si>
    <t>2016-08-05</t>
  </si>
  <si>
    <t>天津华海德嘉投资管理有限公司</t>
  </si>
  <si>
    <t>正常</t>
    <phoneticPr fontId="26" type="noConversion"/>
  </si>
  <si>
    <t>住宅</t>
    <phoneticPr fontId="26" type="noConversion"/>
  </si>
  <si>
    <t>住宅</t>
    <phoneticPr fontId="26" type="noConversion"/>
  </si>
  <si>
    <t>60-70</t>
    <phoneticPr fontId="26" type="noConversion"/>
  </si>
  <si>
    <t>较规则</t>
    <phoneticPr fontId="26" type="noConversion"/>
  </si>
  <si>
    <t>较好</t>
    <phoneticPr fontId="26" type="noConversion"/>
  </si>
  <si>
    <t>三通</t>
    <phoneticPr fontId="26" type="noConversion"/>
  </si>
  <si>
    <t>三通</t>
    <phoneticPr fontId="26" type="noConversion"/>
  </si>
  <si>
    <t>楼面地价</t>
  </si>
  <si>
    <t>1号楼</t>
    <phoneticPr fontId="233" type="noConversion"/>
  </si>
  <si>
    <t>高层</t>
    <phoneticPr fontId="233" type="noConversion"/>
  </si>
  <si>
    <t>别墅</t>
    <phoneticPr fontId="233" type="noConversion"/>
  </si>
  <si>
    <t>设备</t>
    <phoneticPr fontId="233" type="noConversion"/>
  </si>
  <si>
    <t>地上</t>
    <phoneticPr fontId="233" type="noConversion"/>
  </si>
  <si>
    <t>地下</t>
  </si>
  <si>
    <t>地下</t>
    <phoneticPr fontId="233" type="noConversion"/>
  </si>
  <si>
    <t>地下车库</t>
    <phoneticPr fontId="233" type="noConversion"/>
  </si>
  <si>
    <t>2号楼</t>
  </si>
  <si>
    <t>3号楼</t>
  </si>
  <si>
    <t>4号楼</t>
  </si>
  <si>
    <t>5号楼</t>
  </si>
  <si>
    <t>6号楼</t>
  </si>
  <si>
    <t>7号楼</t>
  </si>
  <si>
    <t>8号楼</t>
  </si>
  <si>
    <t>9号楼</t>
  </si>
  <si>
    <t>10号楼</t>
  </si>
  <si>
    <t>配建1号楼</t>
    <phoneticPr fontId="233" type="noConversion"/>
  </si>
  <si>
    <t>变电站1-3</t>
    <phoneticPr fontId="233" type="noConversion"/>
  </si>
  <si>
    <t>变电站4</t>
    <phoneticPr fontId="233" type="noConversion"/>
  </si>
  <si>
    <t>地下车库1</t>
    <phoneticPr fontId="233" type="noConversion"/>
  </si>
  <si>
    <t>别墅1</t>
    <phoneticPr fontId="233" type="noConversion"/>
  </si>
  <si>
    <t>别墅2</t>
    <phoneticPr fontId="233" type="noConversion"/>
  </si>
  <si>
    <t>别墅3</t>
    <phoneticPr fontId="233" type="noConversion"/>
  </si>
  <si>
    <t>地下车库2</t>
    <phoneticPr fontId="233" type="noConversion"/>
  </si>
  <si>
    <t>幼儿园</t>
    <phoneticPr fontId="233" type="noConversion"/>
  </si>
  <si>
    <t>小学</t>
    <phoneticPr fontId="233" type="noConversion"/>
  </si>
  <si>
    <t>地下车库</t>
    <phoneticPr fontId="3" type="noConversion"/>
  </si>
  <si>
    <t>车库</t>
  </si>
  <si>
    <t>配套</t>
    <phoneticPr fontId="3" type="noConversion"/>
  </si>
  <si>
    <t>地下车库</t>
    <phoneticPr fontId="7" type="noConversion"/>
  </si>
  <si>
    <t>比较法-住宅、综合</t>
  </si>
  <si>
    <t>土地</t>
  </si>
  <si>
    <t>售价</t>
  </si>
  <si>
    <t>正常</t>
    <phoneticPr fontId="21" type="noConversion"/>
  </si>
  <si>
    <t>住宅</t>
    <phoneticPr fontId="21" type="noConversion"/>
  </si>
  <si>
    <t>60-70（含）</t>
  </si>
  <si>
    <t>鸿坤理想城</t>
    <phoneticPr fontId="3" type="noConversion"/>
  </si>
  <si>
    <t>中骏云景台</t>
    <phoneticPr fontId="3" type="noConversion"/>
  </si>
  <si>
    <t>天房光合谷泊雅苑</t>
    <phoneticPr fontId="3" type="noConversion"/>
  </si>
  <si>
    <t>湖语公园</t>
    <phoneticPr fontId="3" type="noConversion"/>
  </si>
  <si>
    <t>云燕庄园</t>
    <phoneticPr fontId="3" type="noConversion"/>
  </si>
  <si>
    <t>正常</t>
    <phoneticPr fontId="27" type="noConversion"/>
  </si>
  <si>
    <t>正常</t>
    <phoneticPr fontId="27" type="noConversion"/>
  </si>
  <si>
    <t>车库</t>
    <phoneticPr fontId="27" type="noConversion"/>
  </si>
  <si>
    <t>土地（套用方法）</t>
  </si>
  <si>
    <t>钢混</t>
  </si>
  <si>
    <t>自定义</t>
  </si>
  <si>
    <t>不动产收益法</t>
  </si>
  <si>
    <t>剩余法-待开发</t>
  </si>
  <si>
    <t>仅含出让金</t>
  </si>
  <si>
    <t>估价对象周边有中惠·团泊湖光耀城、泊湖林奇郡等社区，居住小区规模和社区发展完善程度较好，综合评价居住社区成熟度较好</t>
    <phoneticPr fontId="3" type="noConversion"/>
  </si>
  <si>
    <t>估价对象临中央大道，有山深线等道路、公共交通通达情况较好，有156路、710路等公交线路、停车便捷程度较好，综合评价交通便捷度较好</t>
    <phoneticPr fontId="3" type="noConversion"/>
  </si>
  <si>
    <t>融创伍杄岛</t>
    <phoneticPr fontId="3" type="noConversion"/>
  </si>
  <si>
    <t>静海区团泊新城东区</t>
    <phoneticPr fontId="233" type="noConversion"/>
  </si>
  <si>
    <t>静海区团泊新城西区</t>
    <phoneticPr fontId="233" type="noConversion"/>
  </si>
  <si>
    <t>联排</t>
  </si>
  <si>
    <t>联排</t>
    <phoneticPr fontId="21" type="noConversion"/>
  </si>
  <si>
    <t>洋房</t>
    <phoneticPr fontId="21" type="noConversion"/>
  </si>
  <si>
    <t>高层</t>
    <phoneticPr fontId="21" type="noConversion"/>
  </si>
  <si>
    <t>联排</t>
    <phoneticPr fontId="233" type="noConversion"/>
  </si>
  <si>
    <t>洋房</t>
    <phoneticPr fontId="233" type="noConversion"/>
  </si>
  <si>
    <t>高层</t>
    <phoneticPr fontId="233" type="noConversion"/>
  </si>
  <si>
    <t>多面临街</t>
  </si>
  <si>
    <t>高速</t>
    <phoneticPr fontId="21" type="noConversion"/>
  </si>
  <si>
    <t>快速</t>
    <phoneticPr fontId="21" type="noConversion"/>
  </si>
  <si>
    <t>主</t>
    <phoneticPr fontId="21" type="noConversion"/>
  </si>
  <si>
    <t>次</t>
    <phoneticPr fontId="21" type="noConversion"/>
  </si>
  <si>
    <t>支</t>
  </si>
  <si>
    <t>支</t>
    <phoneticPr fontId="21" type="noConversion"/>
  </si>
  <si>
    <t>高速</t>
    <phoneticPr fontId="26" type="noConversion"/>
  </si>
  <si>
    <t>快速</t>
    <phoneticPr fontId="26" type="noConversion"/>
  </si>
  <si>
    <t>主</t>
    <phoneticPr fontId="26" type="noConversion"/>
  </si>
  <si>
    <t>次</t>
    <phoneticPr fontId="26" type="noConversion"/>
  </si>
  <si>
    <t>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</si>
</sst>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5"/>
    <xf numFmtId="0" fontId="86" fillId="6" borderId="0" xfId="15"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5" fillId="9" borderId="0" xfId="0" applyFont="1" applyFill="1">
      <alignment vertical="center"/>
    </xf>
    <xf numFmtId="176" fontId="11" fillId="9" borderId="2" xfId="0" applyNumberFormat="1"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71" fillId="9" borderId="51" xfId="0" applyFont="1" applyFill="1" applyBorder="1" applyAlignment="1" applyProtection="1">
      <alignment horizontal="center" vertical="center" wrapText="1"/>
    </xf>
    <xf numFmtId="0" fontId="71" fillId="9" borderId="52" xfId="0" applyFont="1" applyFill="1" applyBorder="1" applyAlignment="1" applyProtection="1">
      <alignment horizontal="center" vertical="center" wrapText="1"/>
    </xf>
    <xf numFmtId="49" fontId="144" fillId="9" borderId="11" xfId="0" applyNumberFormat="1" applyFont="1" applyFill="1" applyBorder="1" applyAlignment="1" applyProtection="1">
      <alignment horizontal="center" vertical="center" wrapText="1"/>
      <protection locked="0"/>
    </xf>
    <xf numFmtId="0" fontId="71" fillId="9" borderId="29" xfId="0" applyFont="1" applyFill="1" applyBorder="1" applyAlignment="1" applyProtection="1">
      <alignment horizontal="center" vertical="center" wrapText="1"/>
    </xf>
    <xf numFmtId="0" fontId="71" fillId="9" borderId="4" xfId="0" applyFont="1" applyFill="1" applyBorder="1" applyAlignment="1" applyProtection="1">
      <alignment horizontal="center" vertical="center" wrapText="1"/>
      <protection locked="0"/>
    </xf>
    <xf numFmtId="0" fontId="0" fillId="0" borderId="0" xfId="0" applyFill="1">
      <alignment vertical="center"/>
    </xf>
    <xf numFmtId="0" fontId="71" fillId="0" borderId="5" xfId="0" applyFont="1" applyFill="1" applyBorder="1" applyAlignment="1" applyProtection="1">
      <alignment horizontal="center" vertical="center" wrapText="1"/>
    </xf>
    <xf numFmtId="0" fontId="127" fillId="6" borderId="0" xfId="15" applyFont="1" applyFill="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9" borderId="11" xfId="0" applyFont="1" applyFill="1" applyBorder="1" applyAlignment="1" applyProtection="1">
      <alignment horizontal="center" vertical="center" wrapText="1"/>
      <protection locked="0"/>
    </xf>
    <xf numFmtId="0" fontId="267" fillId="9"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9" borderId="9" xfId="0" applyFont="1" applyFill="1" applyBorder="1" applyAlignment="1" applyProtection="1">
      <alignment horizontal="center" vertical="center" wrapText="1"/>
      <protection locked="0"/>
    </xf>
    <xf numFmtId="0" fontId="267" fillId="9" borderId="5"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66675</xdr:colOff>
      <xdr:row>21</xdr:row>
      <xdr:rowOff>103138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53075" cy="3703588"/>
        </a:xfrm>
        <a:prstGeom prst="rect">
          <a:avLst/>
        </a:prstGeom>
      </xdr:spPr>
    </xdr:pic>
    <xdr:clientData/>
  </xdr:twoCellAnchor>
  <xdr:twoCellAnchor editAs="oneCell">
    <xdr:from>
      <xdr:col>0</xdr:col>
      <xdr:colOff>0</xdr:colOff>
      <xdr:row>21</xdr:row>
      <xdr:rowOff>76200</xdr:rowOff>
    </xdr:from>
    <xdr:to>
      <xdr:col>8</xdr:col>
      <xdr:colOff>85725</xdr:colOff>
      <xdr:row>41</xdr:row>
      <xdr:rowOff>2408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76650"/>
          <a:ext cx="5572125" cy="3355208"/>
        </a:xfrm>
        <a:prstGeom prst="rect">
          <a:avLst/>
        </a:prstGeom>
      </xdr:spPr>
    </xdr:pic>
    <xdr:clientData/>
  </xdr:twoCellAnchor>
  <xdr:twoCellAnchor editAs="oneCell">
    <xdr:from>
      <xdr:col>0</xdr:col>
      <xdr:colOff>0</xdr:colOff>
      <xdr:row>41</xdr:row>
      <xdr:rowOff>0</xdr:rowOff>
    </xdr:from>
    <xdr:to>
      <xdr:col>8</xdr:col>
      <xdr:colOff>114897</xdr:colOff>
      <xdr:row>61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5601297" cy="3562350"/>
        </a:xfrm>
        <a:prstGeom prst="rect">
          <a:avLst/>
        </a:prstGeom>
      </xdr:spPr>
    </xdr:pic>
    <xdr:clientData/>
  </xdr:twoCellAnchor>
  <xdr:twoCellAnchor editAs="oneCell">
    <xdr:from>
      <xdr:col>8</xdr:col>
      <xdr:colOff>647701</xdr:colOff>
      <xdr:row>0</xdr:row>
      <xdr:rowOff>19051</xdr:rowOff>
    </xdr:from>
    <xdr:to>
      <xdr:col>18</xdr:col>
      <xdr:colOff>28378</xdr:colOff>
      <xdr:row>21</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34101" y="19051"/>
          <a:ext cx="6238677" cy="3667124"/>
        </a:xfrm>
        <a:prstGeom prst="rect">
          <a:avLst/>
        </a:prstGeom>
      </xdr:spPr>
    </xdr:pic>
    <xdr:clientData/>
  </xdr:twoCellAnchor>
  <xdr:twoCellAnchor editAs="oneCell">
    <xdr:from>
      <xdr:col>8</xdr:col>
      <xdr:colOff>666750</xdr:colOff>
      <xdr:row>21</xdr:row>
      <xdr:rowOff>47626</xdr:rowOff>
    </xdr:from>
    <xdr:to>
      <xdr:col>18</xdr:col>
      <xdr:colOff>28575</xdr:colOff>
      <xdr:row>44</xdr:row>
      <xdr:rowOff>17933</xdr:rowOff>
    </xdr:to>
    <xdr:pic>
      <xdr:nvPicPr>
        <xdr:cNvPr id="6" name="图片 5"/>
        <xdr:cNvPicPr>
          <a:picLocks noChangeAspect="1"/>
        </xdr:cNvPicPr>
      </xdr:nvPicPr>
      <xdr:blipFill>
        <a:blip xmlns:r="http://schemas.openxmlformats.org/officeDocument/2006/relationships" r:embed="rId5"/>
        <a:stretch>
          <a:fillRect/>
        </a:stretch>
      </xdr:blipFill>
      <xdr:spPr>
        <a:xfrm>
          <a:off x="6153150" y="3648076"/>
          <a:ext cx="6219825" cy="3913657"/>
        </a:xfrm>
        <a:prstGeom prst="rect">
          <a:avLst/>
        </a:prstGeom>
      </xdr:spPr>
    </xdr:pic>
    <xdr:clientData/>
  </xdr:twoCellAnchor>
  <xdr:twoCellAnchor editAs="oneCell">
    <xdr:from>
      <xdr:col>9</xdr:col>
      <xdr:colOff>0</xdr:colOff>
      <xdr:row>44</xdr:row>
      <xdr:rowOff>0</xdr:rowOff>
    </xdr:from>
    <xdr:to>
      <xdr:col>18</xdr:col>
      <xdr:colOff>0</xdr:colOff>
      <xdr:row>65</xdr:row>
      <xdr:rowOff>119288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7543800"/>
          <a:ext cx="6172200" cy="37197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2-&#23545;&#20844;&#20107;&#19994;&#37096;&#8212;&#30005;&#31639;&#34920;-&#22303;&#22320;-&#35299;&#22269;&#26126;20180929-1014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别墅"/>
      <sheetName val="不动产比较法-车位"/>
      <sheetName val="不动产比较法-仓储"/>
      <sheetName val="典型户型修正"/>
      <sheetName val="存贷款利率"/>
      <sheetName val="不动产收益法"/>
      <sheetName val="土地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322700.68999999994</v>
          </cell>
          <cell r="C14">
            <v>162918.79999999999</v>
          </cell>
          <cell r="D14">
            <v>147686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别墅"/>
      <sheetName val="不动产比较法-车位"/>
      <sheetName val="不动产比较法-仓储"/>
      <sheetName val="典型户型修正"/>
      <sheetName val="存贷款利率"/>
      <sheetName val="不动产收益法"/>
      <sheetName val="土地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1">
          <cell r="G21">
            <v>53975.3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出让国有建设用地使用权抵押价格预评估</v>
      </c>
      <c r="AX2" s="2897"/>
      <c r="AZ2" s="2897"/>
      <c r="BA2" s="2898"/>
      <c r="BC2" s="2898"/>
    </row>
    <row r="3" spans="1:55" s="2899" customFormat="1">
      <c r="A3" s="2878" t="s">
        <v>2663</v>
      </c>
      <c r="B3" s="2881">
        <f>'预评函-封皮'!B40</f>
        <v>0</v>
      </c>
    </row>
    <row r="4" spans="1:55" s="2880" customFormat="1">
      <c r="A4" s="2878" t="s">
        <v>2664</v>
      </c>
      <c r="B4" s="2879" t="str">
        <f>'预评函-封皮'!B46</f>
        <v>吴薇、郑燚</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受贵公司委托，我公司对出让国有建设用地使用权抵押价格进行了预评估。</v>
      </c>
      <c r="AM6" s="2903"/>
    </row>
    <row r="7" spans="1:55" s="2877" customFormat="1">
      <c r="A7" s="2878" t="s">
        <v>2659</v>
      </c>
      <c r="B7" s="2879" t="str">
        <f>'预评函-1'!A6</f>
        <v>估价对象为使用的、位于出让国有建设用地使用权。根据《国有土地使用证》[]，估价对象（分摊）出让国有建设用地使用权面积为118010.9平方米。根据《建设工程规划许可证》[]、《出让合同》[]，估价对象规划建筑面积为229142.35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2661</v>
      </c>
      <c r="B10" s="2879" t="str">
        <f>'预评函-1'!A11</f>
        <v>2018年10月29日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根据《国有土地使用证》[]，估价对象（分摊）出让国有建设用地使用权面积为118010.9平方米。根据《建设工程规划许可证》[]、《出让合同》[]，估价对象规划建筑面积为229142.35平方米。</v>
      </c>
    </row>
    <row r="16" spans="1:55" s="2877" customFormat="1">
      <c r="A16" s="2878" t="s">
        <v>2671</v>
      </c>
      <c r="B16" s="2879" t="str">
        <f>'预评函-1'!A22</f>
        <v>本次估价对象为出让国有建设用地使用权，《国有土地使用证》[]证载土地终止日期为住宅2083年8月29日地下车库2063年8月29日。截至估价期日，出让国有建设用地使用权剩余土地使用年限为。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2675</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2676</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2677</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估价期日：2018年10月29日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118010.9</v>
      </c>
    </row>
    <row r="44" spans="1:2">
      <c r="A44" s="2878" t="s">
        <v>2742</v>
      </c>
      <c r="B44" s="2879" t="str">
        <f>'预评函-2'!O3</f>
        <v>规划建筑面积/㎡</v>
      </c>
    </row>
    <row r="45" spans="1:2">
      <c r="A45" s="2878" t="s">
        <v>2724</v>
      </c>
      <c r="B45" s="2879">
        <f>'预评函-2'!O5</f>
        <v>229142.34999999998</v>
      </c>
    </row>
    <row r="46" spans="1:2">
      <c r="A46" s="2878" t="s">
        <v>2725</v>
      </c>
      <c r="B46" s="2879">
        <f ca="1">'预评函-2'!P5</f>
        <v>7811</v>
      </c>
    </row>
    <row r="47" spans="1:2">
      <c r="A47" s="2878" t="s">
        <v>2726</v>
      </c>
      <c r="B47" s="2879">
        <f ca="1">'预评函-2'!Q5</f>
        <v>4023</v>
      </c>
    </row>
    <row r="48" spans="1:2">
      <c r="A48" s="2878" t="s">
        <v>2727</v>
      </c>
      <c r="B48" s="2879">
        <f ca="1">'预评函-2'!R5</f>
        <v>92182</v>
      </c>
    </row>
    <row r="49" spans="1:2">
      <c r="A49" s="2878" t="s">
        <v>2743</v>
      </c>
      <c r="B49" s="2879" t="str">
        <f>'预评函-2'!A6</f>
        <v>抵押价格</v>
      </c>
    </row>
    <row r="50" spans="1:2">
      <c r="A50" s="2878" t="s">
        <v>2728</v>
      </c>
      <c r="B50" s="2879">
        <f ca="1">'预评函-2'!R6</f>
        <v>92182</v>
      </c>
    </row>
    <row r="51" spans="1:2">
      <c r="A51" s="2878" t="s">
        <v>2744</v>
      </c>
      <c r="B51" s="2879" t="str">
        <f>'预评函-2'!A7</f>
        <v>——</v>
      </c>
    </row>
    <row r="52" spans="1:2">
      <c r="A52" s="2878" t="s">
        <v>2729</v>
      </c>
      <c r="B52" s="2879" t="str">
        <f>'预评函-2'!R7</f>
        <v>——</v>
      </c>
    </row>
    <row r="53" spans="1:2">
      <c r="A53" s="2878" t="s">
        <v>2745</v>
      </c>
      <c r="B53" s="2879">
        <f>'预评函-2'!A8</f>
        <v>0</v>
      </c>
    </row>
    <row r="54" spans="1:2" s="2893" customFormat="1" ht="15" thickBot="1">
      <c r="A54" s="2900" t="s">
        <v>2730</v>
      </c>
      <c r="B54" s="2901" t="str">
        <f>'预评函-2'!R8</f>
        <v>——</v>
      </c>
    </row>
    <row r="55" spans="1:2" ht="15"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2.本《评估意见函》仅供金融机构进行内部审核使用，不做其他目的之用。</v>
      </c>
    </row>
    <row r="60" spans="1:2">
      <c r="A60" s="2878" t="s">
        <v>2684</v>
      </c>
      <c r="B60" s="2879" t="str">
        <f>'预评函-3'!A9</f>
        <v>3.抵押双方在办理抵押登记手续时，应使用本公司出具的正式《土地估价报告》，特提请报告使用者注意。</v>
      </c>
    </row>
    <row r="61" spans="1:2">
      <c r="A61" s="2878" t="s">
        <v>2686</v>
      </c>
      <c r="B61" s="2879" t="str">
        <f>'预评函-3'!A10</f>
        <v>4.估价师所知悉的法定优先受偿款情况为：</v>
      </c>
    </row>
    <row r="62" spans="1:2">
      <c r="A62" s="2878" t="s">
        <v>2685</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综上，本次评估不存在估价师知悉的法定优先受偿款</v>
      </c>
    </row>
    <row r="66" spans="1:2">
      <c r="A66" s="2878" t="s">
        <v>2690</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吴薇</v>
      </c>
    </row>
    <row r="70" spans="1:2">
      <c r="A70" s="2878" t="s">
        <v>2692</v>
      </c>
      <c r="B70" s="2885">
        <f ca="1">'预评函-3'!B20</f>
        <v>2002110125</v>
      </c>
    </row>
    <row r="71" spans="1:2">
      <c r="A71" s="2878" t="s">
        <v>2693</v>
      </c>
      <c r="B71" s="2879" t="str">
        <f>'预评函-3'!A21</f>
        <v>郑燚</v>
      </c>
    </row>
    <row r="72" spans="1:2" s="2893" customFormat="1" ht="15" thickBot="1">
      <c r="A72" s="2900" t="s">
        <v>2693</v>
      </c>
      <c r="B72" s="2906">
        <f>'预评函-3'!B21</f>
        <v>2014110011</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19" sqref="D19"/>
    </sheetView>
  </sheetViews>
  <sheetFormatPr defaultColWidth="10" defaultRowHeight="14.25"/>
  <cols>
    <col min="1" max="1" width="15.375" style="1690" customWidth="1"/>
    <col min="2" max="2" width="11.375" style="1690" customWidth="1"/>
    <col min="3" max="3" width="12.625" style="1690" customWidth="1"/>
    <col min="4" max="4" width="11.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4" t="str">
        <f>IF(B10="北京市","北京市",C10)&amp;F10&amp;B16&amp;"国有建设用地使用权"&amp;B9&amp;"预评估"</f>
        <v>出让国有建设用地使用权抵押价格预评估</v>
      </c>
      <c r="C1" s="3245"/>
      <c r="D1" s="3245"/>
      <c r="E1" s="3245"/>
      <c r="F1" s="3245"/>
      <c r="G1" s="3245"/>
      <c r="H1" s="3245"/>
      <c r="I1" s="3246"/>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c r="C3" s="1662" t="s">
        <v>1998</v>
      </c>
      <c r="D3" s="1661">
        <v>43402</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2986</v>
      </c>
      <c r="C4" s="1845">
        <f ca="1">SUMIF(土地估价师,B4,估价师及机构信息!E3:E24)</f>
        <v>2002110125</v>
      </c>
      <c r="D4" s="1842" t="s">
        <v>2987</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2708</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2988</v>
      </c>
      <c r="C8" s="1670"/>
      <c r="D8" s="3250" t="s">
        <v>1947</v>
      </c>
      <c r="E8" s="1843" t="s">
        <v>2989</v>
      </c>
      <c r="F8" s="1671"/>
      <c r="G8" s="1659"/>
      <c r="H8" s="1659"/>
      <c r="I8" s="1706"/>
      <c r="J8" s="1693"/>
      <c r="K8" s="1773"/>
      <c r="L8" s="1722"/>
      <c r="M8" s="1722"/>
      <c r="N8" s="1693"/>
      <c r="O8" s="1694"/>
      <c r="P8" s="1693"/>
      <c r="Q8" s="1693"/>
      <c r="R8" s="1693"/>
      <c r="S8" s="1693"/>
      <c r="T8" s="1693"/>
      <c r="U8" s="1693"/>
    </row>
    <row r="9" spans="1:21" ht="15" thickBot="1">
      <c r="A9" s="1672" t="s">
        <v>1946</v>
      </c>
      <c r="B9" s="1673" t="s">
        <v>2989</v>
      </c>
      <c r="C9" s="1674"/>
      <c r="D9" s="3251"/>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2990</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2991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47"/>
      <c r="C12" s="3248"/>
      <c r="D12" s="3249"/>
      <c r="E12" s="1698" t="s">
        <v>2064</v>
      </c>
      <c r="F12" s="3265" t="s">
        <v>2891</v>
      </c>
      <c r="G12" s="3266"/>
      <c r="H12" s="3266"/>
      <c r="I12" s="3267"/>
      <c r="J12" s="1693"/>
      <c r="K12" s="1773"/>
      <c r="L12" s="1722"/>
      <c r="M12" s="1722"/>
      <c r="N12" s="1693"/>
      <c r="O12" s="1694"/>
      <c r="P12" s="1693"/>
      <c r="Q12" s="1693"/>
      <c r="R12" s="1693"/>
      <c r="S12" s="1693"/>
      <c r="T12" s="1693"/>
      <c r="U12" s="1693"/>
    </row>
    <row r="13" spans="1:21">
      <c r="A13" s="1686" t="s">
        <v>2062</v>
      </c>
      <c r="B13" s="3247"/>
      <c r="C13" s="3248"/>
      <c r="D13" s="3249"/>
      <c r="E13" s="1698" t="s">
        <v>2064</v>
      </c>
      <c r="F13" s="3265" t="s">
        <v>2892</v>
      </c>
      <c r="G13" s="3266"/>
      <c r="H13" s="3266"/>
      <c r="I13" s="3267"/>
      <c r="J13" s="1693"/>
      <c r="K13" s="1773"/>
      <c r="L13" s="1722"/>
      <c r="M13" s="1722"/>
      <c r="N13" s="1693"/>
      <c r="O13" s="1694"/>
      <c r="P13" s="1693"/>
      <c r="Q13" s="1693"/>
      <c r="R13" s="1693"/>
      <c r="S13" s="1693"/>
      <c r="T13" s="1693"/>
      <c r="U13" s="1693"/>
    </row>
    <row r="14" spans="1:21">
      <c r="A14" s="1660" t="s">
        <v>2065</v>
      </c>
      <c r="B14" s="1698"/>
      <c r="C14" s="1844" t="s">
        <v>2993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2992</v>
      </c>
      <c r="C16" s="1698" t="s">
        <v>1951</v>
      </c>
      <c r="D16" s="2646" t="s">
        <v>1952</v>
      </c>
      <c r="E16" s="1721"/>
      <c r="F16" s="1721"/>
      <c r="G16" s="1721" t="s">
        <v>35</v>
      </c>
      <c r="H16" s="1721"/>
      <c r="I16" s="1685" t="s">
        <v>1957</v>
      </c>
      <c r="J16" s="1693"/>
      <c r="K16" s="2456" t="str">
        <f>IF(D17="","",D16&amp;TEXT(D17,"yyyy年m月d日;;"))</f>
        <v>住宅2083年8月29日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地下车库2063年8月29日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67082</v>
      </c>
      <c r="E17" s="1699"/>
      <c r="F17" s="1699"/>
      <c r="G17" s="1699">
        <v>59777</v>
      </c>
      <c r="H17" s="1699"/>
      <c r="I17" s="1699"/>
      <c r="J17" s="1693"/>
      <c r="K17" s="2455" t="str">
        <f>CONCATENATE(K16,L16,M16,N16,O16,P16,Q16,R16,S16,T16,,U16)</f>
        <v>住宅2083年8月29日地下车库2063年8月29日</v>
      </c>
      <c r="L17" s="1722"/>
      <c r="M17" s="1722"/>
      <c r="N17" s="1693"/>
      <c r="O17" s="1694"/>
      <c r="P17" s="1693"/>
      <c r="Q17" s="1693"/>
      <c r="R17" s="1693"/>
      <c r="S17" s="1693"/>
      <c r="T17" s="1693"/>
      <c r="U17" s="1693"/>
    </row>
    <row r="18" spans="1:21">
      <c r="A18" s="1762"/>
      <c r="B18" s="1681"/>
      <c r="C18" s="1682" t="s">
        <v>1959</v>
      </c>
      <c r="D18" s="1683">
        <v>70</v>
      </c>
      <c r="E18" s="1683"/>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64.87</v>
      </c>
      <c r="E19" s="1684" t="str">
        <f>IF(B16="出让",IF(E17="","",ROUNDDOWN(MIN((E17-$D$3)/365,E18),2)),E18)</f>
        <v/>
      </c>
      <c r="F19" s="1684" t="str">
        <f>IF(B16="出让",IF(F17="","",ROUNDDOWN(MIN((F17-$D$3)/365,F18),2)),F18)</f>
        <v/>
      </c>
      <c r="G19" s="1684">
        <f>IF(B16="出让",IF(G17="","",ROUNDDOWN(MIN((G17-$D$3)/365,G18),2)),G18)</f>
        <v>44.86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62"/>
      <c r="E20" s="3263"/>
      <c r="F20" s="3263"/>
      <c r="G20" s="3263"/>
      <c r="H20" s="3263"/>
      <c r="I20" s="3264"/>
      <c r="J20" s="1693"/>
      <c r="K20" s="1773"/>
      <c r="L20" s="1722"/>
      <c r="M20" s="1722"/>
      <c r="N20" s="1693"/>
      <c r="O20" s="1694"/>
      <c r="P20" s="1693"/>
      <c r="Q20" s="1693"/>
      <c r="R20" s="1693"/>
      <c r="S20" s="1693"/>
      <c r="T20" s="1693"/>
      <c r="U20" s="1693"/>
    </row>
    <row r="21" spans="1:21">
      <c r="A21" s="1762" t="s">
        <v>1961</v>
      </c>
      <c r="B21" s="1763" t="s">
        <v>1962</v>
      </c>
      <c r="C21" s="1758">
        <f>'数据-汇总表'!E3</f>
        <v>229142.34999999998</v>
      </c>
      <c r="D21" s="1759" t="s">
        <v>1963</v>
      </c>
      <c r="E21" s="3252" t="s">
        <v>2001</v>
      </c>
      <c r="F21" s="3253"/>
      <c r="G21" s="3253"/>
      <c r="H21" s="3253"/>
      <c r="I21" s="3254"/>
      <c r="J21" s="1693"/>
      <c r="K21" s="1773"/>
      <c r="L21" s="1722"/>
      <c r="M21" s="1722"/>
      <c r="N21" s="1693"/>
      <c r="O21" s="1694"/>
      <c r="P21" s="1693"/>
      <c r="Q21" s="1693"/>
      <c r="R21" s="1693"/>
      <c r="S21" s="1693"/>
      <c r="T21" s="1693"/>
      <c r="U21" s="1693"/>
    </row>
    <row r="22" spans="1:21">
      <c r="A22" s="3147" t="s">
        <v>952</v>
      </c>
      <c r="B22" s="1660" t="s">
        <v>1964</v>
      </c>
      <c r="C22" s="1685">
        <f>'数据-汇总表'!D3</f>
        <v>118010.9</v>
      </c>
      <c r="D22" s="1686" t="s">
        <v>1963</v>
      </c>
      <c r="E22" s="3252" t="s">
        <v>2893</v>
      </c>
      <c r="F22" s="3253"/>
      <c r="G22" s="3253"/>
      <c r="H22" s="3253"/>
      <c r="I22" s="3254"/>
      <c r="J22" s="1693"/>
      <c r="K22" s="1773"/>
      <c r="L22" s="1722"/>
      <c r="M22" s="1722"/>
      <c r="N22" s="1693"/>
      <c r="O22" s="1694"/>
      <c r="P22" s="1693"/>
      <c r="Q22" s="1693"/>
      <c r="R22" s="1693"/>
      <c r="S22" s="1693"/>
      <c r="T22" s="1693"/>
      <c r="U22" s="1693"/>
    </row>
    <row r="23" spans="1:21" ht="43.5" thickBot="1">
      <c r="A23" s="1764" t="s">
        <v>1965</v>
      </c>
      <c r="B23" s="1700" t="s">
        <v>1966</v>
      </c>
      <c r="C23" s="1701" t="s">
        <v>2994</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55" t="s">
        <v>1969</v>
      </c>
      <c r="C24" s="3256"/>
      <c r="D24" s="3257" t="s">
        <v>1970</v>
      </c>
      <c r="E24" s="3258"/>
      <c r="F24" s="1707" t="s">
        <v>1971</v>
      </c>
      <c r="G24" s="1693"/>
      <c r="H24" s="1693"/>
      <c r="I24" s="1706"/>
      <c r="J24" s="1693"/>
      <c r="K24" s="3243"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43"/>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43"/>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70" t="s">
        <v>2004</v>
      </c>
      <c r="B31" s="1763" t="s">
        <v>2005</v>
      </c>
      <c r="C31" s="3268"/>
      <c r="D31" s="3269"/>
      <c r="E31" s="1693"/>
      <c r="F31" s="1693"/>
      <c r="G31" s="1693"/>
      <c r="H31" s="1693"/>
      <c r="I31" s="1706"/>
      <c r="J31" s="1693"/>
      <c r="K31" s="2458"/>
      <c r="L31" s="1693"/>
      <c r="M31" s="1693"/>
      <c r="N31" s="1693"/>
      <c r="O31" s="1693"/>
      <c r="P31" s="1693"/>
      <c r="Q31" s="1693"/>
      <c r="R31" s="1693"/>
      <c r="S31" s="1693"/>
      <c r="T31" s="1693"/>
      <c r="U31" s="1693"/>
    </row>
    <row r="32" spans="1:21">
      <c r="A32" s="3270"/>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70"/>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71"/>
      <c r="B34" s="1660" t="s">
        <v>2008</v>
      </c>
      <c r="C34" s="3272"/>
      <c r="D34" s="3273"/>
      <c r="E34" s="1693"/>
      <c r="F34" s="1693"/>
      <c r="G34" s="1693"/>
      <c r="H34" s="1693"/>
      <c r="I34" s="1706"/>
      <c r="J34" s="1693"/>
      <c r="K34" s="2458"/>
      <c r="L34" s="1693"/>
      <c r="M34" s="1693"/>
      <c r="N34" s="1693"/>
      <c r="O34" s="1693"/>
      <c r="P34" s="1693"/>
      <c r="Q34" s="1693"/>
      <c r="R34" s="1693"/>
      <c r="S34" s="1693"/>
      <c r="T34" s="1693"/>
      <c r="U34" s="1693"/>
    </row>
    <row r="35" spans="1:21">
      <c r="A35" s="3274" t="s">
        <v>847</v>
      </c>
      <c r="B35" s="1721"/>
      <c r="C35" s="1775" t="str">
        <f>IF(B35="场地平整","——","具体情况：")</f>
        <v>具体情况：</v>
      </c>
      <c r="D35" s="3276"/>
      <c r="E35" s="3277"/>
      <c r="F35" s="3277"/>
      <c r="G35" s="3277"/>
      <c r="H35" s="3277"/>
      <c r="I35" s="3278"/>
      <c r="J35" s="1693"/>
      <c r="K35" s="1774"/>
      <c r="L35" s="1722"/>
      <c r="M35" s="1722"/>
      <c r="N35" s="1693"/>
      <c r="O35" s="1694"/>
      <c r="P35" s="1693"/>
      <c r="Q35" s="1693"/>
      <c r="R35" s="1693"/>
      <c r="S35" s="1693"/>
      <c r="T35" s="1693"/>
      <c r="U35" s="1693"/>
    </row>
    <row r="36" spans="1:21">
      <c r="A36" s="3270"/>
      <c r="B36" s="3279" t="s">
        <v>2057</v>
      </c>
      <c r="C36" s="3280"/>
      <c r="D36" s="1791"/>
      <c r="E36" s="3281"/>
      <c r="F36" s="3281"/>
      <c r="G36" s="1686" t="str">
        <f>IF(B35="场地未平整","估价结果处理","")</f>
        <v/>
      </c>
      <c r="H36" s="3282"/>
      <c r="I36" s="3282"/>
      <c r="J36" s="1693"/>
      <c r="K36" s="1774"/>
      <c r="L36" s="1722"/>
      <c r="M36" s="1722"/>
      <c r="N36" s="1693"/>
      <c r="O36" s="1694"/>
      <c r="P36" s="1693"/>
      <c r="Q36" s="1693"/>
      <c r="R36" s="1693"/>
      <c r="S36" s="1693"/>
      <c r="T36" s="1693"/>
      <c r="U36" s="1693"/>
    </row>
    <row r="37" spans="1:21" ht="28.5">
      <c r="A37" s="3270"/>
      <c r="B37" s="325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0"/>
      <c r="B38" s="3260"/>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271"/>
      <c r="B39" s="326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42" t="s">
        <v>1988</v>
      </c>
      <c r="T40" s="1730" t="str">
        <f>NUMBERSTRING(7-K40,1)&amp;"通"</f>
        <v>七通</v>
      </c>
      <c r="U40" s="1693"/>
    </row>
    <row r="41" spans="1:21">
      <c r="A41" s="1662"/>
      <c r="B41" s="3275" t="s">
        <v>1722</v>
      </c>
      <c r="C41" s="3275"/>
      <c r="D41" s="3275"/>
      <c r="E41" s="3275"/>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2"/>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9" sqref="B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118010.9</v>
      </c>
      <c r="B3" s="22">
        <f>IF(C3="否",G5-AT5,G5)</f>
        <v>229142.34999999998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229142.34999999998</v>
      </c>
      <c r="H5" s="27">
        <f t="shared" ref="H5:AT5" si="0">SUM(H13:H641)</f>
        <v>196709.24</v>
      </c>
      <c r="I5" s="27">
        <f t="shared" si="0"/>
        <v>118482.68000000001</v>
      </c>
      <c r="J5" s="27">
        <f t="shared" si="0"/>
        <v>0</v>
      </c>
      <c r="K5" s="27">
        <f t="shared" si="0"/>
        <v>41678.300000000003</v>
      </c>
      <c r="L5" s="27">
        <f t="shared" si="0"/>
        <v>0</v>
      </c>
      <c r="M5" s="27">
        <f t="shared" si="0"/>
        <v>36548.259999999995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32433.11</v>
      </c>
      <c r="AD5" s="27">
        <f t="shared" si="0"/>
        <v>12760</v>
      </c>
      <c r="AE5" s="27">
        <f t="shared" si="0"/>
        <v>0</v>
      </c>
      <c r="AF5" s="27">
        <f t="shared" si="0"/>
        <v>0</v>
      </c>
      <c r="AG5" s="27">
        <f t="shared" si="0"/>
        <v>0</v>
      </c>
      <c r="AH5" s="27">
        <f t="shared" si="0"/>
        <v>0</v>
      </c>
      <c r="AI5" s="27">
        <f t="shared" si="0"/>
        <v>0</v>
      </c>
      <c r="AJ5" s="27">
        <f t="shared" si="0"/>
        <v>0</v>
      </c>
      <c r="AK5" s="27">
        <f t="shared" si="0"/>
        <v>0</v>
      </c>
      <c r="AL5" s="27">
        <f t="shared" si="0"/>
        <v>3387.3</v>
      </c>
      <c r="AM5" s="27">
        <f t="shared" si="0"/>
        <v>0</v>
      </c>
      <c r="AN5" s="27">
        <f t="shared" si="0"/>
        <v>16285.810000000001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229142.34999999998</v>
      </c>
      <c r="BA5" s="29">
        <f t="shared" si="1"/>
        <v>196709.24</v>
      </c>
      <c r="BB5" s="29">
        <f t="shared" si="1"/>
        <v>118482.68000000001</v>
      </c>
      <c r="BC5" s="29">
        <f t="shared" si="1"/>
        <v>41678.300000000003</v>
      </c>
      <c r="BD5" s="29">
        <f t="shared" si="1"/>
        <v>36548.259999999995</v>
      </c>
      <c r="BE5" s="29">
        <f t="shared" si="1"/>
        <v>0</v>
      </c>
      <c r="BF5" s="29">
        <f t="shared" si="1"/>
        <v>0</v>
      </c>
      <c r="BG5" s="29">
        <f t="shared" si="1"/>
        <v>0</v>
      </c>
      <c r="BH5" s="29">
        <f t="shared" si="1"/>
        <v>0</v>
      </c>
      <c r="BI5" s="29">
        <f t="shared" si="1"/>
        <v>0</v>
      </c>
      <c r="BJ5" s="29">
        <f t="shared" si="1"/>
        <v>0</v>
      </c>
      <c r="BK5" s="29">
        <f t="shared" si="1"/>
        <v>0</v>
      </c>
      <c r="BL5" s="29">
        <f t="shared" si="1"/>
        <v>32433.11</v>
      </c>
      <c r="BM5" s="29">
        <f t="shared" si="1"/>
        <v>12760</v>
      </c>
      <c r="BN5" s="29">
        <f t="shared" si="1"/>
        <v>0</v>
      </c>
      <c r="BO5" s="29">
        <f t="shared" si="1"/>
        <v>0</v>
      </c>
      <c r="BP5" s="29">
        <f t="shared" si="1"/>
        <v>0</v>
      </c>
      <c r="BQ5" s="29">
        <f t="shared" si="1"/>
        <v>3387.3</v>
      </c>
      <c r="BR5" s="29">
        <f t="shared" si="1"/>
        <v>16285.810000000001</v>
      </c>
      <c r="BS5" s="29">
        <f t="shared" si="1"/>
        <v>0</v>
      </c>
      <c r="BT5" s="30">
        <f t="shared" si="1"/>
        <v>0</v>
      </c>
    </row>
    <row r="6" spans="1:72" s="37" customFormat="1" ht="12.75">
      <c r="A6" s="26" t="s">
        <v>169</v>
      </c>
      <c r="B6" s="31"/>
      <c r="C6" s="31"/>
      <c r="D6" s="32"/>
      <c r="E6" s="27">
        <f>H6+AC6+AT6</f>
        <v>118010.91</v>
      </c>
      <c r="F6" s="27" t="s">
        <v>1</v>
      </c>
      <c r="G6" s="27" t="s">
        <v>2</v>
      </c>
      <c r="H6" s="33">
        <f>SUMIF(I$12:AB$12,"总值",I6:AB6)</f>
        <v>101307.49</v>
      </c>
      <c r="I6" s="27">
        <f t="shared" ref="I6:AB6" si="2">ROUND($A$3*I5/$B$3,2)</f>
        <v>61019.92</v>
      </c>
      <c r="J6" s="27">
        <f t="shared" si="2"/>
        <v>0</v>
      </c>
      <c r="K6" s="27">
        <f t="shared" si="2"/>
        <v>21464.799999999999</v>
      </c>
      <c r="L6" s="27">
        <f t="shared" si="2"/>
        <v>0</v>
      </c>
      <c r="M6" s="27">
        <f t="shared" si="2"/>
        <v>18822.77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16703.419999999998</v>
      </c>
      <c r="AD6" s="27">
        <f t="shared" ref="AD6:AS6" si="3">ROUND($A$3*AD5/$B$3,2)</f>
        <v>6571.54</v>
      </c>
      <c r="AE6" s="27">
        <f t="shared" si="3"/>
        <v>0</v>
      </c>
      <c r="AF6" s="27">
        <f t="shared" si="3"/>
        <v>0</v>
      </c>
      <c r="AG6" s="27">
        <f t="shared" si="3"/>
        <v>0</v>
      </c>
      <c r="AH6" s="27">
        <f t="shared" si="3"/>
        <v>0</v>
      </c>
      <c r="AI6" s="27">
        <f t="shared" si="3"/>
        <v>0</v>
      </c>
      <c r="AJ6" s="27">
        <f t="shared" si="3"/>
        <v>0</v>
      </c>
      <c r="AK6" s="27">
        <f t="shared" si="3"/>
        <v>0</v>
      </c>
      <c r="AL6" s="27">
        <f t="shared" si="3"/>
        <v>1744.5</v>
      </c>
      <c r="AM6" s="27">
        <f t="shared" si="3"/>
        <v>0</v>
      </c>
      <c r="AN6" s="27">
        <f t="shared" si="3"/>
        <v>8387.3799999999992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118010.9</v>
      </c>
      <c r="AZ6" s="27" t="s">
        <v>3</v>
      </c>
      <c r="BA6" s="27">
        <f>ROUND($AY$6*BA5/$AZ$5,2)</f>
        <v>101307.48</v>
      </c>
      <c r="BB6" s="27">
        <f>ROUND($AY$6*BB5/$AZ$5,2)</f>
        <v>61019.92</v>
      </c>
      <c r="BC6" s="27">
        <f t="shared" ref="BC6:BH6" si="4">ROUND($AY$6*BC5/$AZ$5,2)</f>
        <v>21464.799999999999</v>
      </c>
      <c r="BD6" s="27">
        <f t="shared" si="4"/>
        <v>18822.77</v>
      </c>
      <c r="BE6" s="27">
        <f t="shared" si="4"/>
        <v>0</v>
      </c>
      <c r="BF6" s="27">
        <f t="shared" si="4"/>
        <v>0</v>
      </c>
      <c r="BG6" s="27">
        <f t="shared" si="4"/>
        <v>0</v>
      </c>
      <c r="BH6" s="27">
        <f t="shared" si="4"/>
        <v>0</v>
      </c>
      <c r="BI6" s="27">
        <f t="shared" ref="BI6:BT6" si="5">ROUND($AY$6*BI5/$AZ$5,2)</f>
        <v>0</v>
      </c>
      <c r="BJ6" s="27">
        <f t="shared" si="5"/>
        <v>0</v>
      </c>
      <c r="BK6" s="27">
        <f t="shared" si="5"/>
        <v>0</v>
      </c>
      <c r="BL6" s="27">
        <f t="shared" si="5"/>
        <v>16703.419999999998</v>
      </c>
      <c r="BM6" s="27">
        <f t="shared" si="5"/>
        <v>6571.54</v>
      </c>
      <c r="BN6" s="27">
        <f t="shared" si="5"/>
        <v>0</v>
      </c>
      <c r="BO6" s="27">
        <f t="shared" si="5"/>
        <v>0</v>
      </c>
      <c r="BP6" s="27">
        <f t="shared" si="5"/>
        <v>0</v>
      </c>
      <c r="BQ6" s="27">
        <f t="shared" si="5"/>
        <v>1744.5</v>
      </c>
      <c r="BR6" s="27">
        <f t="shared" si="5"/>
        <v>8387.3799999999992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3003</v>
      </c>
      <c r="J9" s="51"/>
      <c r="K9" s="3018" t="s">
        <v>3003</v>
      </c>
      <c r="L9" s="51"/>
      <c r="M9" s="3018" t="s">
        <v>3095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923</v>
      </c>
      <c r="J10" s="51"/>
      <c r="K10" s="3020" t="s">
        <v>923</v>
      </c>
      <c r="L10" s="51"/>
      <c r="M10" s="3020" t="s">
        <v>3118</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3004</v>
      </c>
      <c r="J11" s="71"/>
      <c r="K11" s="3019" t="s">
        <v>3005</v>
      </c>
      <c r="L11" s="71"/>
      <c r="M11" s="70" t="s">
        <v>3118</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独栋</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t="s">
        <v>2996</v>
      </c>
      <c r="D13" s="3014" t="s">
        <v>2999</v>
      </c>
      <c r="E13" s="27">
        <f t="shared" ref="E13:E20" si="6">IF($C$3="是",ROUND($A$3*G13/$B$3,2),ROUND($A$3*(G13-AT13)/$B$3,2))</f>
        <v>61019.92</v>
      </c>
      <c r="F13" s="81"/>
      <c r="G13" s="82">
        <f t="shared" ref="G13:G20" si="7">H13+AC13+AT13</f>
        <v>118482.68000000001</v>
      </c>
      <c r="H13" s="33">
        <f t="shared" ref="H13:H20" si="8">SUMIF(I$12:AB$12,"总值",I13:AB13)</f>
        <v>118482.68000000001</v>
      </c>
      <c r="I13" s="3203">
        <f>SUM(面积指标!B3:B12)</f>
        <v>118482.68000000001</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高层</v>
      </c>
      <c r="AY13" s="996">
        <f t="shared" ref="AY13:AY20" si="11">ROUND($AY$6*AZ13/$AZ$5,2)</f>
        <v>61019.92</v>
      </c>
      <c r="AZ13" s="27">
        <f t="shared" ref="AZ13:AZ20" si="12">BA13+BL13</f>
        <v>118482.68000000001</v>
      </c>
      <c r="BA13" s="27">
        <f t="shared" ref="BA13:BA20" si="13">SUM(BB13:BK13)</f>
        <v>118482.68000000001</v>
      </c>
      <c r="BB13" s="27">
        <f t="shared" ref="BB13:BB20" si="14">IF($D13="是",I13-J13,0)</f>
        <v>118482.68000000001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2998</v>
      </c>
      <c r="D14" s="3014" t="s">
        <v>3000</v>
      </c>
      <c r="E14" s="27">
        <f t="shared" si="6"/>
        <v>21464.799999999999</v>
      </c>
      <c r="F14" s="81"/>
      <c r="G14" s="82">
        <f t="shared" si="7"/>
        <v>41678.300000000003</v>
      </c>
      <c r="H14" s="33">
        <f t="shared" si="8"/>
        <v>41678.300000000003</v>
      </c>
      <c r="I14" s="3017"/>
      <c r="J14" s="3017"/>
      <c r="K14" s="3017">
        <f>SUM(面积指标!C17:C19)</f>
        <v>41678.300000000003</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别墅</v>
      </c>
      <c r="AY14" s="996">
        <f t="shared" si="11"/>
        <v>21464.799999999999</v>
      </c>
      <c r="AZ14" s="27">
        <f t="shared" si="12"/>
        <v>41678.300000000003</v>
      </c>
      <c r="BA14" s="27">
        <f t="shared" si="13"/>
        <v>41678.300000000003</v>
      </c>
      <c r="BB14" s="27">
        <f t="shared" si="14"/>
        <v>0</v>
      </c>
      <c r="BC14" s="27">
        <f t="shared" si="15"/>
        <v>41678.300000000003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3117</v>
      </c>
      <c r="D15" s="3014" t="s">
        <v>3000</v>
      </c>
      <c r="E15" s="27">
        <f t="shared" si="6"/>
        <v>18822.77</v>
      </c>
      <c r="F15" s="81"/>
      <c r="G15" s="82">
        <f t="shared" si="7"/>
        <v>36548.259999999995</v>
      </c>
      <c r="H15" s="33">
        <f t="shared" si="8"/>
        <v>36548.259999999995</v>
      </c>
      <c r="I15" s="3017"/>
      <c r="J15" s="3017"/>
      <c r="K15" s="3017"/>
      <c r="L15" s="3017"/>
      <c r="M15" s="3203">
        <f>面积指标!F16+面积指标!F20</f>
        <v>36548.259999999995</v>
      </c>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t="str">
        <f t="shared" si="10"/>
        <v>地下车库</v>
      </c>
      <c r="AY15" s="996">
        <f t="shared" si="11"/>
        <v>18822.77</v>
      </c>
      <c r="AZ15" s="27">
        <f t="shared" si="12"/>
        <v>36548.259999999995</v>
      </c>
      <c r="BA15" s="27">
        <f t="shared" si="13"/>
        <v>36548.259999999995</v>
      </c>
      <c r="BB15" s="27">
        <f t="shared" si="14"/>
        <v>0</v>
      </c>
      <c r="BC15" s="27">
        <f t="shared" si="15"/>
        <v>0</v>
      </c>
      <c r="BD15" s="27">
        <f t="shared" si="16"/>
        <v>36548.259999999995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t="s">
        <v>3119</v>
      </c>
      <c r="D16" s="3014" t="s">
        <v>3000</v>
      </c>
      <c r="E16" s="27">
        <f t="shared" si="6"/>
        <v>16703.419999999998</v>
      </c>
      <c r="F16" s="81"/>
      <c r="G16" s="82">
        <f t="shared" si="7"/>
        <v>32433.11</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32433.11</v>
      </c>
      <c r="AD16" s="3021">
        <f>面积指标!D21+面积指标!D22</f>
        <v>12760</v>
      </c>
      <c r="AE16" s="3021"/>
      <c r="AF16" s="3021"/>
      <c r="AG16" s="3021"/>
      <c r="AH16" s="3021"/>
      <c r="AI16" s="3021"/>
      <c r="AJ16" s="3021"/>
      <c r="AK16" s="3021"/>
      <c r="AL16" s="3021">
        <f>面积指标!D13+面积指标!D14+面积指标!D15</f>
        <v>3387.3</v>
      </c>
      <c r="AM16" s="3021"/>
      <c r="AN16" s="3021">
        <f>SUM(面积指标!E3:E12,面积指标!E17:E19)</f>
        <v>16285.810000000001</v>
      </c>
      <c r="AO16" s="3021"/>
      <c r="AP16" s="3021"/>
      <c r="AQ16" s="3021"/>
      <c r="AR16" s="3021"/>
      <c r="AS16" s="3021"/>
      <c r="AT16" s="3022"/>
      <c r="AU16" s="3023"/>
      <c r="AV16" s="17">
        <f t="shared" si="10"/>
        <v>0</v>
      </c>
      <c r="AW16" s="17">
        <f t="shared" si="10"/>
        <v>0</v>
      </c>
      <c r="AX16" s="17" t="str">
        <f t="shared" si="10"/>
        <v>配套</v>
      </c>
      <c r="AY16" s="996">
        <f t="shared" si="11"/>
        <v>16703.419999999998</v>
      </c>
      <c r="AZ16" s="27">
        <f t="shared" si="12"/>
        <v>32433.11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32433.11</v>
      </c>
      <c r="BM16" s="27">
        <f t="shared" si="25"/>
        <v>12760</v>
      </c>
      <c r="BN16" s="27">
        <f t="shared" si="26"/>
        <v>0</v>
      </c>
      <c r="BO16" s="27">
        <f t="shared" si="27"/>
        <v>0</v>
      </c>
      <c r="BP16" s="27">
        <f t="shared" si="28"/>
        <v>0</v>
      </c>
      <c r="BQ16" s="27">
        <f t="shared" si="29"/>
        <v>3387.3</v>
      </c>
      <c r="BR16" s="27">
        <f t="shared" si="30"/>
        <v>16285.810000000001</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D21" sqref="D21:D22"/>
    </sheetView>
  </sheetViews>
  <sheetFormatPr defaultRowHeight="13.5"/>
  <cols>
    <col min="1" max="1" width="10.875" customWidth="1"/>
  </cols>
  <sheetData>
    <row r="1" spans="1:6">
      <c r="D1" s="3285" t="s">
        <v>3093</v>
      </c>
      <c r="E1" s="3286"/>
    </row>
    <row r="2" spans="1:6">
      <c r="B2" s="3195" t="s">
        <v>3091</v>
      </c>
      <c r="C2" s="3195" t="s">
        <v>3092</v>
      </c>
      <c r="D2" s="3195" t="s">
        <v>3094</v>
      </c>
      <c r="E2" s="3195" t="s">
        <v>3096</v>
      </c>
      <c r="F2" s="3195" t="s">
        <v>3097</v>
      </c>
    </row>
    <row r="3" spans="1:6">
      <c r="A3" s="3195" t="s">
        <v>3090</v>
      </c>
      <c r="B3">
        <v>15042.66</v>
      </c>
      <c r="E3">
        <v>623.32000000000005</v>
      </c>
    </row>
    <row r="4" spans="1:6">
      <c r="A4" s="3195" t="s">
        <v>3098</v>
      </c>
      <c r="B4">
        <v>15117.17</v>
      </c>
      <c r="E4">
        <v>1071.98</v>
      </c>
    </row>
    <row r="5" spans="1:6">
      <c r="A5" s="3195" t="s">
        <v>3099</v>
      </c>
      <c r="B5">
        <v>15042.66</v>
      </c>
      <c r="E5">
        <v>1026.48</v>
      </c>
    </row>
    <row r="6" spans="1:6">
      <c r="A6" s="3195" t="s">
        <v>3100</v>
      </c>
      <c r="B6">
        <v>15042.66</v>
      </c>
      <c r="E6">
        <v>1026.48</v>
      </c>
    </row>
    <row r="7" spans="1:6">
      <c r="A7" s="3195" t="s">
        <v>3101</v>
      </c>
      <c r="B7">
        <v>14705.14</v>
      </c>
      <c r="E7">
        <v>582.80999999999995</v>
      </c>
    </row>
    <row r="8" spans="1:6">
      <c r="A8" s="3195" t="s">
        <v>3102</v>
      </c>
      <c r="B8">
        <v>14705.14</v>
      </c>
      <c r="E8">
        <v>582.80999999999995</v>
      </c>
    </row>
    <row r="9" spans="1:6">
      <c r="A9" s="3195" t="s">
        <v>3103</v>
      </c>
      <c r="B9">
        <v>14705.14</v>
      </c>
      <c r="E9">
        <v>672.74</v>
      </c>
    </row>
    <row r="10" spans="1:6">
      <c r="A10" s="3202" t="s">
        <v>3104</v>
      </c>
      <c r="B10">
        <v>5542.03</v>
      </c>
      <c r="E10">
        <v>735.64</v>
      </c>
    </row>
    <row r="11" spans="1:6">
      <c r="A11" s="3202" t="s">
        <v>3105</v>
      </c>
      <c r="B11">
        <v>3721.39</v>
      </c>
      <c r="E11">
        <v>494.56</v>
      </c>
    </row>
    <row r="12" spans="1:6">
      <c r="A12" s="3202" t="s">
        <v>3106</v>
      </c>
      <c r="B12">
        <v>4858.6899999999996</v>
      </c>
      <c r="E12">
        <v>643.61</v>
      </c>
    </row>
    <row r="13" spans="1:6">
      <c r="A13" s="3195" t="s">
        <v>3107</v>
      </c>
      <c r="D13">
        <v>2483.61</v>
      </c>
    </row>
    <row r="14" spans="1:6">
      <c r="A14" s="3195" t="s">
        <v>3108</v>
      </c>
      <c r="D14">
        <v>699</v>
      </c>
    </row>
    <row r="15" spans="1:6">
      <c r="A15" s="3195" t="s">
        <v>3109</v>
      </c>
      <c r="D15">
        <v>204.69</v>
      </c>
    </row>
    <row r="16" spans="1:6">
      <c r="A16" s="3195" t="s">
        <v>3110</v>
      </c>
      <c r="F16" s="3211">
        <v>19134.259999999998</v>
      </c>
    </row>
    <row r="17" spans="1:6">
      <c r="A17" s="3195" t="s">
        <v>3111</v>
      </c>
      <c r="C17">
        <v>5509</v>
      </c>
      <c r="E17">
        <v>1161.1600000000001</v>
      </c>
      <c r="F17" s="3211"/>
    </row>
    <row r="18" spans="1:6">
      <c r="A18" s="3195" t="s">
        <v>3112</v>
      </c>
      <c r="C18">
        <v>8194.06</v>
      </c>
      <c r="E18">
        <v>1733.76</v>
      </c>
      <c r="F18" s="3211"/>
    </row>
    <row r="19" spans="1:6">
      <c r="A19" s="3195" t="s">
        <v>3113</v>
      </c>
      <c r="C19">
        <v>27975.24</v>
      </c>
      <c r="E19">
        <v>5930.46</v>
      </c>
      <c r="F19" s="3211"/>
    </row>
    <row r="20" spans="1:6">
      <c r="A20" s="3195" t="s">
        <v>3114</v>
      </c>
      <c r="F20" s="3211">
        <v>17414</v>
      </c>
    </row>
    <row r="21" spans="1:6">
      <c r="A21" s="3195" t="s">
        <v>3115</v>
      </c>
      <c r="D21">
        <v>3400</v>
      </c>
    </row>
    <row r="22" spans="1:6">
      <c r="A22" s="3195" t="s">
        <v>3116</v>
      </c>
      <c r="D22">
        <v>9360</v>
      </c>
    </row>
  </sheetData>
  <mergeCells count="1">
    <mergeCell ref="D1:E1"/>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6" t="s">
        <v>203</v>
      </c>
      <c r="B2" s="3296"/>
      <c r="C2" s="3296"/>
      <c r="D2" s="1975" t="s">
        <v>204</v>
      </c>
      <c r="E2" s="106" t="s">
        <v>205</v>
      </c>
      <c r="F2" s="1984"/>
      <c r="G2" s="1198"/>
      <c r="H2" s="1199"/>
      <c r="I2" s="1200" t="s">
        <v>857</v>
      </c>
      <c r="J2" s="1984"/>
      <c r="K2" s="1984"/>
      <c r="L2" s="1984"/>
    </row>
    <row r="3" spans="1:16" ht="15.75" thickBot="1">
      <c r="A3" s="3297" t="s">
        <v>206</v>
      </c>
      <c r="B3" s="3297"/>
      <c r="C3" s="3297"/>
      <c r="D3" s="107">
        <f>'数据-基础表'!AY6</f>
        <v>118010.9</v>
      </c>
      <c r="E3" s="107">
        <f>'数据-基础表'!AZ5</f>
        <v>229142.34999999998</v>
      </c>
      <c r="F3" s="1984"/>
      <c r="G3" s="280" t="s">
        <v>858</v>
      </c>
      <c r="H3" s="275" t="s">
        <v>859</v>
      </c>
      <c r="I3" s="1976">
        <f>ROUND('数据-基础表'!B3/'数据-基础表'!A3,2)</f>
        <v>1.94</v>
      </c>
      <c r="J3" s="1984"/>
      <c r="K3" s="1984"/>
      <c r="L3" s="1984"/>
    </row>
    <row r="4" spans="1:16" ht="15">
      <c r="A4" s="3298"/>
      <c r="B4" s="3299"/>
      <c r="C4" s="3300"/>
      <c r="D4" s="108" t="s">
        <v>204</v>
      </c>
      <c r="E4" s="109" t="s">
        <v>205</v>
      </c>
      <c r="F4" s="1984"/>
      <c r="G4" s="1201"/>
      <c r="H4" s="275" t="s">
        <v>860</v>
      </c>
      <c r="I4" s="1976">
        <f>ROUND(SUMIF('数据-基础表'!I9:AS9,"地上",'数据-基础表'!I5:AS5)/'数据-基础表'!A3,2)</f>
        <v>1.49</v>
      </c>
      <c r="J4" s="1984"/>
      <c r="K4" s="1984"/>
      <c r="L4" s="1984"/>
    </row>
    <row r="5" spans="1:16">
      <c r="A5" s="110" t="s">
        <v>207</v>
      </c>
      <c r="B5" s="3301" t="s">
        <v>230</v>
      </c>
      <c r="C5" s="3301"/>
      <c r="D5" s="111">
        <f>ROUND($D$3*E5/$E$3,2)</f>
        <v>82484.710000000006</v>
      </c>
      <c r="E5" s="112">
        <f>SUMIF('数据-基础表'!$11:$11,"住宅",'数据-基础表'!$5:$5)</f>
        <v>160160.98000000001</v>
      </c>
      <c r="F5" s="1984"/>
      <c r="G5" s="280" t="s">
        <v>861</v>
      </c>
      <c r="H5" s="275" t="s">
        <v>859</v>
      </c>
      <c r="I5" s="1976">
        <f>ROUND(E31/D31,2)</f>
        <v>1.94</v>
      </c>
      <c r="J5" s="1984"/>
      <c r="K5" s="1984"/>
      <c r="L5" s="1984"/>
    </row>
    <row r="6" spans="1:16" ht="15" thickBot="1">
      <c r="A6" s="113"/>
      <c r="B6" s="3301" t="s">
        <v>208</v>
      </c>
      <c r="C6" s="3301"/>
      <c r="D6" s="111">
        <f>ROUND($D$3*E6/$E$3,2)</f>
        <v>35526.19</v>
      </c>
      <c r="E6" s="112">
        <f>E3-E5</f>
        <v>68981.369999999966</v>
      </c>
      <c r="F6" s="1984"/>
      <c r="G6" s="1201"/>
      <c r="H6" s="275" t="s">
        <v>860</v>
      </c>
      <c r="I6" s="1976">
        <f>ROUND(F31/D31,2)</f>
        <v>1.49</v>
      </c>
      <c r="J6" s="1984"/>
      <c r="K6" s="1984"/>
      <c r="L6" s="1984"/>
    </row>
    <row r="7" spans="1:16" ht="15">
      <c r="A7" s="3293"/>
      <c r="B7" s="3294"/>
      <c r="C7" s="3295"/>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82484.710000000006</v>
      </c>
      <c r="E8" s="116">
        <f>SUMIF('数据-基础表'!BB10:BK10,"地上",'数据-基础表'!BB5:BK5)</f>
        <v>160160.98000000001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18822.77</v>
      </c>
      <c r="E13" s="116">
        <f>SUMPRODUCT(('数据-基础表'!BB10:BK10="地下")*('数据-基础表'!BB11:BK11="车库")*('数据-基础表'!BB5:BK5))</f>
        <v>36548.259999999995</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101307.48000000001</v>
      </c>
      <c r="E16" s="120">
        <f>SUM(E8:E15)</f>
        <v>196709.24</v>
      </c>
      <c r="F16" s="1984"/>
      <c r="G16" s="1986"/>
      <c r="H16" s="968" t="s">
        <v>219</v>
      </c>
      <c r="I16" s="969"/>
      <c r="J16" s="1984"/>
      <c r="K16" s="3287" t="s">
        <v>2568</v>
      </c>
      <c r="L16" s="3288"/>
      <c r="M16" s="3288"/>
      <c r="N16" s="3288"/>
      <c r="O16" s="3288"/>
      <c r="P16" s="3289"/>
    </row>
    <row r="17" spans="1:19" ht="15">
      <c r="A17" s="121" t="s">
        <v>216</v>
      </c>
      <c r="B17" s="122" t="s">
        <v>217</v>
      </c>
      <c r="C17" s="2298" t="s">
        <v>2316</v>
      </c>
      <c r="D17" s="108" t="s">
        <v>204</v>
      </c>
      <c r="E17" s="124" t="s">
        <v>205</v>
      </c>
      <c r="F17" s="125"/>
      <c r="G17" s="1366"/>
      <c r="H17" s="970" t="s">
        <v>218</v>
      </c>
      <c r="I17" s="971" t="s">
        <v>2315</v>
      </c>
      <c r="J17" s="1984"/>
      <c r="K17" s="3290" t="s">
        <v>2569</v>
      </c>
      <c r="L17" s="3291"/>
      <c r="M17" s="3292"/>
      <c r="N17" s="3290" t="s">
        <v>2570</v>
      </c>
      <c r="O17" s="3291"/>
      <c r="P17" s="3292"/>
      <c r="R17" s="2299" t="s">
        <v>2314</v>
      </c>
      <c r="S17" s="144"/>
    </row>
    <row r="18" spans="1:19" ht="15">
      <c r="A18" s="117"/>
      <c r="B18" s="128"/>
      <c r="C18" s="129"/>
      <c r="D18" s="2642"/>
      <c r="E18" s="130" t="s">
        <v>220</v>
      </c>
      <c r="F18" s="131" t="s">
        <v>221</v>
      </c>
      <c r="G18" s="1367" t="s">
        <v>222</v>
      </c>
      <c r="H18" s="972" t="s">
        <v>223</v>
      </c>
      <c r="I18" s="973" t="s">
        <v>224</v>
      </c>
      <c r="J18" s="1984"/>
      <c r="K18" s="2605" t="s">
        <v>2571</v>
      </c>
      <c r="L18" s="2606" t="s">
        <v>2572</v>
      </c>
      <c r="M18" s="2607" t="s">
        <v>2573</v>
      </c>
      <c r="N18" s="2605" t="s">
        <v>2571</v>
      </c>
      <c r="O18" s="2606" t="s">
        <v>2572</v>
      </c>
      <c r="P18" s="2607" t="s">
        <v>2573</v>
      </c>
      <c r="R18" s="2300" t="s">
        <v>2312</v>
      </c>
      <c r="S18" s="2300" t="s">
        <v>2313</v>
      </c>
    </row>
    <row r="19" spans="1:19">
      <c r="A19" s="133"/>
      <c r="B19" s="115" t="s">
        <v>225</v>
      </c>
      <c r="C19" s="3024" t="s">
        <v>3001</v>
      </c>
      <c r="D19" s="111">
        <f t="shared" ref="D19:D26" si="1">ROUND($D$3*E19/$E$3,2)</f>
        <v>61019.92</v>
      </c>
      <c r="E19" s="134">
        <f t="shared" ref="E19:E26" si="2">SUM(F19:G19)</f>
        <v>118482.68000000001</v>
      </c>
      <c r="F19" s="135">
        <f>'数据-基础表'!I13</f>
        <v>118482.68000000001</v>
      </c>
      <c r="G19" s="1368"/>
      <c r="H19" s="974">
        <f>ROUND($D$3*I19/$E$3,2)</f>
        <v>6102.67</v>
      </c>
      <c r="I19" s="116">
        <f>IF($I$17="自定义",P19,M19)</f>
        <v>11849.58</v>
      </c>
      <c r="J19" s="1984"/>
      <c r="K19" s="2608">
        <f t="shared" ref="K19:K26" si="3">ROUND(E$28*E19/E$27,2)</f>
        <v>11849.58</v>
      </c>
      <c r="L19" s="275">
        <f t="shared" ref="L19:L26" si="4">ROUND(IF(COUNTIF(C19,"*住宅*")&gt;0,E$29*E19/E$32,0),2)</f>
        <v>0</v>
      </c>
      <c r="M19" s="2609">
        <f>K19+L19</f>
        <v>11849.58</v>
      </c>
      <c r="N19" s="2610"/>
      <c r="O19" s="2611"/>
      <c r="P19" s="2612">
        <f>N19+O19</f>
        <v>0</v>
      </c>
      <c r="R19" s="275">
        <f t="shared" ref="R19:S26" si="5">D19+H19</f>
        <v>67122.59</v>
      </c>
      <c r="S19" s="2301">
        <f t="shared" si="5"/>
        <v>130332.26000000001</v>
      </c>
    </row>
    <row r="20" spans="1:19">
      <c r="A20" s="138"/>
      <c r="B20" s="115" t="s">
        <v>226</v>
      </c>
      <c r="C20" s="3024" t="s">
        <v>3002</v>
      </c>
      <c r="D20" s="111">
        <f t="shared" si="1"/>
        <v>21464.799999999999</v>
      </c>
      <c r="E20" s="134">
        <f t="shared" si="2"/>
        <v>41678.300000000003</v>
      </c>
      <c r="F20" s="135">
        <f>'数据-基础表'!K14</f>
        <v>41678.300000000003</v>
      </c>
      <c r="G20" s="1368"/>
      <c r="H20" s="974">
        <f t="shared" ref="H20:H26" si="6">ROUND($D$3*I20/$E$3,2)</f>
        <v>2146.7199999999998</v>
      </c>
      <c r="I20" s="116">
        <f t="shared" ref="I20:I26" si="7">IF($I$17="自定义",P20,M20)</f>
        <v>4168.29</v>
      </c>
      <c r="J20" s="1984"/>
      <c r="K20" s="2608">
        <f t="shared" si="3"/>
        <v>4168.29</v>
      </c>
      <c r="L20" s="275">
        <f t="shared" si="4"/>
        <v>0</v>
      </c>
      <c r="M20" s="2609">
        <f t="shared" ref="M20:M26" si="8">K20+L20</f>
        <v>4168.29</v>
      </c>
      <c r="N20" s="2610"/>
      <c r="O20" s="2611"/>
      <c r="P20" s="2612">
        <f t="shared" ref="P20:P26" si="9">N20+O20</f>
        <v>0</v>
      </c>
      <c r="R20" s="275">
        <f t="shared" si="5"/>
        <v>23611.52</v>
      </c>
      <c r="S20" s="2301">
        <f t="shared" si="5"/>
        <v>45846.590000000004</v>
      </c>
    </row>
    <row r="21" spans="1:19">
      <c r="A21" s="138"/>
      <c r="B21" s="115" t="s">
        <v>226</v>
      </c>
      <c r="C21" s="3024" t="s">
        <v>3120</v>
      </c>
      <c r="D21" s="111">
        <f t="shared" si="1"/>
        <v>18822.77</v>
      </c>
      <c r="E21" s="134">
        <f t="shared" si="2"/>
        <v>36548.259999999995</v>
      </c>
      <c r="F21" s="135"/>
      <c r="G21" s="1368">
        <f>'数据-基础表'!M15</f>
        <v>36548.259999999995</v>
      </c>
      <c r="H21" s="974">
        <f t="shared" si="6"/>
        <v>1882.48</v>
      </c>
      <c r="I21" s="116">
        <f t="shared" si="7"/>
        <v>3655.23</v>
      </c>
      <c r="J21" s="1984"/>
      <c r="K21" s="2608">
        <f t="shared" si="3"/>
        <v>3655.23</v>
      </c>
      <c r="L21" s="275">
        <f t="shared" si="4"/>
        <v>0</v>
      </c>
      <c r="M21" s="2609">
        <f t="shared" si="8"/>
        <v>3655.23</v>
      </c>
      <c r="N21" s="2610"/>
      <c r="O21" s="2611"/>
      <c r="P21" s="2612">
        <f t="shared" si="9"/>
        <v>0</v>
      </c>
      <c r="R21" s="275">
        <f t="shared" si="5"/>
        <v>20705.25</v>
      </c>
      <c r="S21" s="2301">
        <f t="shared" si="5"/>
        <v>40203.49</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43.5" thickBot="1">
      <c r="A27" s="138"/>
      <c r="B27" s="111"/>
      <c r="C27" s="127" t="s">
        <v>215</v>
      </c>
      <c r="D27" s="134">
        <f>SUM(D19:D26)</f>
        <v>101307.49</v>
      </c>
      <c r="E27" s="143">
        <f>IF(SUM(E19:E26)='数据-基础表'!BA5,SUM(E19:E26),IF(F27="地上面积有误","面积有误","地下面积有误"))</f>
        <v>196709.24</v>
      </c>
      <c r="F27" s="134">
        <f>IF(SUM(F19:F26)=E8,SUM(F19:F26),"地上面积有误")</f>
        <v>160160.98000000001</v>
      </c>
      <c r="G27" s="112">
        <f>SUM(G19:G26)</f>
        <v>36548.259999999995</v>
      </c>
      <c r="H27" s="975">
        <f>SUM(H19:H26)</f>
        <v>10131.869999999999</v>
      </c>
      <c r="I27" s="976">
        <f>SUM(I19:I26)</f>
        <v>19673.099999999999</v>
      </c>
      <c r="J27" s="1984"/>
      <c r="K27" s="2617">
        <f>SUM(K19:K26)</f>
        <v>19673.099999999999</v>
      </c>
      <c r="L27" s="2618">
        <f>SUM(L19:L26)</f>
        <v>0</v>
      </c>
      <c r="M27" s="2619">
        <f>SUM(M19:M26)</f>
        <v>19673.099999999999</v>
      </c>
      <c r="N27" s="2617">
        <f t="shared" ref="N27:O27" si="10">SUM(N19:N26)</f>
        <v>0</v>
      </c>
      <c r="O27" s="2618">
        <f t="shared" si="10"/>
        <v>0</v>
      </c>
      <c r="P27" s="2620">
        <f>SUM(P19:P26)</f>
        <v>0</v>
      </c>
      <c r="R27" s="2305" t="str">
        <f>IF(SUM(R19:R26)=$D$3,SUM(R19:R26),SUM(R19:R26)&amp;"误差"&amp;ROUND(SUM(R19:R26)-$D$3,2))</f>
        <v>111439.36误差-6571.54</v>
      </c>
      <c r="S27" s="275" t="str">
        <f>IF(SUM(S19:S26)=$E$3,SUM(S19:S26),SUM(S19:S26)&amp;"误差"&amp;ROUND(SUM(S19:S26)-E3,2))</f>
        <v>216382.34误差-12760.01</v>
      </c>
    </row>
    <row r="28" spans="1:19">
      <c r="A28" s="138"/>
      <c r="B28" s="115" t="s">
        <v>227</v>
      </c>
      <c r="C28" s="136" t="s">
        <v>228</v>
      </c>
      <c r="D28" s="111">
        <f>ROUND($D$3*E28/$E$3,2)</f>
        <v>10131.870000000001</v>
      </c>
      <c r="E28" s="134">
        <f>SUM(F28:G28)</f>
        <v>19673.11</v>
      </c>
      <c r="F28" s="144">
        <f>'数据-基础表'!BQ5+'数据-基础表'!BS5</f>
        <v>3387.3</v>
      </c>
      <c r="G28" s="145">
        <f>'数据-基础表'!BR5+'数据-基础表'!BT5</f>
        <v>16285.810000000001</v>
      </c>
      <c r="H28" s="1984"/>
      <c r="I28" s="1984"/>
      <c r="J28" s="1984"/>
      <c r="K28" s="1984"/>
      <c r="L28" s="1984"/>
    </row>
    <row r="29" spans="1:19">
      <c r="A29" s="138"/>
      <c r="B29" s="115" t="s">
        <v>227</v>
      </c>
      <c r="C29" s="2313" t="s">
        <v>2323</v>
      </c>
      <c r="D29" s="111">
        <f>ROUND($D$3*E29/$E$3,2)</f>
        <v>6571.54</v>
      </c>
      <c r="E29" s="134">
        <f>SUM(F29:G29)</f>
        <v>12760</v>
      </c>
      <c r="F29" s="144">
        <f>'数据-基础表'!BM5+'数据-基础表'!BO5</f>
        <v>12760</v>
      </c>
      <c r="G29" s="146">
        <f>'数据-基础表'!BN5+'数据-基础表'!BP5</f>
        <v>0</v>
      </c>
      <c r="H29" s="1984"/>
      <c r="I29" s="1984"/>
      <c r="J29" s="1984"/>
      <c r="K29" s="1984"/>
      <c r="L29" s="1984"/>
    </row>
    <row r="30" spans="1:19">
      <c r="A30" s="138"/>
      <c r="B30" s="111"/>
      <c r="C30" s="147" t="s">
        <v>215</v>
      </c>
      <c r="D30" s="134">
        <f>SUM(D28:D29)</f>
        <v>16703.41</v>
      </c>
      <c r="E30" s="134">
        <f>SUM(E28:E29)</f>
        <v>32433.11</v>
      </c>
      <c r="F30" s="134">
        <f>SUM(F28:F29)</f>
        <v>16147.3</v>
      </c>
      <c r="G30" s="112">
        <f>SUM(G28:G29)</f>
        <v>16285.810000000001</v>
      </c>
      <c r="H30" s="1984"/>
      <c r="I30" s="1984"/>
      <c r="J30" s="1984"/>
      <c r="K30" s="1984"/>
      <c r="L30" s="1984"/>
    </row>
    <row r="31" spans="1:19" ht="32.25" customHeight="1" thickBot="1">
      <c r="A31" s="1370"/>
      <c r="B31" s="1371" t="s">
        <v>229</v>
      </c>
      <c r="C31" s="2330" t="s">
        <v>2325</v>
      </c>
      <c r="D31" s="1372">
        <f>D27+D30</f>
        <v>118010.90000000001</v>
      </c>
      <c r="E31" s="1372">
        <f>E27+E30</f>
        <v>229142.34999999998</v>
      </c>
      <c r="F31" s="1373">
        <f>F27+F30</f>
        <v>176308.28</v>
      </c>
      <c r="G31" s="1374">
        <f>G27+G30</f>
        <v>52834.069999999992</v>
      </c>
      <c r="H31" s="1984"/>
      <c r="I31" s="1984"/>
      <c r="J31" s="1984"/>
      <c r="K31" s="1984"/>
      <c r="L31" s="1984"/>
    </row>
    <row r="32" spans="1:19">
      <c r="A32" s="1984"/>
      <c r="B32" s="2363" t="s">
        <v>2324</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43402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高层</v>
      </c>
      <c r="B6" s="2337" t="str">
        <f>IF(A6=0,"","经营性")</f>
        <v>经营性</v>
      </c>
      <c r="C6" s="173" t="s">
        <v>923</v>
      </c>
      <c r="D6" s="2308">
        <f>SUMIF(项目基本情况!D$15:I$15,C6,项目基本情况!D$18:I$18)</f>
        <v>70</v>
      </c>
      <c r="E6" s="2309">
        <f>IF(B6="","",SUMIF(项目基本情况!D$15:I$15,C6,项目基本情况!D$17:I$17))</f>
        <v>67082</v>
      </c>
      <c r="F6" s="174">
        <f>SUMIF(项目基本情况!D$15:I$15,C6,项目基本情况!D$19:I$19)</f>
        <v>64.87</v>
      </c>
      <c r="G6" s="175">
        <f>IF(ISERROR(ROUND(POWER(1+H6,D6-F6)*(POWER(1+H6,F6)-1)/(POWER(1+H6,D6)-1),3)),0,ROUND(POWER(1+H6,D6-F6)*(POWER(1+H6,F6)-1)/(POWER(1+H6,D6)-1),3))</f>
        <v>0.99</v>
      </c>
      <c r="H6" s="3025">
        <v>0.05</v>
      </c>
      <c r="I6" s="3025">
        <v>5.5E-2</v>
      </c>
      <c r="J6" s="176">
        <v>0.08</v>
      </c>
      <c r="K6" s="179">
        <f>SUMIF('数据-汇总表'!C$19:C$33,'数据-取费表'!A6,'数据-汇总表'!E$19:E$33)</f>
        <v>118482.68000000001</v>
      </c>
      <c r="L6" s="3026">
        <v>2500</v>
      </c>
      <c r="M6" s="177">
        <f t="shared" ref="M6:M14" si="0">ROUND(K6*L6/10000,0)</f>
        <v>29621</v>
      </c>
      <c r="N6" s="3027">
        <v>0</v>
      </c>
      <c r="O6" s="177">
        <f>IF($N$5="成新度","——",ROUND(M6*N6,0))</f>
        <v>0</v>
      </c>
      <c r="P6" s="178">
        <f>IF($N$5="成新度","——",M6-O6)</f>
        <v>29621</v>
      </c>
      <c r="Q6" s="3204">
        <v>0.2</v>
      </c>
      <c r="R6" s="179">
        <f>SUMIF('数据-汇总表'!C$19:C$33,A6,'数据-汇总表'!R$19:R$33)</f>
        <v>67122.59</v>
      </c>
      <c r="S6" s="132">
        <f>IF('数据-汇总表'!$I$17="按面积比例",SUMIF('数据-汇总表'!C$19:C$33,A6,'数据-汇总表'!K$19:K$33),SUMIF('数据-汇总表'!C$19:C$33,A6,'数据-汇总表'!N$19:N$33))</f>
        <v>11849.58</v>
      </c>
      <c r="T6" s="2234">
        <f>IF($T$4="按面积比例",IF(ISERROR(ROUND($M$14*S6/S$16,0)),"0",ROUND($M$14*S6/S$16,0)),"需自行计算录入")</f>
        <v>2370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39"/>
      <c r="AN6" s="2392"/>
      <c r="AO6" s="2000"/>
      <c r="AP6" s="1204">
        <f>ROUND(1-1/(1+H6)^F6,3)</f>
        <v>0.95799999999999996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别墅</v>
      </c>
      <c r="B7" s="2337" t="str">
        <f t="shared" ref="B7:B13" si="1">IF(A7=0,"","经营性")</f>
        <v>经营性</v>
      </c>
      <c r="C7" s="173" t="s">
        <v>923</v>
      </c>
      <c r="D7" s="2308">
        <f>SUMIF(项目基本情况!D$15:I$15,C7,项目基本情况!D$18:I$18)</f>
        <v>70</v>
      </c>
      <c r="E7" s="2309">
        <f>IF(B7="","",SUMIF(项目基本情况!D$15:I$15,C7,项目基本情况!D$17:I$17))</f>
        <v>67082</v>
      </c>
      <c r="F7" s="174">
        <f>SUMIF(项目基本情况!D$15:I$15,C7,项目基本情况!D$19:I$19)</f>
        <v>64.87</v>
      </c>
      <c r="G7" s="175">
        <f t="shared" ref="G7:G11" si="2">IF(ISERROR(ROUND(POWER(1+H7,D7-F7)*(POWER(1+H7,F7)-1)/(POWER(1+H7,D7)-1),3)),0,ROUND(POWER(1+H7,D7-F7)*(POWER(1+H7,F7)-1)/(POWER(1+H7,D7)-1),3))</f>
        <v>0.99</v>
      </c>
      <c r="H7" s="3025">
        <v>0.05</v>
      </c>
      <c r="I7" s="3025">
        <v>5.5E-2</v>
      </c>
      <c r="J7" s="176">
        <v>0.08</v>
      </c>
      <c r="K7" s="179">
        <f>SUMIF('数据-汇总表'!C$19:C$33,'数据-取费表'!A7,'数据-汇总表'!E$19:E$33)</f>
        <v>41678.300000000003</v>
      </c>
      <c r="L7" s="3026">
        <v>2500</v>
      </c>
      <c r="M7" s="177">
        <f t="shared" si="0"/>
        <v>10420</v>
      </c>
      <c r="N7" s="3027">
        <v>0</v>
      </c>
      <c r="O7" s="177">
        <f t="shared" ref="O7:O14" si="3">IF($N$5="成新度","——",ROUND(M7*N7,0))</f>
        <v>0</v>
      </c>
      <c r="P7" s="178">
        <f t="shared" ref="P7:P14" si="4">IF($N$5="成新度","——",M7-O7)</f>
        <v>10420</v>
      </c>
      <c r="Q7" s="3204">
        <v>0.2</v>
      </c>
      <c r="R7" s="179">
        <f>SUMIF('数据-汇总表'!C$19:C$33,A7,'数据-汇总表'!R$19:R$33)</f>
        <v>23611.52</v>
      </c>
      <c r="S7" s="132">
        <f>IF('数据-汇总表'!$I$17="按面积比例",SUMIF('数据-汇总表'!C$19:C$33,A7,'数据-汇总表'!K$19:K$33),SUMIF('数据-汇总表'!C$19:C$33,A7,'数据-汇总表'!N$19:N$33))</f>
        <v>4168.29</v>
      </c>
      <c r="T7" s="2234">
        <f t="shared" ref="T7:T13" si="5">IF($T$4="按面积比例",IF(ISERROR(ROUND($M$14*S7/S$16,0)),"0",ROUND($M$14*S7/S$16,0)),"需自行计算录入")</f>
        <v>834</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0.95799999999999996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3118</v>
      </c>
      <c r="D8" s="2308">
        <f>SUMIF(项目基本情况!D$15:I$15,C8,项目基本情况!D$18:I$18)</f>
        <v>50</v>
      </c>
      <c r="E8" s="2309">
        <f>IF(B8="","",SUMIF(项目基本情况!D$15:I$15,C8,项目基本情况!D$17:I$17))</f>
        <v>59777</v>
      </c>
      <c r="F8" s="174">
        <f>SUMIF(项目基本情况!D$15:I$15,C8,项目基本情况!D$19:I$19)</f>
        <v>44.86</v>
      </c>
      <c r="G8" s="175">
        <f t="shared" si="2"/>
        <v>0.96799999999999997</v>
      </c>
      <c r="H8" s="3025">
        <v>4.4999999999999998E-2</v>
      </c>
      <c r="I8" s="3025">
        <v>0.05</v>
      </c>
      <c r="J8" s="176">
        <v>0.08</v>
      </c>
      <c r="K8" s="179">
        <f>SUMIF('数据-汇总表'!C$19:C$33,'数据-取费表'!A8,'数据-汇总表'!E$19:E$33)</f>
        <v>36548.259999999995</v>
      </c>
      <c r="L8" s="3026">
        <v>1800</v>
      </c>
      <c r="M8" s="177">
        <f>ROUND(K8*L8/10000,0)</f>
        <v>6579</v>
      </c>
      <c r="N8" s="3027">
        <v>0</v>
      </c>
      <c r="O8" s="177">
        <f t="shared" si="3"/>
        <v>0</v>
      </c>
      <c r="P8" s="178">
        <f t="shared" si="4"/>
        <v>6579</v>
      </c>
      <c r="Q8" s="3028">
        <v>0.05</v>
      </c>
      <c r="R8" s="179">
        <f>SUMIF('数据-汇总表'!C$19:C$33,A8,'数据-汇总表'!R$19:R$33)</f>
        <v>20705.25</v>
      </c>
      <c r="S8" s="132">
        <f>IF('数据-汇总表'!$I$17="按面积比例",SUMIF('数据-汇总表'!C$19:C$33,A8,'数据-汇总表'!K$19:K$33),SUMIF('数据-汇总表'!C$19:C$33,A8,'数据-汇总表'!N$19:N$33))</f>
        <v>3655.23</v>
      </c>
      <c r="T8" s="2234">
        <f t="shared" si="5"/>
        <v>731</v>
      </c>
      <c r="U8" s="180">
        <v>0.7</v>
      </c>
      <c r="V8" s="181">
        <v>2.5000000000000001E-2</v>
      </c>
      <c r="W8" s="181">
        <v>0.1</v>
      </c>
      <c r="X8" s="2321"/>
      <c r="Y8" s="182">
        <v>1</v>
      </c>
      <c r="Z8" s="183"/>
      <c r="AA8" s="176"/>
      <c r="AB8" s="176"/>
      <c r="AC8" s="2324"/>
      <c r="AD8" s="184"/>
      <c r="AE8" s="972">
        <f t="shared" ca="1" si="6"/>
        <v>41.86</v>
      </c>
      <c r="AF8" s="141"/>
      <c r="AG8" s="1213">
        <f t="shared" si="7"/>
        <v>0</v>
      </c>
      <c r="AH8" s="141"/>
      <c r="AI8" s="187">
        <v>365</v>
      </c>
      <c r="AJ8" s="188"/>
      <c r="AK8" s="189">
        <v>1.4999999999999999E-2</v>
      </c>
      <c r="AL8" s="190">
        <v>1.5E-3</v>
      </c>
      <c r="AM8" s="2390">
        <v>0.02</v>
      </c>
      <c r="AN8" s="2392" t="s">
        <v>3138</v>
      </c>
      <c r="AO8" s="2000"/>
      <c r="AP8" s="1204">
        <f t="shared" si="8"/>
        <v>0.86099999999999999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19673.11</v>
      </c>
      <c r="L14" s="193">
        <v>2000</v>
      </c>
      <c r="M14" s="177">
        <f t="shared" si="0"/>
        <v>3935</v>
      </c>
      <c r="N14" s="194">
        <v>0</v>
      </c>
      <c r="O14" s="177">
        <f t="shared" si="3"/>
        <v>0</v>
      </c>
      <c r="P14" s="178">
        <f t="shared" si="4"/>
        <v>3935</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12760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4.9000000000000002E-2</v>
      </c>
      <c r="I16" s="204"/>
      <c r="J16" s="204"/>
      <c r="K16" s="205">
        <f>SUM(K6:K15)</f>
        <v>229142.34999999998</v>
      </c>
      <c r="L16" s="206">
        <f>ROUND(M16*10000/SUM(K6:K14),0)</f>
        <v>2336</v>
      </c>
      <c r="M16" s="206">
        <f>SUM(M6:M14)</f>
        <v>50555</v>
      </c>
      <c r="N16" s="207">
        <f>ROUND(SUMPRODUCT(M6:M14,N6:N14)/M16,3)</f>
        <v>0</v>
      </c>
      <c r="O16" s="206">
        <f>SUM(O6:O14)</f>
        <v>0</v>
      </c>
      <c r="P16" s="206">
        <f>SUM(P6:P14)</f>
        <v>50555</v>
      </c>
      <c r="Q16" s="208">
        <f>ROUND(SUMPRODUCT(Q6:Q13,K6:K13)/SUMPRODUCT((Q6:Q13&gt;0)*(K6:K13)),2)</f>
        <v>0.17</v>
      </c>
      <c r="R16" s="2311">
        <f>SUM(R6:R13)</f>
        <v>111439.36</v>
      </c>
      <c r="S16" s="209">
        <f>SUM(S6:S13)</f>
        <v>19673.099999999999</v>
      </c>
      <c r="T16" s="210">
        <f>IF(SUMIF(T6:T13,"&lt;9E307")=M14,SUMIF(T6:T13,"&lt;9E307"),"有误，请检查")</f>
        <v>3935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3184" t="s">
        <v>3006</v>
      </c>
      <c r="L23" s="1991">
        <v>11801090</v>
      </c>
      <c r="M23" s="3185" t="s">
        <v>3007</v>
      </c>
      <c r="N23" s="1989">
        <v>850000</v>
      </c>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3184" t="s">
        <v>3008</v>
      </c>
      <c r="L24" s="1991">
        <v>148775000</v>
      </c>
      <c r="M24" s="3185" t="s">
        <v>3009</v>
      </c>
      <c r="N24" s="1989">
        <v>425000</v>
      </c>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3184" t="s">
        <v>3010</v>
      </c>
      <c r="L25" s="1991">
        <v>51923910</v>
      </c>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290</v>
      </c>
      <c r="C27" s="2367" t="s">
        <v>2345</v>
      </c>
      <c r="D27" s="1996"/>
      <c r="E27" s="1994"/>
      <c r="F27" s="1994"/>
      <c r="G27" s="1992"/>
      <c r="H27" s="1992"/>
      <c r="I27" s="1992"/>
      <c r="J27" s="1992"/>
      <c r="K27" s="3184" t="s">
        <v>3011</v>
      </c>
      <c r="L27" s="1991">
        <v>212500000</v>
      </c>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300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3205">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0.05</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5.5500000000000008E-2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5.5000000000000014E-3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5.0000000000000001E-4</v>
      </c>
      <c r="C47" s="3074"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1412</v>
      </c>
      <c r="C53" s="3076" t="s">
        <v>2906</v>
      </c>
      <c r="D53" s="3077"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2908</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2909</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2910</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2911</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2912</v>
      </c>
      <c r="B58" s="186">
        <v>5</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2913</v>
      </c>
      <c r="B59" s="186">
        <v>1.5</v>
      </c>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2914</v>
      </c>
      <c r="B60" s="186">
        <v>1</v>
      </c>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8" sqref="H18"/>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2" t="s">
        <v>1664</v>
      </c>
      <c r="B1" s="3303"/>
      <c r="C1" s="3303"/>
      <c r="D1" s="3303"/>
      <c r="E1" s="3303"/>
      <c r="F1" s="3303"/>
      <c r="G1" s="330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81">
      <c r="A3" s="1227" t="s">
        <v>1667</v>
      </c>
      <c r="B3" s="1228" t="s">
        <v>1654</v>
      </c>
      <c r="C3" s="3200" t="s">
        <v>3141</v>
      </c>
      <c r="D3" s="2009"/>
      <c r="E3" s="1229" t="s">
        <v>1667</v>
      </c>
      <c r="F3" s="1230" t="s">
        <v>1655</v>
      </c>
      <c r="G3" s="3084" t="s">
        <v>2923</v>
      </c>
      <c r="H3" s="2008"/>
      <c r="I3" s="2008"/>
      <c r="J3" s="2008"/>
      <c r="K3" s="2008"/>
      <c r="L3" s="2008"/>
      <c r="M3" s="2008"/>
      <c r="N3" s="2008"/>
      <c r="O3" s="2008"/>
      <c r="P3" s="2008"/>
      <c r="Q3" s="2008"/>
      <c r="R3" s="2008"/>
    </row>
    <row r="4" spans="1:18" ht="41.25">
      <c r="A4" s="1229"/>
      <c r="B4" s="1231" t="s">
        <v>1668</v>
      </c>
      <c r="C4" s="3081" t="s">
        <v>2924</v>
      </c>
      <c r="D4" s="2009"/>
      <c r="E4" s="1232"/>
      <c r="F4" s="1233" t="s">
        <v>1669</v>
      </c>
      <c r="G4" s="3082" t="s">
        <v>2920</v>
      </c>
      <c r="H4" s="2008"/>
      <c r="I4" s="2008"/>
      <c r="J4" s="2008"/>
      <c r="K4" s="2008"/>
      <c r="L4" s="2008"/>
      <c r="M4" s="2008"/>
      <c r="N4" s="2008"/>
      <c r="O4" s="2008"/>
      <c r="P4" s="2008"/>
      <c r="Q4" s="2008"/>
      <c r="R4" s="2008"/>
    </row>
    <row r="5" spans="1:18" ht="41.25">
      <c r="A5" s="1229"/>
      <c r="B5" s="1231" t="s">
        <v>1670</v>
      </c>
      <c r="C5" s="3081" t="s">
        <v>2925</v>
      </c>
      <c r="D5" s="2009"/>
      <c r="E5" s="1232"/>
      <c r="F5" s="1231" t="s">
        <v>2548</v>
      </c>
      <c r="G5" s="3082" t="s">
        <v>2921</v>
      </c>
      <c r="H5" s="2008"/>
      <c r="I5" s="2008"/>
      <c r="J5" s="2008"/>
      <c r="K5" s="2008"/>
      <c r="L5" s="2008"/>
      <c r="M5" s="2008"/>
      <c r="N5" s="2008"/>
      <c r="O5" s="2008"/>
      <c r="P5" s="2008"/>
      <c r="Q5" s="2008"/>
      <c r="R5" s="2008"/>
    </row>
    <row r="6" spans="1:18" ht="81">
      <c r="A6" s="1229"/>
      <c r="B6" s="1231" t="s">
        <v>1656</v>
      </c>
      <c r="C6" s="3201" t="s">
        <v>3142</v>
      </c>
      <c r="D6" s="2009"/>
      <c r="E6" s="1232"/>
      <c r="F6" s="1231" t="s">
        <v>2549</v>
      </c>
      <c r="G6" s="3082" t="s">
        <v>2918</v>
      </c>
      <c r="H6" s="2008"/>
      <c r="I6" s="2008"/>
      <c r="J6" s="2008"/>
      <c r="K6" s="2008"/>
      <c r="L6" s="2008"/>
      <c r="M6" s="2008"/>
      <c r="N6" s="2008"/>
      <c r="O6" s="2008"/>
      <c r="P6" s="2008"/>
      <c r="Q6" s="2008"/>
      <c r="R6" s="2008"/>
    </row>
    <row r="7" spans="1:18" ht="41.25" thickBot="1">
      <c r="A7" s="1229"/>
      <c r="B7" s="1231" t="s">
        <v>2548</v>
      </c>
      <c r="C7" s="3082" t="s">
        <v>2921</v>
      </c>
      <c r="D7" s="2010"/>
      <c r="E7" s="1234"/>
      <c r="F7" s="1235" t="s">
        <v>1671</v>
      </c>
      <c r="G7" s="3085" t="s">
        <v>2922</v>
      </c>
      <c r="H7" s="2008"/>
      <c r="I7" s="2008"/>
      <c r="J7" s="2008"/>
      <c r="K7" s="2008"/>
      <c r="L7" s="2008"/>
      <c r="M7" s="2008"/>
      <c r="N7" s="2008"/>
      <c r="O7" s="2008"/>
      <c r="P7" s="2008"/>
      <c r="Q7" s="2008"/>
      <c r="R7" s="2008"/>
    </row>
    <row r="8" spans="1:18" ht="27">
      <c r="A8" s="1229"/>
      <c r="B8" s="1231" t="s">
        <v>2549</v>
      </c>
      <c r="C8" s="3082" t="s">
        <v>2918</v>
      </c>
      <c r="D8" s="2010"/>
      <c r="E8" s="2010"/>
      <c r="F8" s="1553"/>
      <c r="G8" s="1553"/>
      <c r="H8" s="2008"/>
      <c r="I8" s="2008"/>
      <c r="J8" s="2008"/>
      <c r="K8" s="2008"/>
      <c r="L8" s="2008"/>
      <c r="M8" s="2008"/>
      <c r="N8" s="2008"/>
      <c r="O8" s="2008"/>
      <c r="P8" s="2008"/>
      <c r="Q8" s="2008"/>
      <c r="R8" s="2008"/>
    </row>
    <row r="9" spans="1:18" ht="40.5">
      <c r="A9" s="1229"/>
      <c r="B9" s="1231" t="s">
        <v>1657</v>
      </c>
      <c r="C9" s="3081" t="s">
        <v>2919</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81">
      <c r="A15" s="2588" t="s">
        <v>1658</v>
      </c>
      <c r="B15" s="1242" t="s">
        <v>1654</v>
      </c>
      <c r="C15" s="1243" t="str">
        <f>C3</f>
        <v>估价对象周边有中惠·团泊湖光耀城、泊湖林奇郡等社区，居住小区规模和社区发展完善程度较好，综合评价居住社区成熟度较好</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81">
      <c r="A18" s="2589"/>
      <c r="B18" s="1247" t="s">
        <v>1656</v>
      </c>
      <c r="C18" s="1005" t="str">
        <f>C6</f>
        <v>估价对象临中央大道，有山深线等道路、公共交通通达情况较好，有156路、710路等公交线路、停车便捷程度较好，综合评价交通便捷度较好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2548</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2549</v>
      </c>
      <c r="G20" s="1005" t="str">
        <f>G6</f>
        <v>估价对象所在区域基础设施水平</v>
      </c>
    </row>
    <row r="21" spans="1:7" ht="27">
      <c r="A21" s="2589"/>
      <c r="B21" s="1231" t="s">
        <v>2548</v>
      </c>
      <c r="C21" s="1005" t="str">
        <f>C7</f>
        <v>估价对象所在区域公共配套设施齐备情况</v>
      </c>
      <c r="D21" s="2009"/>
      <c r="E21" s="2586"/>
      <c r="F21" s="1247" t="s">
        <v>1662</v>
      </c>
      <c r="G21" s="3086"/>
    </row>
    <row r="22" spans="1:7" ht="27">
      <c r="A22" s="2589"/>
      <c r="B22" s="1231" t="s">
        <v>2549</v>
      </c>
      <c r="C22" s="1005" t="str">
        <f>C8</f>
        <v>估价对象所在区域基础设施水平</v>
      </c>
      <c r="D22" s="2009"/>
      <c r="E22" s="2586"/>
      <c r="F22" s="1247" t="s">
        <v>1672</v>
      </c>
      <c r="G22" s="2794"/>
    </row>
    <row r="23" spans="1:7" ht="15" thickBot="1">
      <c r="A23" s="2589"/>
      <c r="B23" s="1247" t="s">
        <v>1662</v>
      </c>
      <c r="C23" s="3086"/>
      <c r="E23" s="2587"/>
      <c r="F23" s="1248" t="s">
        <v>1676</v>
      </c>
      <c r="G23" s="3087"/>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
    </sheetView>
  </sheetViews>
  <sheetFormatPr defaultColWidth="14.625" defaultRowHeight="13.5"/>
  <cols>
    <col min="1" max="1" width="24.375" customWidth="1"/>
  </cols>
  <sheetData>
    <row r="1" spans="1:9" ht="16.5">
      <c r="A1" s="3045" t="s">
        <v>2846</v>
      </c>
      <c r="B1" s="3045">
        <f>SUM(B14:B23)</f>
        <v>551843.03999999992</v>
      </c>
      <c r="C1" s="3046"/>
      <c r="D1" s="3046"/>
      <c r="E1" s="3046"/>
      <c r="F1" s="3046"/>
    </row>
    <row r="2" spans="1:9" ht="16.5">
      <c r="A2" s="3045" t="s">
        <v>2847</v>
      </c>
      <c r="B2" s="3045">
        <f>SUM(C14:C23)</f>
        <v>280929.69999999995</v>
      </c>
      <c r="C2" s="3046"/>
      <c r="D2" s="3046"/>
      <c r="E2" s="3046"/>
      <c r="F2" s="3046"/>
    </row>
    <row r="3" spans="1:9" ht="16.5">
      <c r="A3" s="3045" t="s">
        <v>2848</v>
      </c>
      <c r="B3" s="3047">
        <f>项目基本情况!D3</f>
        <v>43402</v>
      </c>
      <c r="C3" s="3046"/>
      <c r="D3" s="3046"/>
      <c r="E3" s="3046"/>
      <c r="F3" s="3046"/>
    </row>
    <row r="4" spans="1:9" ht="33">
      <c r="A4" s="3045" t="s">
        <v>2849</v>
      </c>
      <c r="B4" s="3045" t="s">
        <v>2850</v>
      </c>
      <c r="C4" s="3045" t="s">
        <v>2851</v>
      </c>
      <c r="D4" s="3045" t="s">
        <v>2852</v>
      </c>
      <c r="E4" s="3046"/>
      <c r="F4" s="3046"/>
    </row>
    <row r="5" spans="1:9" ht="16.5">
      <c r="A5" s="3045" t="s">
        <v>2853</v>
      </c>
      <c r="B5" s="3045">
        <f ca="1">SUM(D14:D23)</f>
        <v>239868</v>
      </c>
      <c r="C5" s="3045">
        <f ca="1">ROUND(B5*10000/$B$1,0)</f>
        <v>4347</v>
      </c>
      <c r="D5" s="3045">
        <f ca="1">ROUND(B5*10000/$B$2,0)</f>
        <v>8538</v>
      </c>
      <c r="E5" s="3046"/>
      <c r="F5" s="3046"/>
    </row>
    <row r="6" spans="1:9" ht="16.5">
      <c r="A6" s="3045" t="s">
        <v>2854</v>
      </c>
      <c r="B6" s="3045">
        <f ca="1">SUM(G14:G23)</f>
        <v>239868</v>
      </c>
      <c r="C6" s="3045">
        <f t="shared" ref="C6:C8" ca="1" si="0">ROUND(B6*10000/$B$1,0)</f>
        <v>4347</v>
      </c>
      <c r="D6" s="3045">
        <f t="shared" ref="D6:D8" ca="1" si="1">ROUND(B6*10000/$B$2,0)</f>
        <v>8538</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229142.34999999998</v>
      </c>
      <c r="C14" s="3049">
        <f>结果表!K38</f>
        <v>118010.9</v>
      </c>
      <c r="D14" s="3049">
        <f ca="1">结果表!C42</f>
        <v>92182</v>
      </c>
      <c r="E14" s="3049">
        <f ca="1">ROUND(D14*10000/B14,0)</f>
        <v>4023</v>
      </c>
      <c r="F14" s="3049">
        <f ca="1">ROUND(D14*10000/C14,0)</f>
        <v>7811</v>
      </c>
      <c r="G14" s="3049">
        <f ca="1">结果表!C44</f>
        <v>92182</v>
      </c>
      <c r="H14" s="3049" t="str">
        <f>结果表!C45</f>
        <v>——</v>
      </c>
      <c r="I14" s="3049" t="str">
        <f>结果表!C46</f>
        <v>——</v>
      </c>
    </row>
    <row r="15" spans="1:9" ht="16.5">
      <c r="A15" s="3052" t="s">
        <v>2863</v>
      </c>
      <c r="B15" s="3053">
        <f>[1]系统读取表!$B$14</f>
        <v>322700.68999999994</v>
      </c>
      <c r="C15" s="3053">
        <f>[1]系统读取表!$C$14</f>
        <v>162918.79999999999</v>
      </c>
      <c r="D15" s="3053">
        <f>[1]系统读取表!$D$14</f>
        <v>147686</v>
      </c>
      <c r="E15" s="3049">
        <f t="shared" ref="E15:E23" si="2">ROUND(D15*10000/B15,0)</f>
        <v>4577</v>
      </c>
      <c r="F15" s="3049">
        <f t="shared" ref="F15:F23" si="3">ROUND(D15*10000/C15,0)</f>
        <v>9065</v>
      </c>
      <c r="G15" s="3050">
        <f>D15</f>
        <v>147686</v>
      </c>
      <c r="H15" s="3050"/>
      <c r="I15" s="3053"/>
    </row>
    <row r="16" spans="1:9" ht="16.5">
      <c r="A16" s="3052" t="s">
        <v>2864</v>
      </c>
      <c r="B16" s="3053"/>
      <c r="C16" s="3053"/>
      <c r="D16" s="3053"/>
      <c r="E16" s="3049" t="e">
        <f t="shared" si="2"/>
        <v>#DIV/0!</v>
      </c>
      <c r="F16" s="3049" t="e">
        <f t="shared" si="3"/>
        <v>#DIV/0!</v>
      </c>
      <c r="G16" s="3050"/>
      <c r="H16" s="3050"/>
      <c r="I16" s="3053"/>
    </row>
    <row r="17" spans="1:9" ht="16.5">
      <c r="A17" s="3052" t="s">
        <v>2865</v>
      </c>
      <c r="B17" s="3053"/>
      <c r="C17" s="3053"/>
      <c r="D17" s="3053"/>
      <c r="E17" s="3049" t="e">
        <f t="shared" si="2"/>
        <v>#DIV/0!</v>
      </c>
      <c r="F17" s="3049" t="e">
        <f t="shared" si="3"/>
        <v>#DIV/0!</v>
      </c>
      <c r="G17" s="3050"/>
      <c r="H17" s="3050"/>
      <c r="I17" s="3053"/>
    </row>
    <row r="18" spans="1:9" ht="16.5">
      <c r="A18" s="3052" t="s">
        <v>2866</v>
      </c>
      <c r="B18" s="3053"/>
      <c r="C18" s="3053"/>
      <c r="D18" s="3053"/>
      <c r="E18" s="3049" t="e">
        <f t="shared" si="2"/>
        <v>#DIV/0!</v>
      </c>
      <c r="F18" s="3049" t="e">
        <f t="shared" si="3"/>
        <v>#DIV/0!</v>
      </c>
      <c r="G18" s="3053"/>
      <c r="H18" s="3053"/>
      <c r="I18" s="3053"/>
    </row>
    <row r="19" spans="1:9" ht="16.5">
      <c r="A19" s="3052" t="s">
        <v>2867</v>
      </c>
      <c r="B19" s="3053"/>
      <c r="C19" s="3053"/>
      <c r="D19" s="3053"/>
      <c r="E19" s="3049" t="e">
        <f t="shared" si="2"/>
        <v>#DIV/0!</v>
      </c>
      <c r="F19" s="3049" t="e">
        <f t="shared" si="3"/>
        <v>#DIV/0!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7" sqref="D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t="s">
        <v>3122</v>
      </c>
      <c r="G1" s="311"/>
      <c r="H1" s="311"/>
      <c r="I1" s="311"/>
      <c r="J1" s="2029"/>
      <c r="K1" s="2029"/>
      <c r="L1" s="2029"/>
      <c r="M1" s="2029"/>
      <c r="N1" s="2029"/>
      <c r="O1" s="2029"/>
      <c r="P1" s="2029"/>
      <c r="Q1" s="2029"/>
      <c r="R1" s="2029"/>
      <c r="S1" s="2029"/>
      <c r="T1" s="2029"/>
      <c r="U1" s="2029"/>
      <c r="V1" s="2029"/>
    </row>
    <row r="2" spans="1:22" ht="21.75" customHeight="1" thickBot="1">
      <c r="A2" s="3349" t="str">
        <f>项目基本情况!K2</f>
        <v>出让国有建设用地使用权</v>
      </c>
      <c r="B2" s="3350"/>
      <c r="C2" s="3351"/>
      <c r="D2" s="3351"/>
      <c r="E2" s="3351"/>
      <c r="F2" s="3351"/>
      <c r="G2" s="3350"/>
      <c r="H2" s="3350"/>
      <c r="I2" s="3352"/>
      <c r="J2" s="2030"/>
      <c r="K2" s="2029"/>
      <c r="L2" s="2029"/>
      <c r="M2" s="2029"/>
      <c r="N2" s="2029"/>
      <c r="O2" s="2029"/>
      <c r="P2" s="2029"/>
      <c r="Q2" s="2029"/>
      <c r="R2" s="2029"/>
      <c r="S2" s="2029"/>
      <c r="T2" s="2029"/>
      <c r="U2" s="2029"/>
      <c r="V2" s="2029"/>
    </row>
    <row r="3" spans="1:22" ht="14.25">
      <c r="A3" s="3360" t="s">
        <v>298</v>
      </c>
      <c r="B3" s="3361"/>
      <c r="C3" s="3361"/>
      <c r="D3" s="3361"/>
      <c r="E3" s="3361"/>
      <c r="F3" s="3361"/>
      <c r="G3" s="3361"/>
      <c r="H3" s="3361"/>
      <c r="I3" s="3361"/>
      <c r="J3" s="2030"/>
      <c r="K3" s="2029"/>
      <c r="L3" s="2029"/>
      <c r="M3" s="2029"/>
      <c r="N3" s="2029"/>
      <c r="O3" s="2029"/>
      <c r="P3" s="2029"/>
      <c r="Q3" s="2029"/>
      <c r="R3" s="2029"/>
      <c r="S3" s="2029"/>
      <c r="T3" s="2029"/>
      <c r="U3" s="2029"/>
      <c r="V3" s="2029"/>
    </row>
    <row r="4" spans="1:22" ht="14.25">
      <c r="A4" s="258" t="s">
        <v>299</v>
      </c>
      <c r="B4" s="259" t="s">
        <v>300</v>
      </c>
      <c r="C4" s="260" t="s">
        <v>3121</v>
      </c>
      <c r="D4" s="260" t="s">
        <v>3139</v>
      </c>
      <c r="E4" s="3324" t="s">
        <v>301</v>
      </c>
      <c r="F4" s="3366"/>
      <c r="G4" s="3366"/>
      <c r="H4" s="3366"/>
      <c r="I4" s="332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3" t="s">
        <v>302</v>
      </c>
      <c r="B5" s="3354">
        <v>25</v>
      </c>
      <c r="C5" s="3362"/>
      <c r="D5" s="3365"/>
      <c r="E5" s="261" t="s">
        <v>303</v>
      </c>
      <c r="F5" s="262"/>
      <c r="G5" s="262"/>
      <c r="H5" s="262"/>
      <c r="I5" s="263"/>
      <c r="J5" s="2030"/>
      <c r="K5" s="2029"/>
      <c r="L5" s="2029"/>
      <c r="M5" s="2029"/>
      <c r="N5" s="2029"/>
      <c r="O5" s="2029"/>
      <c r="P5" s="2029"/>
      <c r="Q5" s="2029"/>
      <c r="R5" s="2029"/>
      <c r="S5" s="2029"/>
      <c r="T5" s="2029"/>
      <c r="U5" s="2029"/>
      <c r="V5" s="2029"/>
    </row>
    <row r="6" spans="1:22" ht="14.25">
      <c r="A6" s="3353"/>
      <c r="B6" s="3354"/>
      <c r="C6" s="3363"/>
      <c r="D6" s="3365"/>
      <c r="E6" s="261" t="s">
        <v>304</v>
      </c>
      <c r="F6" s="262"/>
      <c r="G6" s="262"/>
      <c r="H6" s="262"/>
      <c r="I6" s="263"/>
      <c r="J6" s="2030"/>
      <c r="K6" s="2029"/>
      <c r="L6" s="2029"/>
      <c r="M6" s="2029"/>
      <c r="N6" s="2029"/>
      <c r="O6" s="2029"/>
      <c r="P6" s="2029"/>
      <c r="Q6" s="2029"/>
      <c r="R6" s="2029"/>
      <c r="S6" s="2029"/>
      <c r="T6" s="2029"/>
      <c r="U6" s="2029"/>
      <c r="V6" s="2029"/>
    </row>
    <row r="7" spans="1:22" ht="14.25">
      <c r="A7" s="3353"/>
      <c r="B7" s="3354"/>
      <c r="C7" s="3364"/>
      <c r="D7" s="3365"/>
      <c r="E7" s="261" t="s">
        <v>305</v>
      </c>
      <c r="F7" s="262"/>
      <c r="G7" s="262"/>
      <c r="H7" s="262"/>
      <c r="I7" s="263"/>
      <c r="J7" s="2030"/>
      <c r="K7" s="2029"/>
      <c r="L7" s="2029"/>
      <c r="M7" s="2029"/>
      <c r="N7" s="2029"/>
      <c r="O7" s="2029"/>
      <c r="P7" s="2029"/>
      <c r="Q7" s="2029"/>
      <c r="R7" s="2029"/>
      <c r="S7" s="2029"/>
      <c r="T7" s="2029"/>
      <c r="U7" s="2029"/>
      <c r="V7" s="2029"/>
    </row>
    <row r="8" spans="1:22" ht="14.25">
      <c r="A8" s="3353" t="s">
        <v>306</v>
      </c>
      <c r="B8" s="3354">
        <v>15</v>
      </c>
      <c r="C8" s="3362"/>
      <c r="D8" s="3365"/>
      <c r="E8" s="261" t="s">
        <v>307</v>
      </c>
      <c r="F8" s="262"/>
      <c r="G8" s="262"/>
      <c r="H8" s="262"/>
      <c r="I8" s="263"/>
      <c r="J8" s="2030"/>
      <c r="K8" s="2029"/>
      <c r="L8" s="2029"/>
      <c r="M8" s="2029"/>
      <c r="N8" s="2029"/>
      <c r="O8" s="2029"/>
      <c r="P8" s="2029"/>
      <c r="Q8" s="2029"/>
      <c r="R8" s="2029"/>
      <c r="S8" s="2029"/>
      <c r="T8" s="2029"/>
      <c r="U8" s="2029"/>
      <c r="V8" s="2029"/>
    </row>
    <row r="9" spans="1:22" ht="14.25">
      <c r="A9" s="3353"/>
      <c r="B9" s="3354"/>
      <c r="C9" s="3364"/>
      <c r="D9" s="3365"/>
      <c r="E9" s="261" t="s">
        <v>308</v>
      </c>
      <c r="F9" s="262"/>
      <c r="G9" s="262"/>
      <c r="H9" s="262"/>
      <c r="I9" s="263"/>
      <c r="J9" s="2030"/>
      <c r="K9" s="2029"/>
      <c r="L9" s="2029"/>
      <c r="M9" s="2029"/>
      <c r="N9" s="2029"/>
      <c r="O9" s="2029"/>
      <c r="P9" s="2029"/>
      <c r="Q9" s="2029"/>
      <c r="R9" s="2029"/>
      <c r="S9" s="2029"/>
      <c r="T9" s="2029"/>
      <c r="U9" s="2029"/>
      <c r="V9" s="2029"/>
    </row>
    <row r="10" spans="1:22" ht="14.25">
      <c r="A10" s="3353" t="s">
        <v>309</v>
      </c>
      <c r="B10" s="3354">
        <v>15</v>
      </c>
      <c r="C10" s="3362"/>
      <c r="D10" s="336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3"/>
      <c r="B11" s="3354"/>
      <c r="C11" s="3364"/>
      <c r="D11" s="336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3" t="s">
        <v>312</v>
      </c>
      <c r="B12" s="3354">
        <v>15</v>
      </c>
      <c r="C12" s="3362"/>
      <c r="D12" s="336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3"/>
      <c r="B13" s="3354"/>
      <c r="C13" s="3364"/>
      <c r="D13" s="336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3" t="s">
        <v>315</v>
      </c>
      <c r="B14" s="3354">
        <v>30</v>
      </c>
      <c r="C14" s="3362">
        <v>5</v>
      </c>
      <c r="D14" s="3365">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3"/>
      <c r="B15" s="3354"/>
      <c r="C15" s="3363"/>
      <c r="D15" s="3365"/>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3"/>
      <c r="B16" s="3354"/>
      <c r="C16" s="3364"/>
      <c r="D16" s="336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98835</v>
      </c>
      <c r="D19" s="271">
        <f ca="1">SUMIF(INDIRECT("'"&amp;D4&amp;"'"&amp;"!A:A"),结果表!B19,INDIRECT("'"&amp;D4&amp;"'"&amp;"!B:B"))</f>
        <v>85528</v>
      </c>
      <c r="E19" s="268" t="s">
        <v>323</v>
      </c>
      <c r="F19" s="269" t="s">
        <v>322</v>
      </c>
      <c r="G19" s="272">
        <f ca="1">ROUND(C19*$C$18+D19*$D$18,0)</f>
        <v>92182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4313</v>
      </c>
      <c r="D20" s="277">
        <f ca="1">SUMIF(INDIRECT("'"&amp;D4&amp;"'"&amp;"!A:A"),结果表!B20,INDIRECT("'"&amp;D4&amp;"'"&amp;"!B:B"))</f>
        <v>3733</v>
      </c>
      <c r="E20" s="274"/>
      <c r="F20" s="275" t="s">
        <v>325</v>
      </c>
      <c r="G20" s="278">
        <f ca="1">ROUND(C20*$C$18+D20*$D$18,0)</f>
        <v>4023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8375</v>
      </c>
      <c r="D21" s="151">
        <f ca="1">SUMIF(INDIRECT("'"&amp;D4&amp;"'"&amp;"!A:A"),结果表!B21,INDIRECT("'"&amp;D4&amp;"'"&amp;"!B:B"))</f>
        <v>7247</v>
      </c>
      <c r="E21" s="274"/>
      <c r="F21" s="280" t="s">
        <v>327</v>
      </c>
      <c r="G21" s="282">
        <f ca="1">ROUND(C21*$C$18+D21*$D$18,0)</f>
        <v>7811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0.15558647460480768</v>
      </c>
      <c r="E22" s="284"/>
      <c r="F22" s="285"/>
      <c r="G22" s="286">
        <f ca="1">ROUND(G19/('数据-汇总表'!D3/666.67),0)</f>
        <v>521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8"/>
      <c r="B25" s="1321" t="s">
        <v>331</v>
      </c>
      <c r="C25" s="290">
        <f>IF(B30=0,0,C30)</f>
        <v>0</v>
      </c>
      <c r="D25" s="291"/>
      <c r="E25" s="311"/>
      <c r="F25" s="311"/>
      <c r="G25" s="311"/>
      <c r="H25" s="311"/>
      <c r="I25" s="311"/>
      <c r="J25" s="2029"/>
      <c r="K25" s="1255" t="str">
        <f ca="1">项目基本情况!B16&amp;"国有建设用地使用权价格："&amp;O38&amp;"万元"</f>
        <v>出让国有建设用地使用权价格：92182万元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大写金额：人民币玖亿贰仟壹佰捌拾贰万元整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f ca="1">G19*10000/'数据-汇总表'!F31</f>
        <v>5228.4555212041087</v>
      </c>
      <c r="E27" s="311"/>
      <c r="F27" s="311"/>
      <c r="G27" s="311"/>
      <c r="H27" s="311"/>
      <c r="I27" s="311"/>
      <c r="J27" s="2029"/>
      <c r="K27" s="1258" t="str">
        <f ca="1">"单位面积地价："&amp;M38&amp;"元/平方米"</f>
        <v>单位面积地价：7811元/平方米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楼面地价：4023元/平方米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抵押价格：92182万元</v>
      </c>
      <c r="L29" s="1252"/>
      <c r="M29" s="1252"/>
      <c r="N29" s="1252"/>
      <c r="O29" s="1251"/>
      <c r="P29" s="2029"/>
      <c r="V29" s="2029"/>
    </row>
    <row r="30" spans="1:26" ht="18.75" thickBot="1">
      <c r="A30" s="3129" t="s">
        <v>336</v>
      </c>
      <c r="B30" s="309"/>
      <c r="C30" s="309"/>
      <c r="D30" s="310"/>
      <c r="E30" s="3130" t="s">
        <v>2972</v>
      </c>
      <c r="F30" s="311"/>
      <c r="G30" s="311"/>
      <c r="H30" s="311"/>
      <c r="I30" s="311"/>
      <c r="J30" s="2029"/>
      <c r="K30" s="1258" t="str">
        <f ca="1">IF(K29="——","——","大写金额：人民币"&amp;NUMBERSTRING(INT(O39*10000),2)&amp;"元整")</f>
        <v>大写金额：人民币玖亿贰仟壹佰捌拾贰万元整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92182</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4023</v>
      </c>
      <c r="D33" s="1385" t="s">
        <v>1692</v>
      </c>
      <c r="E33" s="3326"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7811</v>
      </c>
      <c r="D34" s="1387" t="s">
        <v>1692</v>
      </c>
      <c r="E34" s="3327"/>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521</v>
      </c>
      <c r="D35" s="1390" t="s">
        <v>1694</v>
      </c>
      <c r="E35" s="3328"/>
      <c r="F35" s="301" t="s">
        <v>342</v>
      </c>
      <c r="G35" s="982"/>
      <c r="H35" s="981" t="s">
        <v>343</v>
      </c>
      <c r="I35" s="311"/>
      <c r="J35" s="2029"/>
      <c r="K35" s="3332" t="s">
        <v>350</v>
      </c>
      <c r="L35" s="3332" t="s">
        <v>351</v>
      </c>
      <c r="M35" s="1264" t="s">
        <v>352</v>
      </c>
      <c r="N35" s="3332" t="s">
        <v>353</v>
      </c>
      <c r="O35" s="3332" t="s">
        <v>354</v>
      </c>
      <c r="P35" s="2029"/>
      <c r="V35" s="2029"/>
    </row>
    <row r="36" spans="1:26" ht="16.5" customHeight="1">
      <c r="A36" s="303" t="s">
        <v>344</v>
      </c>
      <c r="B36" s="304" t="s">
        <v>333</v>
      </c>
      <c r="C36" s="305" t="s">
        <v>345</v>
      </c>
      <c r="D36" s="305" t="s">
        <v>346</v>
      </c>
      <c r="E36" s="306" t="s">
        <v>347</v>
      </c>
      <c r="F36" s="311"/>
      <c r="G36" s="311"/>
      <c r="H36" s="311"/>
      <c r="I36" s="311"/>
      <c r="J36" s="2031"/>
      <c r="K36" s="3333"/>
      <c r="L36" s="3333"/>
      <c r="M36" s="1266" t="s">
        <v>355</v>
      </c>
      <c r="N36" s="3333"/>
      <c r="O36" s="3333"/>
      <c r="P36" s="2029"/>
      <c r="V36" s="2029"/>
    </row>
    <row r="37" spans="1:26" ht="16.5" customHeight="1" thickBot="1">
      <c r="A37" s="1260" t="s">
        <v>348</v>
      </c>
      <c r="B37" s="307"/>
      <c r="C37" s="294"/>
      <c r="D37" s="294"/>
      <c r="E37" s="295"/>
      <c r="F37" s="311"/>
      <c r="G37" s="311"/>
      <c r="H37" s="311"/>
      <c r="I37" s="311"/>
      <c r="J37" s="2031"/>
      <c r="K37" s="3334"/>
      <c r="L37" s="3334"/>
      <c r="M37" s="1267"/>
      <c r="N37" s="3334"/>
      <c r="O37" s="3334"/>
      <c r="P37" s="2029"/>
      <c r="V37" s="2029"/>
    </row>
    <row r="38" spans="1:26" ht="16.5" customHeight="1" thickBot="1">
      <c r="A38" s="1260" t="s">
        <v>349</v>
      </c>
      <c r="B38" s="307"/>
      <c r="C38" s="294"/>
      <c r="D38" s="294"/>
      <c r="E38" s="295"/>
      <c r="F38" s="311"/>
      <c r="G38" s="311"/>
      <c r="H38" s="311"/>
      <c r="I38" s="311"/>
      <c r="J38" s="2031"/>
      <c r="K38" s="1268">
        <f>'数据-汇总表'!D3</f>
        <v>118010.9</v>
      </c>
      <c r="L38" s="1269">
        <f>'数据-汇总表'!E3</f>
        <v>229142.34999999998</v>
      </c>
      <c r="M38" s="1269">
        <f ca="1">C34</f>
        <v>7811</v>
      </c>
      <c r="N38" s="1269">
        <f ca="1">C33</f>
        <v>4023</v>
      </c>
      <c r="O38" s="1270">
        <f ca="1">C32</f>
        <v>92182</v>
      </c>
      <c r="P38" s="2029"/>
      <c r="V38" s="2029"/>
    </row>
    <row r="39" spans="1:26" ht="16.5" customHeight="1" thickBot="1">
      <c r="A39" s="1265"/>
      <c r="B39" s="308"/>
      <c r="C39" s="309"/>
      <c r="D39" s="309"/>
      <c r="E39" s="310"/>
      <c r="F39" s="311"/>
      <c r="G39" s="311"/>
      <c r="H39" s="311"/>
      <c r="I39" s="311"/>
      <c r="J39" s="2031"/>
      <c r="K39" s="3309" t="str">
        <f>MID(A44,3,LEN(A44)-2)</f>
        <v>抵押价格</v>
      </c>
      <c r="L39" s="3310"/>
      <c r="M39" s="3310"/>
      <c r="N39" s="3311"/>
      <c r="O39" s="1392">
        <f ca="1">C44</f>
        <v>92182</v>
      </c>
      <c r="P39" s="2029"/>
      <c r="V39" s="2029"/>
    </row>
    <row r="40" spans="1:26" ht="19.5" thickBot="1">
      <c r="A40" s="104" t="s">
        <v>873</v>
      </c>
      <c r="B40" s="311"/>
      <c r="C40" s="311"/>
      <c r="D40" s="311"/>
      <c r="E40" s="311"/>
      <c r="F40" s="311"/>
      <c r="G40" s="311"/>
      <c r="H40" s="311"/>
      <c r="I40" s="311"/>
      <c r="J40" s="2031"/>
      <c r="K40" s="3309" t="str">
        <f t="shared" ref="K40:K41" si="0">MID(A45,3,LEN(A45)-2)</f>
        <v/>
      </c>
      <c r="L40" s="3310"/>
      <c r="M40" s="3310"/>
      <c r="N40" s="3311"/>
      <c r="O40" s="1392" t="str">
        <f>C45</f>
        <v>——</v>
      </c>
      <c r="P40" s="2029"/>
      <c r="V40" s="2029"/>
    </row>
    <row r="41" spans="1:26" ht="16.5" thickBot="1">
      <c r="A41" s="312" t="s">
        <v>356</v>
      </c>
      <c r="B41" s="313"/>
      <c r="C41" s="314" t="s">
        <v>357</v>
      </c>
      <c r="D41" s="315" t="s">
        <v>358</v>
      </c>
      <c r="E41" s="315" t="s">
        <v>359</v>
      </c>
      <c r="F41" s="316" t="s">
        <v>360</v>
      </c>
      <c r="G41" s="311"/>
      <c r="H41" s="311"/>
      <c r="I41" s="311"/>
      <c r="J41" s="2031"/>
      <c r="K41" s="3309" t="str">
        <f t="shared" si="0"/>
        <v/>
      </c>
      <c r="L41" s="3310"/>
      <c r="M41" s="3310"/>
      <c r="N41" s="3311"/>
      <c r="O41" s="1392" t="str">
        <f>C46</f>
        <v>——</v>
      </c>
      <c r="P41" s="2029"/>
      <c r="V41" s="2029"/>
    </row>
    <row r="42" spans="1:26" ht="29.25">
      <c r="A42" s="3369" t="s">
        <v>2070</v>
      </c>
      <c r="B42" s="3370"/>
      <c r="C42" s="264">
        <f ca="1">C32</f>
        <v>92182</v>
      </c>
      <c r="D42" s="317">
        <f ca="1">C33</f>
        <v>4023</v>
      </c>
      <c r="E42" s="317">
        <f ca="1">C34</f>
        <v>7811</v>
      </c>
      <c r="F42" s="318">
        <f ca="1">C35</f>
        <v>521</v>
      </c>
      <c r="G42" s="311"/>
      <c r="H42" s="311"/>
      <c r="I42" s="319"/>
      <c r="J42" s="2031"/>
      <c r="K42" s="1271" t="s">
        <v>361</v>
      </c>
      <c r="L42" s="2048" t="s">
        <v>362</v>
      </c>
      <c r="M42" s="1272" t="s">
        <v>363</v>
      </c>
      <c r="N42" s="2049" t="s">
        <v>364</v>
      </c>
      <c r="O42" s="2050" t="s">
        <v>365</v>
      </c>
      <c r="P42" s="2029"/>
      <c r="V42" s="2029"/>
    </row>
    <row r="43" spans="1:26" ht="30">
      <c r="A43" s="3379" t="s">
        <v>2732</v>
      </c>
      <c r="B43" s="3380"/>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98835</v>
      </c>
      <c r="M43" s="1275">
        <f>C18</f>
        <v>0.5</v>
      </c>
      <c r="N43" s="1276">
        <f ca="1">IF(N42="测算结果/万元",G19,G20)</f>
        <v>92182</v>
      </c>
      <c r="O43" s="1277">
        <f ca="1">IF(O42="最终结果/万元",C32,C33)</f>
        <v>92182</v>
      </c>
      <c r="P43" s="2029"/>
      <c r="V43" s="2029"/>
    </row>
    <row r="44" spans="1:26" ht="30.75" thickBot="1">
      <c r="A44" s="3369" t="str">
        <f>IF(OR(项目基本情况!E8="抵押价格",项目基本情况!E8="已注销及未注销"),"3.抵押价格","——")</f>
        <v>3.抵押价格</v>
      </c>
      <c r="B44" s="3370"/>
      <c r="C44" s="264">
        <f ca="1">IF(A44="——","——",C42-C43)</f>
        <v>92182</v>
      </c>
      <c r="D44" s="317">
        <f ca="1">ROUND(C44*10000/'数据-汇总表'!E3,0)</f>
        <v>4023</v>
      </c>
      <c r="E44" s="317">
        <f ca="1">ROUND(C44*10000/'数据-汇总表'!D3,0)</f>
        <v>7811</v>
      </c>
      <c r="F44" s="318">
        <f ca="1">ROUND(C44/('数据-汇总表'!D3/666.67),0)</f>
        <v>521</v>
      </c>
      <c r="G44" s="311"/>
      <c r="H44" s="311"/>
      <c r="I44" s="319"/>
      <c r="J44" s="2031"/>
      <c r="K44" s="1278" t="str">
        <f>D4</f>
        <v>剩余法-待开发</v>
      </c>
      <c r="L44" s="1279">
        <f ca="1">IF(L42="估价结果/万元",D19,D20)</f>
        <v>85528</v>
      </c>
      <c r="M44" s="1280">
        <f>D18</f>
        <v>0.5</v>
      </c>
      <c r="N44" s="1281"/>
      <c r="O44" s="1282"/>
      <c r="P44" s="2029"/>
      <c r="V44" s="2029"/>
    </row>
    <row r="45" spans="1:26" ht="15">
      <c r="A45" s="3374" t="str">
        <f>IF(项目基本情况!E8="已注销及未注销","4.抵押担保权已注销时的抵押价格",IF(项目基本情况!E8="已注销","3.抵押担保权已注销时的抵押价格","——"))</f>
        <v>——</v>
      </c>
      <c r="B45" s="337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1" t="str">
        <f>IF(项目基本情况!E9="抵押净值",IF(A45="——","4.抵押净值","5.抵押净值"),"——")</f>
        <v>——</v>
      </c>
      <c r="B46" s="337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7" t="s">
        <v>374</v>
      </c>
      <c r="B63" s="3338"/>
      <c r="C63" s="3339"/>
      <c r="D63" s="341">
        <f ca="1">ROUND(C42*F63,0)</f>
        <v>92182</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76" t="s">
        <v>378</v>
      </c>
      <c r="B64" s="3377"/>
      <c r="C64" s="3377"/>
      <c r="D64" s="3377"/>
      <c r="E64" s="3377"/>
      <c r="F64" s="3377"/>
      <c r="G64" s="3378"/>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3" t="s">
        <v>386</v>
      </c>
      <c r="B66" s="3344"/>
      <c r="C66" s="3344"/>
      <c r="D66" s="261">
        <f ca="1">IF(H66="情况1",0,IF(H66="情况2",D70,IF(H66="情况3",D71,IF(H66="情况4",D72))))</f>
        <v>4872</v>
      </c>
      <c r="E66" s="993" t="str">
        <f>IF(H66="情况4","(销售额-原购置价)×税（费）率","销售额×税（费）率")</f>
        <v>销售额×税（费）率</v>
      </c>
      <c r="F66" s="350">
        <f>IF(H66="情况1","免征",'数据-取费表'!B41)</f>
        <v>5.5500000000000008E-2</v>
      </c>
      <c r="G66" s="351" t="s">
        <v>387</v>
      </c>
      <c r="H66" s="191" t="s">
        <v>388</v>
      </c>
      <c r="I66" s="1288"/>
      <c r="J66" s="2035"/>
      <c r="K66" s="1291">
        <v>1</v>
      </c>
      <c r="L66" s="3313" t="s">
        <v>385</v>
      </c>
      <c r="M66" s="3314"/>
      <c r="N66" s="2459"/>
      <c r="O66" s="2460"/>
      <c r="P66" s="2461"/>
      <c r="Q66" s="2029"/>
      <c r="R66" s="2029"/>
      <c r="S66" s="2029"/>
      <c r="T66" s="2029"/>
      <c r="U66" s="2029"/>
      <c r="V66" s="2029"/>
    </row>
    <row r="67" spans="1:22" ht="25.5" customHeight="1">
      <c r="A67" s="352" t="s">
        <v>390</v>
      </c>
      <c r="B67" s="3356" t="s">
        <v>391</v>
      </c>
      <c r="C67" s="3356"/>
      <c r="D67" s="353">
        <v>0</v>
      </c>
      <c r="E67" s="41" t="s">
        <v>392</v>
      </c>
      <c r="F67" s="62" t="s">
        <v>21</v>
      </c>
      <c r="G67" s="3340"/>
      <c r="H67" s="311"/>
      <c r="I67" s="1292"/>
      <c r="J67" s="2036"/>
      <c r="K67" s="1977">
        <v>2</v>
      </c>
      <c r="L67" s="3312" t="s">
        <v>389</v>
      </c>
      <c r="M67" s="3312"/>
      <c r="N67" s="1325">
        <f>'数据-取费表'!B2</f>
        <v>43402</v>
      </c>
      <c r="O67" s="1325"/>
      <c r="P67" s="1325"/>
      <c r="Q67" s="2029"/>
      <c r="R67" s="2029"/>
      <c r="S67" s="2029"/>
      <c r="T67" s="2029"/>
      <c r="U67" s="2029"/>
      <c r="V67" s="2029"/>
    </row>
    <row r="68" spans="1:22" ht="25.5" customHeight="1">
      <c r="A68" s="354"/>
      <c r="B68" s="3356" t="s">
        <v>394</v>
      </c>
      <c r="C68" s="3356"/>
      <c r="D68" s="355"/>
      <c r="E68" s="77"/>
      <c r="F68" s="356"/>
      <c r="G68" s="3341"/>
      <c r="H68" s="311"/>
      <c r="I68" s="1292"/>
      <c r="J68" s="2036"/>
      <c r="K68" s="1977">
        <v>3</v>
      </c>
      <c r="L68" s="3312" t="s">
        <v>393</v>
      </c>
      <c r="M68" s="3312"/>
      <c r="N68" s="1293">
        <f ca="1">C42</f>
        <v>92182</v>
      </c>
      <c r="O68" s="1293"/>
      <c r="P68" s="1293"/>
      <c r="Q68" s="2029"/>
      <c r="R68" s="2029"/>
      <c r="S68" s="2029"/>
      <c r="T68" s="2029"/>
      <c r="U68" s="2029"/>
      <c r="V68" s="2029"/>
    </row>
    <row r="69" spans="1:22" ht="12" customHeight="1">
      <c r="A69" s="357"/>
      <c r="B69" s="3356" t="s">
        <v>395</v>
      </c>
      <c r="C69" s="3356"/>
      <c r="D69" s="358"/>
      <c r="E69" s="73"/>
      <c r="F69" s="356"/>
      <c r="G69" s="3342"/>
      <c r="H69" s="311"/>
      <c r="I69" s="1292"/>
      <c r="J69" s="2036"/>
      <c r="K69" s="1294">
        <v>4</v>
      </c>
      <c r="L69" s="3318" t="s">
        <v>2885</v>
      </c>
      <c r="M69" s="3319"/>
      <c r="N69" s="1295">
        <f ca="1">C44</f>
        <v>92182</v>
      </c>
      <c r="O69" s="1295"/>
      <c r="P69" s="1295"/>
      <c r="Q69" s="2029"/>
      <c r="R69" s="2029"/>
      <c r="S69" s="2029"/>
      <c r="T69" s="2029"/>
      <c r="U69" s="2029"/>
      <c r="V69" s="2029"/>
    </row>
    <row r="70" spans="1:22" ht="24" customHeight="1">
      <c r="A70" s="359" t="s">
        <v>396</v>
      </c>
      <c r="B70" s="3356" t="s">
        <v>397</v>
      </c>
      <c r="C70" s="3356"/>
      <c r="D70" s="358">
        <f ca="1">ROUND(D63*'数据-取费表'!B41/(1+'数据-取费表'!C42),0)</f>
        <v>4872</v>
      </c>
      <c r="E70" s="17" t="s">
        <v>398</v>
      </c>
      <c r="F70" s="360">
        <f>'数据-取费表'!B41</f>
        <v>5.5500000000000008E-2</v>
      </c>
      <c r="G70" s="361"/>
      <c r="H70" s="311"/>
      <c r="I70" s="1292"/>
      <c r="J70" s="2036"/>
      <c r="K70" s="3062"/>
      <c r="L70" s="3063"/>
      <c r="M70" s="3063"/>
      <c r="N70" s="3064" t="s">
        <v>2890</v>
      </c>
      <c r="O70" s="3063"/>
      <c r="P70" s="3065"/>
      <c r="Q70" s="2029"/>
      <c r="R70" s="2029"/>
      <c r="S70" s="2029"/>
      <c r="T70" s="2029"/>
      <c r="U70" s="2029"/>
      <c r="V70" s="2029"/>
    </row>
    <row r="71" spans="1:22" ht="12" customHeight="1">
      <c r="A71" s="359" t="s">
        <v>404</v>
      </c>
      <c r="B71" s="3355" t="s">
        <v>405</v>
      </c>
      <c r="C71" s="3367"/>
      <c r="D71" s="358">
        <f ca="1">ROUND(D63*'数据-取费表'!B41/(1+'数据-取费表'!C42),0)</f>
        <v>4872</v>
      </c>
      <c r="E71" s="17" t="s">
        <v>398</v>
      </c>
      <c r="F71" s="360">
        <f>'数据-取费表'!B41</f>
        <v>5.5500000000000008E-2</v>
      </c>
      <c r="G71" s="361"/>
      <c r="H71" s="311"/>
      <c r="I71" s="1292"/>
      <c r="J71" s="2036"/>
      <c r="K71" s="3061" t="s">
        <v>399</v>
      </c>
      <c r="L71" s="3320" t="s">
        <v>400</v>
      </c>
      <c r="M71" s="3320"/>
      <c r="N71" s="3061" t="s">
        <v>401</v>
      </c>
      <c r="O71" s="3061" t="s">
        <v>402</v>
      </c>
      <c r="P71" s="3061" t="s">
        <v>403</v>
      </c>
      <c r="Q71" s="2029"/>
      <c r="R71" s="2029"/>
      <c r="S71" s="2029"/>
      <c r="T71" s="2029"/>
      <c r="U71" s="2029"/>
      <c r="V71" s="2029"/>
    </row>
    <row r="72" spans="1:22" ht="12" customHeight="1">
      <c r="A72" s="359" t="s">
        <v>407</v>
      </c>
      <c r="B72" s="3355" t="s">
        <v>408</v>
      </c>
      <c r="C72" s="3367"/>
      <c r="D72" s="358">
        <f ca="1">C86</f>
        <v>4761</v>
      </c>
      <c r="E72" s="73" t="s">
        <v>409</v>
      </c>
      <c r="F72" s="360">
        <f>'数据-取费表'!B41</f>
        <v>5.5500000000000008E-2</v>
      </c>
      <c r="G72" s="361"/>
      <c r="H72" s="1298"/>
      <c r="I72" s="1292"/>
      <c r="J72" s="2036"/>
      <c r="K72" s="1977">
        <v>1</v>
      </c>
      <c r="L72" s="3317" t="s">
        <v>406</v>
      </c>
      <c r="M72" s="3317"/>
      <c r="N72" s="1296">
        <f ca="1">D66</f>
        <v>4872</v>
      </c>
      <c r="O72" s="1860" t="str">
        <f>E66</f>
        <v>销售额×税（费）率</v>
      </c>
      <c r="P72" s="1297">
        <f>F66</f>
        <v>5.5500000000000008E-2</v>
      </c>
      <c r="Q72" s="2029"/>
      <c r="R72" s="2029"/>
      <c r="S72" s="2029"/>
      <c r="T72" s="2029"/>
      <c r="U72" s="2029"/>
      <c r="V72" s="2029"/>
    </row>
    <row r="73" spans="1:22" ht="24" customHeight="1">
      <c r="A73" s="3343" t="s">
        <v>411</v>
      </c>
      <c r="B73" s="3344"/>
      <c r="C73" s="3344"/>
      <c r="D73" s="362">
        <f>IF(H73="个人住宅",0,ROUND(D63*I73,0))</f>
        <v>0</v>
      </c>
      <c r="E73" s="17" t="s">
        <v>412</v>
      </c>
      <c r="F73" s="360" t="str">
        <f>IF(H73="正常",I73,"免征")</f>
        <v>免征</v>
      </c>
      <c r="G73" s="361"/>
      <c r="H73" s="191" t="s">
        <v>2457</v>
      </c>
      <c r="I73" s="360">
        <f>'数据-取费表'!B49</f>
        <v>5.0000000000000001E-4</v>
      </c>
      <c r="J73" s="2036"/>
      <c r="K73" s="1977">
        <v>2</v>
      </c>
      <c r="L73" s="3317" t="s">
        <v>410</v>
      </c>
      <c r="M73" s="3317"/>
      <c r="N73" s="1296">
        <f t="shared" ref="N73:P74" si="1">D73</f>
        <v>0</v>
      </c>
      <c r="O73" s="1860" t="str">
        <f t="shared" si="1"/>
        <v>销售额×税（费）率</v>
      </c>
      <c r="P73" s="1297" t="str">
        <f t="shared" si="1"/>
        <v>免征</v>
      </c>
      <c r="Q73" s="2029"/>
      <c r="R73" s="2029"/>
      <c r="S73" s="2029"/>
      <c r="T73" s="2029"/>
      <c r="U73" s="2029"/>
      <c r="V73" s="2029"/>
    </row>
    <row r="74" spans="1:22" ht="24.75">
      <c r="A74" s="3343" t="s">
        <v>415</v>
      </c>
      <c r="B74" s="3344"/>
      <c r="C74" s="3344"/>
      <c r="D74" s="362">
        <f ca="1">IF(H74="个人住宅",D75,D76)</f>
        <v>29333</v>
      </c>
      <c r="E74" s="17" t="s">
        <v>416</v>
      </c>
      <c r="F74" s="360" t="str">
        <f>IF(H74="正常",F76,"免征")</f>
        <v>——</v>
      </c>
      <c r="G74" s="983" t="s">
        <v>417</v>
      </c>
      <c r="H74" s="363" t="s">
        <v>413</v>
      </c>
      <c r="I74" s="42"/>
      <c r="J74" s="2036"/>
      <c r="K74" s="1977">
        <v>3</v>
      </c>
      <c r="L74" s="3317" t="s">
        <v>414</v>
      </c>
      <c r="M74" s="3317"/>
      <c r="N74" s="1296">
        <f t="shared" ca="1" si="1"/>
        <v>29333</v>
      </c>
      <c r="O74" s="1860" t="str">
        <f t="shared" si="1"/>
        <v>增值额×税（费）率</v>
      </c>
      <c r="P74" s="1299" t="str">
        <f t="shared" si="1"/>
        <v>——</v>
      </c>
      <c r="Q74" s="2029"/>
      <c r="R74" s="2029"/>
      <c r="S74" s="2029"/>
      <c r="T74" s="2029"/>
      <c r="U74" s="2029"/>
      <c r="V74" s="2029"/>
    </row>
    <row r="75" spans="1:22" ht="24">
      <c r="A75" s="359" t="s">
        <v>418</v>
      </c>
      <c r="B75" s="3324" t="s">
        <v>419</v>
      </c>
      <c r="C75" s="3325"/>
      <c r="D75" s="364">
        <v>0</v>
      </c>
      <c r="E75" s="41" t="s">
        <v>420</v>
      </c>
      <c r="F75" s="365"/>
      <c r="G75" s="361"/>
      <c r="H75" s="42"/>
      <c r="I75" s="42"/>
      <c r="J75" s="2036"/>
      <c r="K75" s="3054">
        <f>IF(H77="非个人房产","",4)</f>
        <v>4</v>
      </c>
      <c r="L75" s="3317" t="str">
        <f>IF(H77="非个人房产","——","个人所得税")</f>
        <v>个人所得税</v>
      </c>
      <c r="M75" s="3317"/>
      <c r="N75" s="1300">
        <f ca="1">D77</f>
        <v>922</v>
      </c>
      <c r="O75" s="1873" t="str">
        <f>E77</f>
        <v>销售额×税（费）率</v>
      </c>
      <c r="P75" s="1301">
        <f>F77</f>
        <v>0.01</v>
      </c>
      <c r="Q75" s="2029"/>
      <c r="R75" s="2029"/>
      <c r="S75" s="2029"/>
      <c r="T75" s="2029"/>
      <c r="U75" s="2029"/>
      <c r="V75" s="2029"/>
    </row>
    <row r="76" spans="1:22" ht="24.75">
      <c r="A76" s="359" t="s">
        <v>396</v>
      </c>
      <c r="B76" s="3324" t="s">
        <v>422</v>
      </c>
      <c r="C76" s="3366"/>
      <c r="D76" s="362">
        <f ca="1">IF(H76="转让取得",C99,C115)</f>
        <v>29333</v>
      </c>
      <c r="E76" s="17" t="s">
        <v>423</v>
      </c>
      <c r="F76" s="53" t="s">
        <v>21</v>
      </c>
      <c r="G76" s="361"/>
      <c r="H76" s="363" t="s">
        <v>424</v>
      </c>
      <c r="I76" s="42"/>
      <c r="J76" s="2036"/>
      <c r="K76" s="3054" t="str">
        <f>IF(项目基本情况!K6="上海银行",IF(K75="",4,K75+1),"")</f>
        <v/>
      </c>
      <c r="L76" s="3305" t="str">
        <f>IF(项目基本情况!K6="上海银行","其他处置费用","")</f>
        <v/>
      </c>
      <c r="M76" s="3306"/>
      <c r="N76" s="1296" t="str">
        <f>IF(项目基本情况!K6="上海银行",N89,"")</f>
        <v/>
      </c>
      <c r="O76" s="3307" t="str">
        <f>IF(项目基本情况!K6="上海银行","包含处置中涉及的律师、诉讼、拍卖、评估等费用","")</f>
        <v/>
      </c>
      <c r="P76" s="3308"/>
      <c r="Q76" s="2029"/>
      <c r="R76" s="2029"/>
      <c r="S76" s="2029"/>
      <c r="T76" s="2029"/>
      <c r="U76" s="2029"/>
      <c r="V76" s="2029"/>
    </row>
    <row r="77" spans="1:22" ht="26.25" thickBot="1">
      <c r="A77" s="3335" t="s">
        <v>426</v>
      </c>
      <c r="B77" s="3336"/>
      <c r="C77" s="3336"/>
      <c r="D77" s="366">
        <f ca="1">IF(H77="非个人房产","——",IF(H77="个人住宅",0,ROUND(D63*I77,0)))</f>
        <v>922</v>
      </c>
      <c r="E77" s="367" t="str">
        <f>IF(H77="非个人房产","——","销售额×税（费）率")</f>
        <v>销售额×税（费）率</v>
      </c>
      <c r="F77" s="368">
        <f>IF(H77="非个人房产","——",IF(H77="个人住宅","免征",I77))</f>
        <v>0.01</v>
      </c>
      <c r="G77" s="984" t="s">
        <v>417</v>
      </c>
      <c r="H77" s="363" t="s">
        <v>2886</v>
      </c>
      <c r="I77" s="369">
        <v>0.01</v>
      </c>
      <c r="J77" s="2036"/>
      <c r="K77" s="3331">
        <f>IF(AND(K75="",K76=""),4,IF(项目基本情况!K6="上海银行",K76+1,K75+1))</f>
        <v>5</v>
      </c>
      <c r="L77" s="3317" t="s">
        <v>2887</v>
      </c>
      <c r="M77" s="3060" t="s">
        <v>421</v>
      </c>
      <c r="N77" s="1302"/>
      <c r="O77" s="1303">
        <f ca="1">SUMIF(N72:N76,"&lt;9e307")</f>
        <v>35127</v>
      </c>
      <c r="P77" s="1304"/>
      <c r="Q77" s="3058">
        <f ca="1">O77/N69</f>
        <v>0.38106137857716255</v>
      </c>
      <c r="R77" s="2029"/>
      <c r="S77" s="2029"/>
      <c r="T77" s="2029"/>
      <c r="U77" s="2029"/>
      <c r="V77" s="2029"/>
    </row>
    <row r="78" spans="1:22" ht="12" customHeight="1">
      <c r="A78" s="1305"/>
      <c r="B78" s="311"/>
      <c r="C78" s="311"/>
      <c r="D78" s="311"/>
      <c r="E78" s="42"/>
      <c r="F78" s="42"/>
      <c r="G78" s="42"/>
      <c r="H78" s="1003"/>
      <c r="I78" s="311"/>
      <c r="J78" s="2036"/>
      <c r="K78" s="3331"/>
      <c r="L78" s="3317"/>
      <c r="M78" s="3060" t="s">
        <v>425</v>
      </c>
      <c r="N78" s="1302"/>
      <c r="O78" s="1303" t="str">
        <f ca="1">NUMBERSTRING(INT(O77*10000),2)&amp;"元整"</f>
        <v>叁亿伍仟壹佰贰拾柒万元整</v>
      </c>
      <c r="P78" s="1304"/>
      <c r="Q78" s="2029"/>
      <c r="R78" s="2029"/>
      <c r="S78" s="2029"/>
      <c r="T78" s="2029"/>
      <c r="U78" s="2029"/>
      <c r="V78" s="2029"/>
    </row>
    <row r="79" spans="1:22" ht="13.5" thickBot="1">
      <c r="A79" s="3321" t="s">
        <v>427</v>
      </c>
      <c r="B79" s="3321"/>
      <c r="C79" s="3321"/>
      <c r="D79" s="3321"/>
      <c r="E79" s="3321"/>
      <c r="F79" s="42"/>
      <c r="G79" s="42"/>
      <c r="H79" s="1003"/>
      <c r="I79" s="311"/>
      <c r="J79" s="2036"/>
      <c r="K79" s="3315">
        <f>K77+1</f>
        <v>6</v>
      </c>
      <c r="L79" s="3317" t="s">
        <v>2888</v>
      </c>
      <c r="M79" s="3060" t="s">
        <v>421</v>
      </c>
      <c r="N79" s="1302"/>
      <c r="O79" s="1303">
        <f ca="1">N69-O77</f>
        <v>57055</v>
      </c>
      <c r="P79" s="1304"/>
      <c r="Q79" s="2029"/>
      <c r="R79" s="2029"/>
      <c r="S79" s="2029"/>
      <c r="T79" s="2029"/>
      <c r="U79" s="2029"/>
      <c r="V79" s="2029"/>
    </row>
    <row r="80" spans="1:22" ht="12.75">
      <c r="A80" s="3322" t="s">
        <v>428</v>
      </c>
      <c r="B80" s="3323"/>
      <c r="C80" s="994"/>
      <c r="D80" s="994" t="s">
        <v>429</v>
      </c>
      <c r="E80" s="370" t="s">
        <v>430</v>
      </c>
      <c r="F80" s="42"/>
      <c r="G80" s="42"/>
      <c r="H80" s="1003"/>
      <c r="I80" s="311"/>
      <c r="J80" s="2029"/>
      <c r="K80" s="3316"/>
      <c r="L80" s="3317"/>
      <c r="M80" s="3060" t="s">
        <v>425</v>
      </c>
      <c r="N80" s="1302"/>
      <c r="O80" s="1303" t="str">
        <f ca="1">NUMBERSTRING(INT(O79*10000),2)&amp;"元整"</f>
        <v>伍亿柒仟零伍拾伍万元整</v>
      </c>
      <c r="P80" s="1304"/>
      <c r="Q80" s="2029"/>
      <c r="R80" s="2029"/>
      <c r="S80" s="2029"/>
      <c r="T80" s="2029"/>
      <c r="U80" s="2029"/>
      <c r="V80" s="2029"/>
    </row>
    <row r="81" spans="1:26" ht="13.5" thickBot="1">
      <c r="A81" s="381" t="s">
        <v>1824</v>
      </c>
      <c r="B81" s="371" t="s">
        <v>431</v>
      </c>
      <c r="C81" s="372">
        <f ca="1">ROUND((C82+C83)/(1+'数据-取费表'!C42),0)</f>
        <v>87792</v>
      </c>
      <c r="D81" s="373"/>
      <c r="E81" s="374"/>
      <c r="F81" s="42"/>
      <c r="G81" s="42"/>
      <c r="H81" s="1003"/>
      <c r="I81" s="311"/>
      <c r="J81" s="2029"/>
      <c r="K81" s="3054">
        <f>K79+1</f>
        <v>7</v>
      </c>
      <c r="L81" s="3329" t="s">
        <v>2889</v>
      </c>
      <c r="M81" s="3330"/>
      <c r="N81" s="1306"/>
      <c r="O81" s="1307">
        <f ca="1">ROUND(O79*10000/'数据-汇总表'!E3,0)</f>
        <v>2490</v>
      </c>
      <c r="P81" s="1308"/>
      <c r="Q81" s="2029"/>
      <c r="R81" s="2029"/>
      <c r="S81" s="2029"/>
      <c r="T81" s="2029"/>
      <c r="U81" s="2029"/>
      <c r="V81" s="2029"/>
    </row>
    <row r="82" spans="1:26" ht="13.5" thickTop="1">
      <c r="A82" s="375" t="s">
        <v>1825</v>
      </c>
      <c r="B82" s="376" t="s">
        <v>432</v>
      </c>
      <c r="C82" s="377">
        <f ca="1">D63</f>
        <v>92182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04" t="s">
        <v>2876</v>
      </c>
      <c r="L83" s="3066" t="s">
        <v>2877</v>
      </c>
      <c r="M83" s="3056">
        <f ca="1">IF(N69&gt;10000,N69*0.5%,IF(AND(N69&gt;1000,N69&lt;=10000),N69*1%,IF(AND(N69&gt;100,N69&lt;=1000),N69*3%,IF(AND(N69&gt;10,N69&lt;=100),N69*5%,N69*8%))))</f>
        <v>460.91</v>
      </c>
      <c r="N83" s="53">
        <f ca="1">ROUND(M83,1)</f>
        <v>460.9</v>
      </c>
      <c r="O83" s="3059"/>
      <c r="P83" s="2029"/>
      <c r="Q83" s="2029"/>
      <c r="R83" s="2029"/>
      <c r="S83" s="2029"/>
      <c r="T83" s="2029"/>
      <c r="U83" s="2029"/>
      <c r="V83" s="2029"/>
    </row>
    <row r="84" spans="1:26" ht="12.75">
      <c r="A84" s="381" t="s">
        <v>1827</v>
      </c>
      <c r="B84" s="382" t="s">
        <v>434</v>
      </c>
      <c r="C84" s="383">
        <v>2000</v>
      </c>
      <c r="D84" s="384" t="s">
        <v>19</v>
      </c>
      <c r="E84" s="3100" t="s">
        <v>2944</v>
      </c>
      <c r="F84" s="42"/>
      <c r="G84" s="42"/>
      <c r="H84" s="1003"/>
      <c r="I84" s="311"/>
      <c r="J84" s="2029"/>
      <c r="K84" s="3304"/>
      <c r="L84" s="3066" t="s">
        <v>2878</v>
      </c>
      <c r="M84" s="3056">
        <f ca="1">IF(N69&gt;2000,N69*0.5%,IF(AND(N69&gt;1000,N69&lt;=2000),N69*0.6%,IF(AND(N69&gt;500,N69&lt;=1000),N69*0.7%,IF(AND(N69&gt;200,N69&lt;=500),N69*0.8%,IF(AND(N69&gt;100,N69&lt;=200),N69*0.9%,IF(AND(N69&gt;50,N69&lt;=100),N69*1%,IF(AND(N69&gt;20,N69&lt;=50),N69*1.5%,IF(AND(N69&gt;10,N69&lt;=20),N69*2%,IF(AND(N69&gt;1,N69&lt;=10),N69*2.5%)))))))))</f>
        <v>460.91</v>
      </c>
      <c r="N84" s="53">
        <f t="shared" ref="N84:N85" ca="1" si="2">ROUND(M84,1)</f>
        <v>460.9</v>
      </c>
      <c r="O84" s="2029" t="s">
        <v>2879</v>
      </c>
      <c r="P84" s="2029"/>
      <c r="Q84" s="2029"/>
      <c r="R84" s="2029"/>
      <c r="S84" s="2029"/>
      <c r="T84" s="2029"/>
      <c r="U84" s="2029"/>
      <c r="V84" s="2029"/>
    </row>
    <row r="85" spans="1:26" ht="12.75">
      <c r="A85" s="381" t="s">
        <v>1828</v>
      </c>
      <c r="B85" s="382" t="s">
        <v>435</v>
      </c>
      <c r="C85" s="385">
        <f ca="1">C81-C84</f>
        <v>85792</v>
      </c>
      <c r="D85" s="378" t="s">
        <v>19</v>
      </c>
      <c r="E85" s="379"/>
      <c r="F85" s="42"/>
      <c r="G85" s="42"/>
      <c r="H85" s="1003"/>
      <c r="I85" s="311"/>
      <c r="J85" s="2029"/>
      <c r="K85" s="3304"/>
      <c r="L85" s="3066" t="s">
        <v>2880</v>
      </c>
      <c r="M85" s="3056">
        <f ca="1">IF(N69&gt;1000,N69*0.1%,IF(AND(N69&gt;500,N69&lt;=1000),N69*0.5%,IF(AND(N69&gt;50,N69&lt;=500),N69*1%,IF(AND(N69&gt;1,N69&lt;=50),N69*1.5%))))</f>
        <v>92.182000000000002</v>
      </c>
      <c r="N85" s="53">
        <f t="shared" ca="1" si="2"/>
        <v>92.2</v>
      </c>
      <c r="O85" s="2029" t="s">
        <v>2879</v>
      </c>
      <c r="P85" s="2029"/>
      <c r="Q85" s="2029"/>
      <c r="R85" s="2029"/>
      <c r="S85" s="2029"/>
      <c r="T85" s="2029"/>
      <c r="U85" s="2029"/>
      <c r="V85" s="2029"/>
    </row>
    <row r="86" spans="1:26" ht="13.5" thickBot="1">
      <c r="A86" s="386" t="s">
        <v>1829</v>
      </c>
      <c r="B86" s="387" t="s">
        <v>436</v>
      </c>
      <c r="C86" s="388">
        <f ca="1">IF(C85&lt;=0,0,ROUND(C85*D86,0))</f>
        <v>4761</v>
      </c>
      <c r="D86" s="389">
        <f>'数据-取费表'!B41</f>
        <v>5.5500000000000008E-2</v>
      </c>
      <c r="E86" s="390"/>
      <c r="F86" s="42"/>
      <c r="G86" s="42"/>
      <c r="H86" s="1003"/>
      <c r="I86" s="311"/>
      <c r="J86" s="2029"/>
      <c r="K86" s="3304"/>
      <c r="L86" s="3066" t="s">
        <v>2881</v>
      </c>
      <c r="M86" s="3056">
        <f ca="1">N69*0.5%</f>
        <v>460.91</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4"/>
      <c r="L87" s="3066" t="s">
        <v>2883</v>
      </c>
      <c r="M87" s="3056">
        <f ca="1">IF(N69&gt;=10000,(8.25+(N69-10000)*0.01%),IF(AND(N69&gt;=8000,N69&lt;10000),(7.85+(N69-8000)*0.02%),IF(AND(N69&gt;=5000,N69&lt;8000),(6.65+(N69-5000)*0.04%),IF(AND(N69&gt;=2000,N69&lt;5000),(4.25+(PN69-2000)*0.08%),IF(AND(N69&gt;=1000,N69&lt;2000),(2.75+(N69-1000)*0.15%),IF(AND(N69&gt;=100,N69&lt;1000),(0.5+(N69-100)*0.25%),IF(AND(N69&gt;0,N69&lt;100),N69*0.5%)))))))</f>
        <v>16.4682</v>
      </c>
      <c r="N87" s="53">
        <f ca="1">ROUND(M87*0.9,1)</f>
        <v>14.8</v>
      </c>
      <c r="O87" s="3059"/>
      <c r="P87" s="311"/>
      <c r="Q87" s="2029"/>
      <c r="R87" s="2029"/>
      <c r="S87" s="2029"/>
      <c r="T87" s="2029"/>
      <c r="U87" s="2029"/>
      <c r="V87" s="2029"/>
      <c r="W87" s="292"/>
      <c r="X87" s="292"/>
      <c r="Y87" s="292"/>
      <c r="Z87" s="292"/>
    </row>
    <row r="88" spans="1:26" s="1314" customFormat="1" ht="15" thickBot="1">
      <c r="A88" s="3358" t="s">
        <v>437</v>
      </c>
      <c r="B88" s="3359"/>
      <c r="C88" s="3359"/>
      <c r="D88" s="3359"/>
      <c r="E88" s="3359"/>
      <c r="F88" s="3359"/>
      <c r="G88" s="3359"/>
      <c r="H88" s="3359"/>
      <c r="I88" s="1315"/>
      <c r="J88" s="2037"/>
      <c r="K88" s="3304"/>
      <c r="L88" s="3066" t="s">
        <v>2884</v>
      </c>
      <c r="M88" s="3056">
        <f ca="1">IF(N69&gt;10000,N69*0.5%,IF(AND(N69&gt;5000,N69&lt;=10000),N69*1%,IF(AND(N69&gt;1000,N69&lt;=5000),N69*2%,IF(AND(N69&gt;200,N69&lt;=1000),N69*3%,N69*5%))))</f>
        <v>460.91</v>
      </c>
      <c r="N88" s="53">
        <f ca="1">ROUND(M88,1)</f>
        <v>460.9</v>
      </c>
      <c r="O88" s="3059"/>
      <c r="P88" s="11"/>
      <c r="Q88" s="2034"/>
      <c r="R88" s="2034"/>
      <c r="S88" s="2034"/>
      <c r="T88" s="2034"/>
      <c r="U88" s="2034"/>
      <c r="V88" s="2034"/>
      <c r="W88" s="2038"/>
      <c r="X88" s="2038"/>
      <c r="Y88" s="2038"/>
      <c r="Z88" s="2038"/>
    </row>
    <row r="89" spans="1:26" s="1314" customFormat="1" ht="14.25">
      <c r="A89" s="3322" t="s">
        <v>428</v>
      </c>
      <c r="B89" s="3323"/>
      <c r="C89" s="994"/>
      <c r="D89" s="994" t="s">
        <v>429</v>
      </c>
      <c r="E89" s="391" t="s">
        <v>438</v>
      </c>
      <c r="F89" s="392"/>
      <c r="G89" s="392"/>
      <c r="H89" s="393"/>
      <c r="I89" s="1316"/>
      <c r="J89" s="2039"/>
      <c r="K89" s="3304"/>
      <c r="L89" s="3066" t="s">
        <v>27</v>
      </c>
      <c r="M89" s="3057"/>
      <c r="N89" s="53">
        <f ca="1">ROUND(SUM(N83:N88),0)</f>
        <v>1490</v>
      </c>
      <c r="O89" s="3067">
        <f ca="1">N89/N69</f>
        <v>1.6163676205766853E-2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87792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3044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55" t="s">
        <v>447</v>
      </c>
      <c r="F94" s="3356"/>
      <c r="G94" s="3356"/>
      <c r="H94" s="335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483</v>
      </c>
      <c r="D96" s="406">
        <f>'数据-取费表'!B43</f>
        <v>5.5000000000000014E-3</v>
      </c>
      <c r="E96" s="3345" t="s">
        <v>2431</v>
      </c>
      <c r="F96" s="3346"/>
      <c r="G96" s="3346"/>
      <c r="H96" s="334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84748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27.840998685939553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49783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8" t="s">
        <v>454</v>
      </c>
      <c r="B101" s="3359"/>
      <c r="C101" s="3359"/>
      <c r="D101" s="3359"/>
      <c r="E101" s="3359"/>
      <c r="F101" s="3359"/>
      <c r="G101" s="3359"/>
      <c r="H101" s="335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2" t="s">
        <v>428</v>
      </c>
      <c r="B102" s="332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87792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24571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21898</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f>'数据-取费表'!L27/10000</f>
        <v>21250</v>
      </c>
      <c r="D106" s="406"/>
      <c r="E106" s="417" t="s">
        <v>457</v>
      </c>
      <c r="F106" s="986"/>
      <c r="G106" s="418" t="s">
        <v>458</v>
      </c>
      <c r="H106" s="419" t="s">
        <v>3140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648</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v>0</v>
      </c>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0</v>
      </c>
      <c r="D109" s="406"/>
      <c r="E109" s="3348" t="s">
        <v>462</v>
      </c>
      <c r="F109" s="3346"/>
      <c r="G109" s="3346"/>
      <c r="H109" s="1942" t="s">
        <v>2282</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2190</v>
      </c>
      <c r="D110" s="406">
        <v>0.1</v>
      </c>
      <c r="E110" s="3348" t="s">
        <v>464</v>
      </c>
      <c r="F110" s="3346"/>
      <c r="G110" s="3346"/>
      <c r="H110" s="334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483</v>
      </c>
      <c r="D111" s="406">
        <f>'数据-取费表'!B43</f>
        <v>5.5000000000000014E-3</v>
      </c>
      <c r="E111" s="3345" t="s">
        <v>2431</v>
      </c>
      <c r="F111" s="3346"/>
      <c r="G111" s="3346"/>
      <c r="H111" s="334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48" t="s">
        <v>2455</v>
      </c>
      <c r="F112" s="3346"/>
      <c r="G112" s="3346"/>
      <c r="H112" s="334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63221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2.5729925521956778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29333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I35" sqref="I35"/>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98835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4313</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8375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558</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03" t="s">
        <v>522</v>
      </c>
      <c r="D6" s="3404"/>
      <c r="E6" s="3403" t="s">
        <v>523</v>
      </c>
      <c r="F6" s="3404"/>
      <c r="G6" s="3403" t="s">
        <v>524</v>
      </c>
      <c r="H6" s="3404"/>
      <c r="I6" s="3403" t="s">
        <v>525</v>
      </c>
      <c r="J6" s="3404"/>
      <c r="K6" s="514" t="s">
        <v>526</v>
      </c>
      <c r="L6" s="2134"/>
      <c r="M6" s="2133"/>
      <c r="N6" s="2133"/>
      <c r="O6" s="2135"/>
      <c r="P6" s="3405" t="s">
        <v>527</v>
      </c>
      <c r="Q6" s="3406"/>
      <c r="R6" s="3391" t="s">
        <v>523</v>
      </c>
      <c r="S6" s="3392"/>
      <c r="T6" s="3391" t="s">
        <v>524</v>
      </c>
      <c r="U6" s="3392"/>
      <c r="V6" s="3411" t="s">
        <v>525</v>
      </c>
      <c r="W6" s="3411"/>
      <c r="X6" s="1567"/>
      <c r="Y6" s="3391" t="s">
        <v>527</v>
      </c>
      <c r="Z6" s="3392"/>
      <c r="AA6" s="3386" t="s">
        <v>523</v>
      </c>
      <c r="AB6" s="3387" t="s">
        <v>524</v>
      </c>
      <c r="AC6" s="3386" t="s">
        <v>525</v>
      </c>
    </row>
    <row r="7" spans="1:30" ht="20.25">
      <c r="A7" s="515"/>
      <c r="B7" s="516"/>
      <c r="C7" s="3414" t="s">
        <v>2931</v>
      </c>
      <c r="D7" s="3415"/>
      <c r="E7" s="3414" t="str">
        <f>土地案例!A3</f>
        <v>静海区团泊新城东区</v>
      </c>
      <c r="F7" s="3415"/>
      <c r="G7" s="3414" t="str">
        <f>土地案例!A5</f>
        <v>静海区团泊新城西区</v>
      </c>
      <c r="H7" s="3415"/>
      <c r="I7" s="3414" t="str">
        <f>土地案例!A6</f>
        <v>静海区团泊新城西区</v>
      </c>
      <c r="J7" s="3415"/>
      <c r="K7" s="514"/>
      <c r="L7" s="2134"/>
      <c r="M7" s="2133"/>
      <c r="N7" s="2133"/>
      <c r="O7" s="2135"/>
      <c r="P7" s="3407"/>
      <c r="Q7" s="3408"/>
      <c r="R7" s="3393"/>
      <c r="S7" s="3394"/>
      <c r="T7" s="3393"/>
      <c r="U7" s="3394"/>
      <c r="V7" s="3411"/>
      <c r="W7" s="3411"/>
      <c r="X7" s="1567"/>
      <c r="Y7" s="3393"/>
      <c r="Z7" s="3394"/>
      <c r="AA7" s="3387"/>
      <c r="AB7" s="3387"/>
      <c r="AC7" s="3387"/>
    </row>
    <row r="8" spans="1:30" ht="21" thickBot="1">
      <c r="A8" s="515"/>
      <c r="B8" s="516"/>
      <c r="C8" s="3416" t="s">
        <v>2935</v>
      </c>
      <c r="D8" s="3417"/>
      <c r="E8" s="3416" t="s">
        <v>2935</v>
      </c>
      <c r="F8" s="3417"/>
      <c r="G8" s="3412" t="s">
        <v>2935</v>
      </c>
      <c r="H8" s="3413"/>
      <c r="I8" s="3412" t="s">
        <v>2935</v>
      </c>
      <c r="J8" s="3413"/>
      <c r="K8" s="514" t="s">
        <v>528</v>
      </c>
      <c r="L8" s="2134"/>
      <c r="M8" s="2133"/>
      <c r="N8" s="2133"/>
      <c r="O8" s="2135"/>
      <c r="P8" s="3409"/>
      <c r="Q8" s="3410"/>
      <c r="R8" s="3393"/>
      <c r="S8" s="3394"/>
      <c r="T8" s="3395"/>
      <c r="U8" s="3396"/>
      <c r="V8" s="3411"/>
      <c r="W8" s="3411"/>
      <c r="X8" s="1567"/>
      <c r="Y8" s="3395"/>
      <c r="Z8" s="3396"/>
      <c r="AA8" s="3388"/>
      <c r="AB8" s="3388"/>
      <c r="AC8" s="3388"/>
    </row>
    <row r="9" spans="1:30" s="1220" customFormat="1" ht="21" thickBot="1">
      <c r="A9" s="2912"/>
      <c r="B9" s="2919" t="s">
        <v>529</v>
      </c>
      <c r="C9" s="2911">
        <f>'数据-取费表'!B2</f>
        <v>43402</v>
      </c>
      <c r="D9" s="520">
        <v>100</v>
      </c>
      <c r="E9" s="521" t="str">
        <f>土地案例!H3</f>
        <v>2018-04-27</v>
      </c>
      <c r="F9" s="522">
        <f>SUMIF(72:72,YEAR(E9)&amp;"-"&amp;INT((MONTH(E9)+2)/3),73:73)</f>
        <v>98</v>
      </c>
      <c r="G9" s="523" t="str">
        <f>土地案例!H5</f>
        <v>2018-03-07</v>
      </c>
      <c r="H9" s="520">
        <f>SUMIF(72:72,YEAR(G9)&amp;"-"&amp;INT((MONTH(G9)+2)/3),73:73)</f>
        <v>97</v>
      </c>
      <c r="I9" s="523" t="str">
        <f>土地案例!H6</f>
        <v>2018-03-07</v>
      </c>
      <c r="J9" s="520">
        <f>SUMIF(72:72,YEAR(I9)&amp;"-"&amp;INT((MONTH(I9)+2)/3),73:73)</f>
        <v>97</v>
      </c>
      <c r="K9" s="524"/>
      <c r="L9" s="2136"/>
      <c r="M9" s="2133"/>
      <c r="N9" s="2133"/>
      <c r="O9" s="2137"/>
      <c r="P9" s="3389" t="s">
        <v>530</v>
      </c>
      <c r="Q9" s="3398"/>
      <c r="R9" s="1568" t="s">
        <v>8</v>
      </c>
      <c r="S9" s="1569">
        <f t="shared" ref="S9:S17" si="0">F9</f>
        <v>98</v>
      </c>
      <c r="T9" s="1568" t="s">
        <v>8</v>
      </c>
      <c r="U9" s="1569">
        <f t="shared" ref="U9:U17" si="1">H9</f>
        <v>97</v>
      </c>
      <c r="V9" s="1568" t="s">
        <v>8</v>
      </c>
      <c r="W9" s="1569">
        <f t="shared" ref="W9:W17" si="2">J9</f>
        <v>97</v>
      </c>
      <c r="X9" s="1570"/>
      <c r="Y9" s="3389" t="s">
        <v>530</v>
      </c>
      <c r="Z9" s="3390"/>
      <c r="AA9" s="1571">
        <f>D9/F9</f>
        <v>1.0204081632653061</v>
      </c>
      <c r="AB9" s="1571">
        <f>D9/H9</f>
        <v>1.0309278350515463</v>
      </c>
      <c r="AC9" s="1571">
        <f>D9/J9</f>
        <v>1.0309278350515463</v>
      </c>
    </row>
    <row r="10" spans="1:30" s="1220" customFormat="1" ht="21" thickBot="1">
      <c r="A10" s="2913"/>
      <c r="B10" s="2920" t="s">
        <v>531</v>
      </c>
      <c r="C10" s="856" t="s">
        <v>532</v>
      </c>
      <c r="D10" s="520">
        <v>100</v>
      </c>
      <c r="E10" s="3189" t="s">
        <v>3081</v>
      </c>
      <c r="F10" s="522">
        <f>SUMIF(75:75,E10,76:76)-SUMIF(75:75,C10,76:76)+100</f>
        <v>100</v>
      </c>
      <c r="G10" s="3189" t="s">
        <v>3081</v>
      </c>
      <c r="H10" s="520">
        <f>SUMIF(75:75,G10,76:76)-SUMIF(75:75,C10,76:76)+100</f>
        <v>100</v>
      </c>
      <c r="I10" s="3189" t="s">
        <v>3081</v>
      </c>
      <c r="J10" s="520">
        <f>SUMIF(75:75,I10,76:76)-SUMIF(75:75,C10,76:76)+100</f>
        <v>100</v>
      </c>
      <c r="K10" s="524"/>
      <c r="L10" s="2136"/>
      <c r="M10" s="2133"/>
      <c r="N10" s="2133"/>
      <c r="O10" s="2137"/>
      <c r="P10" s="3389" t="s">
        <v>533</v>
      </c>
      <c r="Q10" s="3390"/>
      <c r="R10" s="1568" t="s">
        <v>8</v>
      </c>
      <c r="S10" s="1569">
        <f t="shared" si="0"/>
        <v>100</v>
      </c>
      <c r="T10" s="1568" t="s">
        <v>8</v>
      </c>
      <c r="U10" s="1569">
        <f t="shared" si="1"/>
        <v>100</v>
      </c>
      <c r="V10" s="1568" t="s">
        <v>8</v>
      </c>
      <c r="W10" s="1569">
        <f t="shared" si="2"/>
        <v>100</v>
      </c>
      <c r="X10" s="1570"/>
      <c r="Y10" s="3389" t="s">
        <v>533</v>
      </c>
      <c r="Z10" s="3390"/>
      <c r="AA10" s="1571">
        <f t="shared" ref="AA10:AA47" si="3">D10/F10</f>
        <v>1</v>
      </c>
      <c r="AB10" s="1571">
        <f t="shared" ref="AB10:AB47" si="4">D10/H10</f>
        <v>1</v>
      </c>
      <c r="AC10" s="1571">
        <f t="shared" ref="AC10:AC47" si="5">D10/J10</f>
        <v>1</v>
      </c>
    </row>
    <row r="11" spans="1:30" s="1220" customFormat="1" ht="20.25">
      <c r="A11" s="2914"/>
      <c r="B11" s="2921" t="s">
        <v>2758</v>
      </c>
      <c r="C11" s="3190" t="s">
        <v>3083</v>
      </c>
      <c r="D11" s="254">
        <v>100</v>
      </c>
      <c r="E11" s="3191" t="s">
        <v>3082</v>
      </c>
      <c r="F11" s="254">
        <f>SUMIF(77:77,E11,78:78)-SUMIF(77:77,C11,78:78)+100</f>
        <v>100</v>
      </c>
      <c r="G11" s="3191" t="s">
        <v>3082</v>
      </c>
      <c r="H11" s="254">
        <f>SUMIF(77:77,G11,78:78)-SUMIF(77:77,C11,78:78)+100</f>
        <v>100</v>
      </c>
      <c r="I11" s="3191" t="s">
        <v>3082</v>
      </c>
      <c r="J11" s="254">
        <f>SUMIF(77:77,I11,78:78)-SUMIF(77:77,C11,78:78)+100</f>
        <v>100</v>
      </c>
      <c r="K11" s="524"/>
      <c r="L11" s="2136"/>
      <c r="M11" s="2133"/>
      <c r="N11" s="2133"/>
      <c r="O11" s="2138"/>
      <c r="P11" s="3397" t="s">
        <v>535</v>
      </c>
      <c r="Q11" s="1151" t="str">
        <f t="shared" ref="Q11:Q17" si="6">B11</f>
        <v>用途</v>
      </c>
      <c r="R11" s="1568" t="s">
        <v>8</v>
      </c>
      <c r="S11" s="1569">
        <f t="shared" si="0"/>
        <v>100</v>
      </c>
      <c r="T11" s="1568" t="s">
        <v>8</v>
      </c>
      <c r="U11" s="1569">
        <f t="shared" si="1"/>
        <v>100</v>
      </c>
      <c r="V11" s="1568" t="s">
        <v>8</v>
      </c>
      <c r="W11" s="1569">
        <f t="shared" si="2"/>
        <v>100</v>
      </c>
      <c r="X11" s="1570"/>
      <c r="Y11" s="3354" t="s">
        <v>536</v>
      </c>
      <c r="Z11" s="1150" t="str">
        <f t="shared" ref="Z11:Z17" si="7">Q11</f>
        <v>用途</v>
      </c>
      <c r="AA11" s="1571">
        <f t="shared" si="3"/>
        <v>1</v>
      </c>
      <c r="AB11" s="1571">
        <f t="shared" si="4"/>
        <v>1</v>
      </c>
      <c r="AC11" s="1571">
        <f t="shared" si="5"/>
        <v>1</v>
      </c>
    </row>
    <row r="12" spans="1:30" s="1338" customFormat="1" ht="27">
      <c r="A12" s="2915"/>
      <c r="B12" s="2920" t="s">
        <v>2759</v>
      </c>
      <c r="C12" s="910">
        <f>项目基本情况!D19</f>
        <v>64.87</v>
      </c>
      <c r="D12" s="255">
        <v>100</v>
      </c>
      <c r="E12" s="529" t="s">
        <v>3084</v>
      </c>
      <c r="F12" s="255">
        <f>ROUND(100/'数据-取费表'!G16,0)</f>
        <v>101</v>
      </c>
      <c r="G12" s="530" t="s">
        <v>3084</v>
      </c>
      <c r="H12" s="255">
        <f>ROUND(100/'数据-取费表'!G16,0)</f>
        <v>101</v>
      </c>
      <c r="I12" s="530" t="s">
        <v>3084</v>
      </c>
      <c r="J12" s="255">
        <f>ROUND(100/'数据-取费表'!G16,0)</f>
        <v>101</v>
      </c>
      <c r="K12" s="531"/>
      <c r="L12" s="2139"/>
      <c r="M12" s="2133"/>
      <c r="N12" s="2133"/>
      <c r="O12" s="2140"/>
      <c r="P12" s="3397"/>
      <c r="Q12" s="1151" t="str">
        <f t="shared" si="6"/>
        <v>土地使用年限（年）</v>
      </c>
      <c r="R12" s="1568" t="s">
        <v>8</v>
      </c>
      <c r="S12" s="1569">
        <f t="shared" si="0"/>
        <v>101</v>
      </c>
      <c r="T12" s="1568" t="s">
        <v>8</v>
      </c>
      <c r="U12" s="1569">
        <f t="shared" si="1"/>
        <v>101</v>
      </c>
      <c r="V12" s="1568" t="s">
        <v>8</v>
      </c>
      <c r="W12" s="1569">
        <f t="shared" si="2"/>
        <v>101</v>
      </c>
      <c r="X12" s="1570"/>
      <c r="Y12" s="3354"/>
      <c r="Z12" s="1150" t="str">
        <f t="shared" si="7"/>
        <v>土地使用年限（年）</v>
      </c>
      <c r="AA12" s="1571">
        <f t="shared" si="3"/>
        <v>0.99009900990099009</v>
      </c>
      <c r="AB12" s="1571">
        <f t="shared" si="4"/>
        <v>0.99009900990099009</v>
      </c>
      <c r="AC12" s="1571">
        <f t="shared" si="5"/>
        <v>0.99009900990099009</v>
      </c>
    </row>
    <row r="13" spans="1:30" ht="20.25">
      <c r="A13" s="2916"/>
      <c r="B13" s="2920" t="s">
        <v>2760</v>
      </c>
      <c r="C13" s="534">
        <f>'数据-汇总表'!I6</f>
        <v>1.49</v>
      </c>
      <c r="D13" s="255">
        <v>100</v>
      </c>
      <c r="E13" s="533">
        <v>1.1000000000000001</v>
      </c>
      <c r="F13" s="255">
        <f>LOOKUP(E13,82:82,83:83)-LOOKUP(C13,82:82,83:83)+100</f>
        <v>100</v>
      </c>
      <c r="G13" s="534">
        <v>1.2</v>
      </c>
      <c r="H13" s="255">
        <f>LOOKUP(G13,82:82,83:83)-LOOKUP(C13,82:82,83:83)+100</f>
        <v>100</v>
      </c>
      <c r="I13" s="533">
        <v>1.2</v>
      </c>
      <c r="J13" s="255">
        <f>LOOKUP(I13,82:82,83:83)-LOOKUP(C13,82:82,83:83)+100</f>
        <v>100</v>
      </c>
      <c r="K13" s="535"/>
      <c r="L13" s="2141"/>
      <c r="M13" s="2133"/>
      <c r="N13" s="2133"/>
      <c r="O13" s="2142"/>
      <c r="P13" s="3397"/>
      <c r="Q13" s="1151" t="str">
        <f t="shared" si="6"/>
        <v>容积率</v>
      </c>
      <c r="R13" s="1568" t="s">
        <v>8</v>
      </c>
      <c r="S13" s="1569">
        <f t="shared" si="0"/>
        <v>100</v>
      </c>
      <c r="T13" s="1568" t="s">
        <v>8</v>
      </c>
      <c r="U13" s="1569">
        <f t="shared" si="1"/>
        <v>100</v>
      </c>
      <c r="V13" s="1568" t="s">
        <v>8</v>
      </c>
      <c r="W13" s="1569">
        <f t="shared" si="2"/>
        <v>100</v>
      </c>
      <c r="X13" s="1570"/>
      <c r="Y13" s="3354"/>
      <c r="Z13" s="1150" t="str">
        <f t="shared" si="7"/>
        <v>容积率</v>
      </c>
      <c r="AA13" s="1571">
        <f t="shared" si="3"/>
        <v>1</v>
      </c>
      <c r="AB13" s="1571">
        <f t="shared" si="4"/>
        <v>1</v>
      </c>
      <c r="AC13" s="1571">
        <f t="shared" si="5"/>
        <v>1</v>
      </c>
    </row>
    <row r="14" spans="1:30" s="1220" customFormat="1" ht="20.25">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97"/>
      <c r="Q14" s="1151" t="str">
        <f t="shared" si="6"/>
        <v>配建</v>
      </c>
      <c r="R14" s="1568" t="s">
        <v>8</v>
      </c>
      <c r="S14" s="1569">
        <f t="shared" si="0"/>
        <v>100</v>
      </c>
      <c r="T14" s="1568" t="s">
        <v>8</v>
      </c>
      <c r="U14" s="1569">
        <f t="shared" si="1"/>
        <v>100</v>
      </c>
      <c r="V14" s="1568" t="s">
        <v>8</v>
      </c>
      <c r="W14" s="1569">
        <f t="shared" si="2"/>
        <v>100</v>
      </c>
      <c r="X14" s="1570"/>
      <c r="Y14" s="3354"/>
      <c r="Z14" s="1150" t="str">
        <f t="shared" si="7"/>
        <v>配建</v>
      </c>
      <c r="AA14" s="1571">
        <f>D14/F14</f>
        <v>1</v>
      </c>
      <c r="AB14" s="1571">
        <f>D14/H14</f>
        <v>1</v>
      </c>
      <c r="AC14" s="1571">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7"/>
      <c r="Q15" s="1151">
        <f t="shared" si="6"/>
        <v>111</v>
      </c>
      <c r="R15" s="1568" t="s">
        <v>8</v>
      </c>
      <c r="S15" s="1569">
        <f t="shared" si="0"/>
        <v>100</v>
      </c>
      <c r="T15" s="1568" t="s">
        <v>8</v>
      </c>
      <c r="U15" s="1569">
        <f t="shared" si="1"/>
        <v>100</v>
      </c>
      <c r="V15" s="1568" t="s">
        <v>8</v>
      </c>
      <c r="W15" s="1569">
        <f t="shared" si="2"/>
        <v>100</v>
      </c>
      <c r="X15" s="1570"/>
      <c r="Y15" s="3354"/>
      <c r="Z15" s="1150">
        <f t="shared" si="7"/>
        <v>111</v>
      </c>
      <c r="AA15" s="1571">
        <f>D15/F15</f>
        <v>1</v>
      </c>
      <c r="AB15" s="1571">
        <f>D15/H15</f>
        <v>1</v>
      </c>
      <c r="AC15" s="1571">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7"/>
      <c r="Q16" s="1151">
        <f t="shared" si="6"/>
        <v>111</v>
      </c>
      <c r="R16" s="1568" t="s">
        <v>8</v>
      </c>
      <c r="S16" s="1569">
        <f t="shared" si="0"/>
        <v>100</v>
      </c>
      <c r="T16" s="1568" t="s">
        <v>8</v>
      </c>
      <c r="U16" s="1569">
        <f t="shared" si="1"/>
        <v>100</v>
      </c>
      <c r="V16" s="1568" t="s">
        <v>8</v>
      </c>
      <c r="W16" s="1569">
        <f t="shared" si="2"/>
        <v>100</v>
      </c>
      <c r="X16" s="1570"/>
      <c r="Y16" s="3354"/>
      <c r="Z16" s="1150">
        <f t="shared" si="7"/>
        <v>111</v>
      </c>
      <c r="AA16" s="1571">
        <f>D16/F16</f>
        <v>1</v>
      </c>
      <c r="AB16" s="1571">
        <f>D16/H16</f>
        <v>1</v>
      </c>
      <c r="AC16" s="1571">
        <f>D16/J16</f>
        <v>1</v>
      </c>
    </row>
    <row r="17" spans="1:29" ht="128.25">
      <c r="A17" s="2910" t="s">
        <v>2756</v>
      </c>
      <c r="B17" s="578" t="s">
        <v>295</v>
      </c>
      <c r="C17" s="548" t="str">
        <f>估价对象房地状况!C15</f>
        <v>估价对象周边有中惠·团泊湖光耀城、泊湖林奇郡等社区，居住小区规模和社区发展完善程度较好，综合评价居住社区成熟度较好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9" t="s">
        <v>540</v>
      </c>
      <c r="Q17" s="1572" t="str">
        <f t="shared" si="6"/>
        <v>居住社区成熟度</v>
      </c>
      <c r="R17" s="1573" t="s">
        <v>8</v>
      </c>
      <c r="S17" s="1574">
        <f t="shared" si="0"/>
        <v>100</v>
      </c>
      <c r="T17" s="1573" t="s">
        <v>8</v>
      </c>
      <c r="U17" s="1574">
        <f t="shared" si="1"/>
        <v>100</v>
      </c>
      <c r="V17" s="1573" t="s">
        <v>8</v>
      </c>
      <c r="W17" s="1574">
        <f t="shared" si="2"/>
        <v>100</v>
      </c>
      <c r="X17" s="1567"/>
      <c r="Y17" s="3399"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00"/>
      <c r="Q18" s="1572"/>
      <c r="R18" s="1573"/>
      <c r="S18" s="1574"/>
      <c r="T18" s="1573"/>
      <c r="U18" s="1574"/>
      <c r="V18" s="1573"/>
      <c r="W18" s="1574"/>
      <c r="X18" s="1567"/>
      <c r="Y18" s="3400"/>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00"/>
      <c r="Q19" s="1572" t="str">
        <f>B19</f>
        <v>商业繁华度</v>
      </c>
      <c r="R19" s="1573" t="s">
        <v>8</v>
      </c>
      <c r="S19" s="1574">
        <f>F19</f>
        <v>100</v>
      </c>
      <c r="T19" s="1573" t="s">
        <v>8</v>
      </c>
      <c r="U19" s="1574">
        <f>H19</f>
        <v>100</v>
      </c>
      <c r="V19" s="1573" t="s">
        <v>8</v>
      </c>
      <c r="W19" s="1574">
        <f>J19</f>
        <v>100</v>
      </c>
      <c r="X19" s="1567"/>
      <c r="Y19" s="3400"/>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00"/>
      <c r="Q20" s="1572"/>
      <c r="R20" s="1573"/>
      <c r="S20" s="1574"/>
      <c r="T20" s="1573"/>
      <c r="U20" s="1574"/>
      <c r="V20" s="1573"/>
      <c r="W20" s="1574"/>
      <c r="X20" s="1567"/>
      <c r="Y20" s="3400"/>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0"/>
      <c r="Q21" s="1572" t="str">
        <f>B21</f>
        <v>办公集聚程度</v>
      </c>
      <c r="R21" s="1573" t="s">
        <v>8</v>
      </c>
      <c r="S21" s="1574">
        <f>F21</f>
        <v>100</v>
      </c>
      <c r="T21" s="1573" t="s">
        <v>8</v>
      </c>
      <c r="U21" s="1574">
        <f>H21</f>
        <v>100</v>
      </c>
      <c r="V21" s="1573" t="s">
        <v>8</v>
      </c>
      <c r="W21" s="1574">
        <f>J21</f>
        <v>100</v>
      </c>
      <c r="X21" s="1567"/>
      <c r="Y21" s="3400"/>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00"/>
      <c r="Q22" s="1572"/>
      <c r="R22" s="1573"/>
      <c r="S22" s="1574"/>
      <c r="T22" s="1573"/>
      <c r="U22" s="1574"/>
      <c r="V22" s="1573"/>
      <c r="W22" s="1574"/>
      <c r="X22" s="1567"/>
      <c r="Y22" s="3400"/>
      <c r="Z22" s="1575"/>
      <c r="AA22" s="1576">
        <v>1</v>
      </c>
      <c r="AB22" s="1576">
        <v>1</v>
      </c>
      <c r="AC22" s="1576">
        <v>1</v>
      </c>
    </row>
    <row r="23" spans="1:29" ht="128.25">
      <c r="A23" s="532"/>
      <c r="B23" s="560" t="s">
        <v>543</v>
      </c>
      <c r="C23" s="573" t="str">
        <f>估价对象房地状况!C18</f>
        <v>估价对象临中央大道，有山深线等道路、公共交通通达情况较好，有156路、710路等公交线路、停车便捷程度较好，综合评价交通便捷度较好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00"/>
      <c r="Q23" s="1572" t="str">
        <f>B23</f>
        <v>交通便捷度</v>
      </c>
      <c r="R23" s="1573" t="s">
        <v>8</v>
      </c>
      <c r="S23" s="1574">
        <f>F23</f>
        <v>100</v>
      </c>
      <c r="T23" s="1573" t="s">
        <v>8</v>
      </c>
      <c r="U23" s="1574">
        <f>H23</f>
        <v>100</v>
      </c>
      <c r="V23" s="1573" t="s">
        <v>8</v>
      </c>
      <c r="W23" s="1574">
        <f>J23</f>
        <v>100</v>
      </c>
      <c r="X23" s="1567"/>
      <c r="Y23" s="3400"/>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00"/>
      <c r="Q24" s="1572"/>
      <c r="R24" s="1573"/>
      <c r="S24" s="1574"/>
      <c r="T24" s="1573"/>
      <c r="U24" s="1574"/>
      <c r="V24" s="1573"/>
      <c r="W24" s="1574"/>
      <c r="X24" s="1567"/>
      <c r="Y24" s="3400"/>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00"/>
      <c r="Q25" s="1572" t="str">
        <f t="shared" ref="Q25:Q39" si="8">B25</f>
        <v>区域土地利用方向</v>
      </c>
      <c r="R25" s="1573" t="s">
        <v>8</v>
      </c>
      <c r="S25" s="1574">
        <f>F25</f>
        <v>100</v>
      </c>
      <c r="T25" s="1573" t="s">
        <v>8</v>
      </c>
      <c r="U25" s="1574">
        <f>H25</f>
        <v>100</v>
      </c>
      <c r="V25" s="1573" t="s">
        <v>8</v>
      </c>
      <c r="W25" s="1574">
        <f>J25</f>
        <v>100</v>
      </c>
      <c r="X25" s="1567"/>
      <c r="Y25" s="3400"/>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00"/>
      <c r="Q26" s="1572"/>
      <c r="R26" s="1573"/>
      <c r="S26" s="1574"/>
      <c r="T26" s="1573"/>
      <c r="U26" s="1574"/>
      <c r="V26" s="1573"/>
      <c r="W26" s="1574"/>
      <c r="X26" s="1567"/>
      <c r="Y26" s="3400"/>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00"/>
      <c r="Q27" s="1572" t="str">
        <f t="shared" si="8"/>
        <v>自然及人文环境状况</v>
      </c>
      <c r="R27" s="1573" t="s">
        <v>8</v>
      </c>
      <c r="S27" s="1574">
        <f>F27</f>
        <v>100</v>
      </c>
      <c r="T27" s="1573" t="s">
        <v>8</v>
      </c>
      <c r="U27" s="1574">
        <f>H27</f>
        <v>100</v>
      </c>
      <c r="V27" s="1573" t="s">
        <v>8</v>
      </c>
      <c r="W27" s="1574">
        <f>J27</f>
        <v>100</v>
      </c>
      <c r="X27" s="1567"/>
      <c r="Y27" s="3400"/>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00"/>
      <c r="Q28" s="1572"/>
      <c r="R28" s="1573"/>
      <c r="S28" s="1574"/>
      <c r="T28" s="1573"/>
      <c r="U28" s="1574"/>
      <c r="V28" s="1573"/>
      <c r="W28" s="1574"/>
      <c r="X28" s="1567"/>
      <c r="Y28" s="3400"/>
      <c r="Z28" s="1575"/>
      <c r="AA28" s="1576">
        <v>1</v>
      </c>
      <c r="AB28" s="1576">
        <v>1</v>
      </c>
      <c r="AC28" s="1576">
        <v>1</v>
      </c>
    </row>
    <row r="29" spans="1:29" s="1220" customFormat="1" ht="42.75">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00"/>
      <c r="Q29" s="1151" t="str">
        <f t="shared" si="8"/>
        <v>公共配套设施</v>
      </c>
      <c r="R29" s="1568" t="s">
        <v>8</v>
      </c>
      <c r="S29" s="1569">
        <f>F29</f>
        <v>100</v>
      </c>
      <c r="T29" s="1568" t="s">
        <v>8</v>
      </c>
      <c r="U29" s="1569">
        <f>H29</f>
        <v>100</v>
      </c>
      <c r="V29" s="1568" t="s">
        <v>8</v>
      </c>
      <c r="W29" s="1569">
        <f>J29</f>
        <v>100</v>
      </c>
      <c r="X29" s="1570"/>
      <c r="Y29" s="3400"/>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00"/>
      <c r="Q30" s="1151"/>
      <c r="R30" s="1568"/>
      <c r="S30" s="1569"/>
      <c r="T30" s="1568"/>
      <c r="U30" s="1569"/>
      <c r="V30" s="1568"/>
      <c r="W30" s="1569"/>
      <c r="X30" s="1570"/>
      <c r="Y30" s="3400"/>
      <c r="Z30" s="1150"/>
      <c r="AA30" s="1576">
        <v>1</v>
      </c>
      <c r="AB30" s="1576">
        <v>1</v>
      </c>
      <c r="AC30" s="1576">
        <v>1</v>
      </c>
    </row>
    <row r="31" spans="1:29" s="1220" customFormat="1" ht="28.5">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00"/>
      <c r="Q31" s="2579" t="str">
        <f t="shared" ref="Q31" si="9">B31</f>
        <v>基础设施水平</v>
      </c>
      <c r="R31" s="1568" t="s">
        <v>8</v>
      </c>
      <c r="S31" s="1569">
        <f>F31</f>
        <v>100</v>
      </c>
      <c r="T31" s="1568" t="s">
        <v>8</v>
      </c>
      <c r="U31" s="1569">
        <f>H31</f>
        <v>100</v>
      </c>
      <c r="V31" s="1568" t="s">
        <v>8</v>
      </c>
      <c r="W31" s="1569">
        <f>J31</f>
        <v>100</v>
      </c>
      <c r="X31" s="1570"/>
      <c r="Y31" s="3400"/>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00"/>
      <c r="Q32" s="2579"/>
      <c r="R32" s="1568"/>
      <c r="S32" s="1569"/>
      <c r="T32" s="1568"/>
      <c r="U32" s="1569"/>
      <c r="V32" s="1568"/>
      <c r="W32" s="1569"/>
      <c r="X32" s="1570"/>
      <c r="Y32" s="3400"/>
      <c r="Z32" s="2576"/>
      <c r="AA32" s="1576">
        <v>1</v>
      </c>
      <c r="AB32" s="1576">
        <v>1</v>
      </c>
      <c r="AC32" s="1576">
        <v>1</v>
      </c>
    </row>
    <row r="33" spans="1:29" ht="21" thickBot="1">
      <c r="A33" s="532"/>
      <c r="B33" s="3206" t="s">
        <v>547</v>
      </c>
      <c r="C33" s="580" t="s">
        <v>3153</v>
      </c>
      <c r="D33" s="575">
        <v>100</v>
      </c>
      <c r="E33" s="583" t="s">
        <v>3153</v>
      </c>
      <c r="F33" s="540">
        <f>SUMIF(106:106,E33,107:107)-SUMIF(106:106,C33,107:107)+100</f>
        <v>100</v>
      </c>
      <c r="G33" s="580" t="s">
        <v>3153</v>
      </c>
      <c r="H33" s="540">
        <f>SUMIF(106:106,G33,107:107)-SUMIF(106:106,C33,107:107)+100</f>
        <v>100</v>
      </c>
      <c r="I33" s="580" t="s">
        <v>3153</v>
      </c>
      <c r="J33" s="540">
        <f>SUMIF(106:106,I33,107:107)-SUMIF(106:106,C33,107:107)+100</f>
        <v>100</v>
      </c>
      <c r="K33" s="535">
        <v>2</v>
      </c>
      <c r="L33" s="2143"/>
      <c r="M33" s="2133"/>
      <c r="N33" s="2133"/>
      <c r="O33" s="2142"/>
      <c r="P33" s="340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0"/>
      <c r="Z33" s="1575" t="str">
        <f t="shared" ref="Z33:Z47" si="13">Q33</f>
        <v>临街状况</v>
      </c>
      <c r="AA33" s="1576">
        <f t="shared" si="3"/>
        <v>1</v>
      </c>
      <c r="AB33" s="1576">
        <f t="shared" si="4"/>
        <v>1</v>
      </c>
      <c r="AC33" s="1576">
        <f t="shared" si="5"/>
        <v>1</v>
      </c>
    </row>
    <row r="34" spans="1:29" ht="27.75" thickTop="1">
      <c r="A34" s="532"/>
      <c r="B34" s="3207" t="s">
        <v>548</v>
      </c>
      <c r="C34" s="3516" t="s">
        <v>3164</v>
      </c>
      <c r="D34" s="563">
        <v>100</v>
      </c>
      <c r="E34" s="3516" t="s">
        <v>3164</v>
      </c>
      <c r="F34" s="559">
        <f>SUMIF(108:108,E35,109:109)-SUMIF(108:108,C35,109:109)+100</f>
        <v>100</v>
      </c>
      <c r="G34" s="3516" t="s">
        <v>3164</v>
      </c>
      <c r="H34" s="559">
        <f>SUMIF(108:108,G35,109:109)-SUMIF(108:108,C35,109:109)+100</f>
        <v>100</v>
      </c>
      <c r="I34" s="3516" t="s">
        <v>3164</v>
      </c>
      <c r="J34" s="559">
        <f>SUMIF(108:108,I35,109:109)-SUMIF(108:108,C35,109:109)+100</f>
        <v>100</v>
      </c>
      <c r="K34" s="535"/>
      <c r="L34" s="2143"/>
      <c r="M34" s="2133"/>
      <c r="N34" s="2133"/>
      <c r="O34" s="2142"/>
      <c r="P34" s="3400"/>
      <c r="Q34" s="1572" t="str">
        <f t="shared" si="8"/>
        <v>毗邻道路的类型与等级</v>
      </c>
      <c r="R34" s="1573" t="s">
        <v>8</v>
      </c>
      <c r="S34" s="1574">
        <f t="shared" si="10"/>
        <v>100</v>
      </c>
      <c r="T34" s="1573" t="s">
        <v>8</v>
      </c>
      <c r="U34" s="1574">
        <f t="shared" si="11"/>
        <v>100</v>
      </c>
      <c r="V34" s="1573" t="s">
        <v>8</v>
      </c>
      <c r="W34" s="1574">
        <f t="shared" si="12"/>
        <v>100</v>
      </c>
      <c r="X34" s="1567"/>
      <c r="Y34" s="3400"/>
      <c r="Z34" s="1575" t="str">
        <f t="shared" si="13"/>
        <v>毗邻道路的类型与等级</v>
      </c>
      <c r="AA34" s="1576">
        <f t="shared" si="3"/>
        <v>1</v>
      </c>
      <c r="AB34" s="1576">
        <f t="shared" si="4"/>
        <v>1</v>
      </c>
      <c r="AC34" s="1576">
        <f t="shared" si="5"/>
        <v>1</v>
      </c>
    </row>
    <row r="35" spans="1:29" ht="20.25">
      <c r="A35" s="532"/>
      <c r="B35" s="566"/>
      <c r="C35" s="554" t="s">
        <v>3158</v>
      </c>
      <c r="D35" s="557"/>
      <c r="E35" s="576" t="s">
        <v>3158</v>
      </c>
      <c r="F35" s="555"/>
      <c r="G35" s="554" t="s">
        <v>3158</v>
      </c>
      <c r="H35" s="555"/>
      <c r="I35" s="576" t="s">
        <v>3158</v>
      </c>
      <c r="J35" s="555"/>
      <c r="K35" s="581"/>
      <c r="L35" s="2143"/>
      <c r="M35" s="2133"/>
      <c r="N35" s="2133"/>
      <c r="O35" s="2142"/>
      <c r="P35" s="3400"/>
      <c r="Q35" s="1572"/>
      <c r="R35" s="1573"/>
      <c r="S35" s="1574"/>
      <c r="T35" s="1573"/>
      <c r="U35" s="1574"/>
      <c r="V35" s="1573"/>
      <c r="W35" s="1574"/>
      <c r="X35" s="1567"/>
      <c r="Y35" s="3400"/>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0"/>
      <c r="Q36" s="1572" t="str">
        <f t="shared" si="8"/>
        <v>土地级别</v>
      </c>
      <c r="R36" s="1573" t="s">
        <v>8</v>
      </c>
      <c r="S36" s="1574">
        <f t="shared" si="10"/>
        <v>100</v>
      </c>
      <c r="T36" s="1573" t="s">
        <v>8</v>
      </c>
      <c r="U36" s="1574">
        <f t="shared" si="11"/>
        <v>100</v>
      </c>
      <c r="V36" s="1573" t="s">
        <v>8</v>
      </c>
      <c r="W36" s="1574">
        <f t="shared" si="12"/>
        <v>100</v>
      </c>
      <c r="X36" s="1567"/>
      <c r="Y36" s="3400"/>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0"/>
      <c r="Q37" s="1572">
        <f t="shared" si="8"/>
        <v>111</v>
      </c>
      <c r="R37" s="1573" t="s">
        <v>8</v>
      </c>
      <c r="S37" s="1574">
        <f t="shared" si="10"/>
        <v>100</v>
      </c>
      <c r="T37" s="1573" t="s">
        <v>8</v>
      </c>
      <c r="U37" s="1574">
        <f t="shared" si="11"/>
        <v>100</v>
      </c>
      <c r="V37" s="1573" t="s">
        <v>8</v>
      </c>
      <c r="W37" s="1574">
        <f t="shared" si="12"/>
        <v>100</v>
      </c>
      <c r="X37" s="1567"/>
      <c r="Y37" s="3400"/>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1" t="s">
        <v>550</v>
      </c>
      <c r="Q38" s="1572">
        <f t="shared" si="8"/>
        <v>111</v>
      </c>
      <c r="R38" s="1573" t="s">
        <v>8</v>
      </c>
      <c r="S38" s="1574">
        <f t="shared" si="10"/>
        <v>100</v>
      </c>
      <c r="T38" s="1573" t="s">
        <v>8</v>
      </c>
      <c r="U38" s="1574">
        <f t="shared" si="11"/>
        <v>100</v>
      </c>
      <c r="V38" s="1573" t="s">
        <v>8</v>
      </c>
      <c r="W38" s="1574">
        <f t="shared" si="12"/>
        <v>100</v>
      </c>
      <c r="X38" s="1567"/>
      <c r="Y38" s="3402"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2"/>
      <c r="Q39" s="1572">
        <f t="shared" si="8"/>
        <v>111</v>
      </c>
      <c r="R39" s="1577" t="s">
        <v>8</v>
      </c>
      <c r="S39" s="1578">
        <f t="shared" si="10"/>
        <v>100</v>
      </c>
      <c r="T39" s="1577" t="s">
        <v>8</v>
      </c>
      <c r="U39" s="1578">
        <f t="shared" si="11"/>
        <v>100</v>
      </c>
      <c r="V39" s="1577" t="s">
        <v>8</v>
      </c>
      <c r="W39" s="1578">
        <f t="shared" si="12"/>
        <v>100</v>
      </c>
      <c r="X39" s="1579"/>
      <c r="Y39" s="3402"/>
      <c r="Z39" s="1580">
        <f t="shared" si="13"/>
        <v>111</v>
      </c>
      <c r="AA39" s="1576">
        <f t="shared" si="3"/>
        <v>1</v>
      </c>
      <c r="AB39" s="1576">
        <f t="shared" si="4"/>
        <v>1</v>
      </c>
      <c r="AC39" s="1576">
        <f t="shared" si="5"/>
        <v>1</v>
      </c>
    </row>
    <row r="40" spans="1:29" ht="20.25">
      <c r="A40" s="2908" t="s">
        <v>2757</v>
      </c>
      <c r="B40" s="595" t="s">
        <v>552</v>
      </c>
      <c r="C40" s="596">
        <f>'数据-基础表'!A3</f>
        <v>118010.9</v>
      </c>
      <c r="D40" s="597">
        <v>100</v>
      </c>
      <c r="E40" s="596">
        <f>土地案例!D3</f>
        <v>53527.5</v>
      </c>
      <c r="F40" s="597">
        <f>LOOKUP(E40,119:119,120:120)-LOOKUP(C40,119:119,120:120)+100</f>
        <v>97</v>
      </c>
      <c r="G40" s="596">
        <f>土地案例!D5</f>
        <v>35826.9</v>
      </c>
      <c r="H40" s="597">
        <f>LOOKUP(G40,119:119,120:120)-LOOKUP(C40,119:119,120:120)+100</f>
        <v>96</v>
      </c>
      <c r="I40" s="598">
        <f>土地案例!D6</f>
        <v>36266.400000000001</v>
      </c>
      <c r="J40" s="597">
        <f>LOOKUP(I40,119:119,120:120)-LOOKUP(C40,119:119,120:120)+100</f>
        <v>96</v>
      </c>
      <c r="K40" s="581"/>
      <c r="L40" s="2143"/>
      <c r="M40" s="2133"/>
      <c r="N40" s="2133"/>
      <c r="O40" s="2142"/>
      <c r="P40" s="3402"/>
      <c r="Q40" s="1572" t="str">
        <f>B40</f>
        <v>宗地面积</v>
      </c>
      <c r="R40" s="1573" t="s">
        <v>8</v>
      </c>
      <c r="S40" s="1574">
        <f t="shared" si="10"/>
        <v>97</v>
      </c>
      <c r="T40" s="1573" t="s">
        <v>8</v>
      </c>
      <c r="U40" s="1574">
        <f t="shared" si="11"/>
        <v>96</v>
      </c>
      <c r="V40" s="1573" t="s">
        <v>8</v>
      </c>
      <c r="W40" s="1574">
        <f t="shared" si="12"/>
        <v>96</v>
      </c>
      <c r="X40" s="1567"/>
      <c r="Y40" s="3402"/>
      <c r="Z40" s="1575" t="str">
        <f t="shared" si="13"/>
        <v>宗地面积</v>
      </c>
      <c r="AA40" s="1576">
        <f t="shared" si="3"/>
        <v>1.0309278350515463</v>
      </c>
      <c r="AB40" s="1576">
        <f t="shared" si="4"/>
        <v>1.0416666666666667</v>
      </c>
      <c r="AC40" s="1576">
        <f t="shared" si="5"/>
        <v>1.0416666666666667</v>
      </c>
    </row>
    <row r="41" spans="1:29" ht="20.25">
      <c r="A41" s="594"/>
      <c r="B41" s="527" t="s">
        <v>553</v>
      </c>
      <c r="C41" s="3208" t="s">
        <v>3085</v>
      </c>
      <c r="D41" s="540">
        <v>100</v>
      </c>
      <c r="E41" s="3192" t="s">
        <v>3085</v>
      </c>
      <c r="F41" s="540">
        <f>SUMIF(121:121,E41,122:122)-SUMIF(121:121,C41,122:122)+100</f>
        <v>100</v>
      </c>
      <c r="G41" s="3192" t="s">
        <v>3085</v>
      </c>
      <c r="H41" s="540">
        <f>SUMIF(121:121,G41,122:122)-SUMIF(121:121,C41,122:122)+100</f>
        <v>100</v>
      </c>
      <c r="I41" s="3192" t="s">
        <v>3085</v>
      </c>
      <c r="J41" s="540">
        <f>SUMIF(121:121,I41,122:122)-SUMIF(121:121,C41,122:122)+100</f>
        <v>100</v>
      </c>
      <c r="K41" s="584"/>
      <c r="L41" s="2143"/>
      <c r="M41" s="2133"/>
      <c r="N41" s="2133"/>
      <c r="O41" s="2142"/>
      <c r="P41" s="3402"/>
      <c r="Q41" s="1572" t="str">
        <f t="shared" ref="Q41:Q47" si="14">B41</f>
        <v>宗地形状</v>
      </c>
      <c r="R41" s="1573" t="s">
        <v>8</v>
      </c>
      <c r="S41" s="1574">
        <f t="shared" si="10"/>
        <v>100</v>
      </c>
      <c r="T41" s="1573" t="s">
        <v>8</v>
      </c>
      <c r="U41" s="1574">
        <f t="shared" si="11"/>
        <v>100</v>
      </c>
      <c r="V41" s="1573" t="s">
        <v>8</v>
      </c>
      <c r="W41" s="1574">
        <f t="shared" si="12"/>
        <v>100</v>
      </c>
      <c r="X41" s="1567"/>
      <c r="Y41" s="3402"/>
      <c r="Z41" s="1575" t="str">
        <f t="shared" si="13"/>
        <v>宗地形状</v>
      </c>
      <c r="AA41" s="1576">
        <f t="shared" si="3"/>
        <v>1</v>
      </c>
      <c r="AB41" s="1576">
        <f t="shared" si="4"/>
        <v>1</v>
      </c>
      <c r="AC41" s="1576">
        <f t="shared" si="5"/>
        <v>1</v>
      </c>
    </row>
    <row r="42" spans="1:29" ht="20.25">
      <c r="A42" s="594"/>
      <c r="B42" s="527" t="s">
        <v>554</v>
      </c>
      <c r="C42" s="3192" t="s">
        <v>3086</v>
      </c>
      <c r="D42" s="540">
        <v>100</v>
      </c>
      <c r="E42" s="3192" t="s">
        <v>3086</v>
      </c>
      <c r="F42" s="540">
        <f>SUMIF(123:123,E42,124:124)-SUMIF(123:123,C42,124:124)+100</f>
        <v>100</v>
      </c>
      <c r="G42" s="3192" t="s">
        <v>3086</v>
      </c>
      <c r="H42" s="540">
        <f>SUMIF(123:123,G42,124:124)-SUMIF(123:123,C42,124:124)+100</f>
        <v>100</v>
      </c>
      <c r="I42" s="3192" t="s">
        <v>3086</v>
      </c>
      <c r="J42" s="540">
        <f>SUMIF(123:123,I42,124:124)-SUMIF(123:123,C42,124:124)+100</f>
        <v>100</v>
      </c>
      <c r="K42" s="584"/>
      <c r="L42" s="2143"/>
      <c r="M42" s="2133"/>
      <c r="N42" s="2133"/>
      <c r="O42" s="2142"/>
      <c r="P42" s="3402"/>
      <c r="Q42" s="1572" t="str">
        <f t="shared" si="14"/>
        <v>临街宽度及深度</v>
      </c>
      <c r="R42" s="1573" t="s">
        <v>8</v>
      </c>
      <c r="S42" s="1574">
        <f t="shared" si="10"/>
        <v>100</v>
      </c>
      <c r="T42" s="1573" t="s">
        <v>8</v>
      </c>
      <c r="U42" s="1574">
        <f t="shared" si="11"/>
        <v>100</v>
      </c>
      <c r="V42" s="1573" t="s">
        <v>8</v>
      </c>
      <c r="W42" s="1574">
        <f t="shared" si="12"/>
        <v>100</v>
      </c>
      <c r="X42" s="1567"/>
      <c r="Y42" s="3402"/>
      <c r="Z42" s="1575" t="str">
        <f t="shared" si="13"/>
        <v>临街宽度及深度</v>
      </c>
      <c r="AA42" s="1576">
        <f t="shared" si="3"/>
        <v>1</v>
      </c>
      <c r="AB42" s="1576">
        <f t="shared" si="4"/>
        <v>1</v>
      </c>
      <c r="AC42" s="1576">
        <f t="shared" si="5"/>
        <v>1</v>
      </c>
    </row>
    <row r="43" spans="1:29" s="1220" customFormat="1" ht="20.25">
      <c r="A43" s="600"/>
      <c r="B43" s="1896" t="s">
        <v>2427</v>
      </c>
      <c r="C43" s="3193" t="s">
        <v>3087</v>
      </c>
      <c r="D43" s="255">
        <v>100</v>
      </c>
      <c r="E43" s="3193" t="s">
        <v>3088</v>
      </c>
      <c r="F43" s="540">
        <f>SUMIF(125:125,E43,126:126)-SUMIF(125:125,C43,126:126)+100</f>
        <v>100</v>
      </c>
      <c r="G43" s="3193" t="s">
        <v>3087</v>
      </c>
      <c r="H43" s="540">
        <f>SUMIF(125:125,G43,126:126)-SUMIF(125:125,C43,126:126)+100</f>
        <v>100</v>
      </c>
      <c r="I43" s="3193" t="s">
        <v>3087</v>
      </c>
      <c r="J43" s="540">
        <f>SUMIF(125:125,I43,126:126)-SUMIF(125:125,C43,126:126)+100</f>
        <v>100</v>
      </c>
      <c r="K43" s="584"/>
      <c r="L43" s="2136"/>
      <c r="M43" s="2133"/>
      <c r="N43" s="2133"/>
      <c r="O43" s="2138"/>
      <c r="P43" s="3402"/>
      <c r="Q43" s="1572" t="str">
        <f t="shared" si="14"/>
        <v>宗地开发程度</v>
      </c>
      <c r="R43" s="1568" t="s">
        <v>8</v>
      </c>
      <c r="S43" s="1569">
        <f t="shared" si="10"/>
        <v>100</v>
      </c>
      <c r="T43" s="1568" t="s">
        <v>8</v>
      </c>
      <c r="U43" s="1569">
        <f t="shared" si="11"/>
        <v>100</v>
      </c>
      <c r="V43" s="1568" t="s">
        <v>8</v>
      </c>
      <c r="W43" s="1569">
        <f t="shared" si="12"/>
        <v>100</v>
      </c>
      <c r="X43" s="1570"/>
      <c r="Y43" s="3402"/>
      <c r="Z43" s="1150" t="str">
        <f t="shared" si="13"/>
        <v>宗地开发程度</v>
      </c>
      <c r="AA43" s="1571">
        <f t="shared" si="3"/>
        <v>1</v>
      </c>
      <c r="AB43" s="1571">
        <f t="shared" si="4"/>
        <v>1</v>
      </c>
      <c r="AC43" s="1571">
        <f t="shared" si="5"/>
        <v>1</v>
      </c>
    </row>
    <row r="44" spans="1:29" ht="20.25">
      <c r="A44" s="594"/>
      <c r="B44" s="527" t="s">
        <v>555</v>
      </c>
      <c r="C44" s="3192" t="s">
        <v>3086</v>
      </c>
      <c r="D44" s="540">
        <v>100</v>
      </c>
      <c r="E44" s="3192" t="s">
        <v>3086</v>
      </c>
      <c r="F44" s="540">
        <f>SUMIF(127:127,E44,128:128)-SUMIF(127:127,C44,128:128)+100</f>
        <v>100</v>
      </c>
      <c r="G44" s="3192" t="s">
        <v>3086</v>
      </c>
      <c r="H44" s="540">
        <f>SUMIF(127:127,G44,128:128)-SUMIF(127:127,C44,128:128)+100</f>
        <v>100</v>
      </c>
      <c r="I44" s="3192" t="s">
        <v>3086</v>
      </c>
      <c r="J44" s="540">
        <f>SUMIF(127:127,I44,128:128)-SUMIF(127:127,C44,128:128)+100</f>
        <v>100</v>
      </c>
      <c r="K44" s="3194"/>
      <c r="L44" s="2143"/>
      <c r="M44" s="2133"/>
      <c r="N44" s="2133"/>
      <c r="O44" s="2142"/>
      <c r="P44" s="3402" t="s">
        <v>550</v>
      </c>
      <c r="Q44" s="1572" t="str">
        <f t="shared" si="14"/>
        <v>工程地质条件</v>
      </c>
      <c r="R44" s="1573" t="s">
        <v>8</v>
      </c>
      <c r="S44" s="1574">
        <f t="shared" si="10"/>
        <v>100</v>
      </c>
      <c r="T44" s="1573" t="s">
        <v>8</v>
      </c>
      <c r="U44" s="1574">
        <f t="shared" si="11"/>
        <v>100</v>
      </c>
      <c r="V44" s="1573" t="s">
        <v>8</v>
      </c>
      <c r="W44" s="1574">
        <f t="shared" si="12"/>
        <v>100</v>
      </c>
      <c r="X44" s="1567"/>
      <c r="Y44" s="3402"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2"/>
      <c r="Q45" s="1572">
        <f t="shared" si="14"/>
        <v>111</v>
      </c>
      <c r="R45" s="1573" t="s">
        <v>8</v>
      </c>
      <c r="S45" s="1574">
        <f t="shared" si="10"/>
        <v>100</v>
      </c>
      <c r="T45" s="1573" t="s">
        <v>8</v>
      </c>
      <c r="U45" s="1574">
        <f t="shared" si="11"/>
        <v>100</v>
      </c>
      <c r="V45" s="1573" t="s">
        <v>8</v>
      </c>
      <c r="W45" s="1574">
        <f t="shared" si="12"/>
        <v>100</v>
      </c>
      <c r="X45" s="1567"/>
      <c r="Y45" s="3402"/>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2"/>
      <c r="Q46" s="1572">
        <f t="shared" si="14"/>
        <v>111</v>
      </c>
      <c r="R46" s="1573" t="s">
        <v>8</v>
      </c>
      <c r="S46" s="1574">
        <f t="shared" si="10"/>
        <v>100</v>
      </c>
      <c r="T46" s="1573" t="s">
        <v>8</v>
      </c>
      <c r="U46" s="1574">
        <f t="shared" si="11"/>
        <v>100</v>
      </c>
      <c r="V46" s="1573" t="s">
        <v>8</v>
      </c>
      <c r="W46" s="1574">
        <f t="shared" si="12"/>
        <v>100</v>
      </c>
      <c r="X46" s="1567"/>
      <c r="Y46" s="3402"/>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2"/>
      <c r="Q47" s="1572">
        <f t="shared" si="14"/>
        <v>111</v>
      </c>
      <c r="R47" s="1577" t="s">
        <v>8</v>
      </c>
      <c r="S47" s="1578">
        <f t="shared" si="10"/>
        <v>100</v>
      </c>
      <c r="T47" s="1577" t="s">
        <v>8</v>
      </c>
      <c r="U47" s="1578">
        <f t="shared" si="11"/>
        <v>100</v>
      </c>
      <c r="V47" s="1577" t="s">
        <v>8</v>
      </c>
      <c r="W47" s="1578">
        <f t="shared" si="12"/>
        <v>100</v>
      </c>
      <c r="X47" s="1579"/>
      <c r="Y47" s="3402"/>
      <c r="Z47" s="1580">
        <f t="shared" si="13"/>
        <v>111</v>
      </c>
      <c r="AA47" s="1576">
        <f t="shared" si="3"/>
        <v>1</v>
      </c>
      <c r="AB47" s="1576">
        <f t="shared" si="4"/>
        <v>1</v>
      </c>
      <c r="AC47" s="1576">
        <f t="shared" si="5"/>
        <v>1</v>
      </c>
    </row>
    <row r="48" spans="1:29" ht="20.25">
      <c r="A48" s="607" t="s">
        <v>556</v>
      </c>
      <c r="B48" s="608" t="s">
        <v>3089</v>
      </c>
      <c r="C48" s="609" t="s">
        <v>1</v>
      </c>
      <c r="D48" s="610"/>
      <c r="E48" s="611">
        <v>5601</v>
      </c>
      <c r="F48" s="612"/>
      <c r="G48" s="613">
        <v>5889</v>
      </c>
      <c r="H48" s="614"/>
      <c r="I48" s="611">
        <v>6036</v>
      </c>
      <c r="J48" s="614"/>
      <c r="K48" s="1340"/>
      <c r="L48" s="2145"/>
      <c r="M48" s="2133"/>
      <c r="N48" s="2133"/>
      <c r="O48" s="2146"/>
      <c r="P48" s="3397" t="str">
        <f>A48</f>
        <v>成交单价</v>
      </c>
      <c r="Q48" s="3397"/>
      <c r="R48" s="3411">
        <f>E48</f>
        <v>5601</v>
      </c>
      <c r="S48" s="3411"/>
      <c r="T48" s="3411">
        <f>G48</f>
        <v>5889</v>
      </c>
      <c r="U48" s="3411"/>
      <c r="V48" s="3411">
        <f>I48</f>
        <v>6036</v>
      </c>
      <c r="W48" s="3411"/>
      <c r="X48" s="1559"/>
      <c r="Y48" s="1581"/>
      <c r="Z48" s="1559"/>
      <c r="AA48" s="1559"/>
      <c r="AB48" s="1559"/>
      <c r="AC48" s="1559"/>
    </row>
    <row r="49" spans="1:29" ht="21" thickBot="1">
      <c r="A49" s="615" t="s">
        <v>2695</v>
      </c>
      <c r="B49" s="616"/>
      <c r="C49" s="617">
        <f>R50</f>
        <v>6171</v>
      </c>
      <c r="D49" s="618"/>
      <c r="E49" s="617">
        <f>R49</f>
        <v>5834</v>
      </c>
      <c r="F49" s="619"/>
      <c r="G49" s="620">
        <f>T49</f>
        <v>6261</v>
      </c>
      <c r="H49" s="618"/>
      <c r="I49" s="617">
        <f>V49</f>
        <v>6418</v>
      </c>
      <c r="J49" s="618"/>
      <c r="K49" s="1341"/>
      <c r="L49" s="2145"/>
      <c r="M49" s="2133"/>
      <c r="N49" s="2133"/>
      <c r="O49" s="2146"/>
      <c r="P49" s="3397" t="str">
        <f>A49</f>
        <v>比较价格（元/平方米）</v>
      </c>
      <c r="Q49" s="3397"/>
      <c r="R49" s="3421">
        <f>ROUND(PRODUCT(R48,AA9:AA47),0)</f>
        <v>5834</v>
      </c>
      <c r="S49" s="3421"/>
      <c r="T49" s="3421">
        <f>ROUND(PRODUCT(T48,AB9:AB47),0)</f>
        <v>6261</v>
      </c>
      <c r="U49" s="3421"/>
      <c r="V49" s="3421">
        <f>ROUND(PRODUCT(V48,AC9:AC47),0)</f>
        <v>6418</v>
      </c>
      <c r="W49" s="3421"/>
      <c r="X49" s="1559"/>
      <c r="Y49" s="1559"/>
      <c r="Z49" s="1559"/>
      <c r="AA49" s="1559"/>
      <c r="AB49" s="1559"/>
      <c r="AC49" s="1559"/>
    </row>
    <row r="50" spans="1:29" ht="21" thickBot="1">
      <c r="A50" s="621" t="s">
        <v>2937</v>
      </c>
      <c r="B50" s="622"/>
      <c r="C50" s="623">
        <f>R50</f>
        <v>6171</v>
      </c>
      <c r="D50" s="623"/>
      <c r="E50" s="623"/>
      <c r="F50" s="623"/>
      <c r="G50" s="623"/>
      <c r="H50" s="623"/>
      <c r="I50" s="623"/>
      <c r="J50" s="623"/>
      <c r="K50" s="1342"/>
      <c r="L50" s="2145"/>
      <c r="M50" s="2133"/>
      <c r="N50" s="2133"/>
      <c r="O50" s="2146"/>
      <c r="P50" s="3418" t="str">
        <f>A50</f>
        <v>估价对象XX用房的比较价格（楼面单价，元/平方米）</v>
      </c>
      <c r="Q50" s="3419"/>
      <c r="R50" s="3420">
        <f>ROUND(AVERAGE(R49:V49),0)</f>
        <v>6171</v>
      </c>
      <c r="S50" s="3420"/>
      <c r="T50" s="3420"/>
      <c r="U50" s="3420"/>
      <c r="V50" s="3420"/>
      <c r="W50" s="342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4.1599714336725491E-2</v>
      </c>
      <c r="F53" s="627" t="str">
        <f>IF(OR(E53&gt;=0.3,E53&lt;=-0.3),"超过30%","")</f>
        <v/>
      </c>
      <c r="G53" s="626">
        <f>IF(G48&lt;G49,G49/G48-1,G48/G49-1)</f>
        <v>6.3168619460010289E-2</v>
      </c>
      <c r="H53" s="627" t="str">
        <f>IF(OR(G53&gt;=0.3,G53&lt;=-0.3),"超过30%","")</f>
        <v/>
      </c>
      <c r="I53" s="626">
        <f>IF(I48&lt;I49,I49/I48-1,I48/I49-1)</f>
        <v>6.3286944996686634E-2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7.3191635241686592E-2</v>
      </c>
      <c r="F54" s="627" t="str">
        <f>IF(OR(E54&gt;=0.2,E54&lt;=-0.2),"超过20%","")</f>
        <v/>
      </c>
      <c r="G54" s="626">
        <f>IF(G49&lt;I49,I49/G49-1,G49/I49-1)</f>
        <v>2.5075866475003927E-2</v>
      </c>
      <c r="H54" s="627" t="str">
        <f>IF(OR(G54&gt;=0.2,G54&lt;=-0.2),"超过20%","")</f>
        <v/>
      </c>
      <c r="I54" s="626">
        <f>IF(I49&lt;E49,E49/I49-1,I49/E49-1)</f>
        <v>0.10010284538909842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5.1419389394750992E-2</v>
      </c>
      <c r="F55" s="627" t="str">
        <f>IF(OR(E55&gt;=0.3,E55&lt;=-0.3),"超过30%","")</f>
        <v/>
      </c>
      <c r="G55" s="626">
        <f>IF(G48&lt;I48,I48/G48-1,G48/I48-1)</f>
        <v>2.4961793173713609E-2</v>
      </c>
      <c r="H55" s="627" t="str">
        <f>IF(OR(G55&gt;=0.3,G55&lt;=-0.3),"超过30%","")</f>
        <v/>
      </c>
      <c r="I55" s="626">
        <f>IF(I48&lt;E48,E48/I48-1,I48/E48-1)</f>
        <v>7.7664702731655044E-2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81" t="s">
        <v>2284</v>
      </c>
      <c r="H57" s="3382"/>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6171</v>
      </c>
      <c r="C58" s="635">
        <v>1</v>
      </c>
      <c r="D58" s="2229">
        <v>1</v>
      </c>
      <c r="E58" s="635">
        <f>'数据-汇总表'!E8+'数据-汇总表'!E9</f>
        <v>160160.98000000001</v>
      </c>
      <c r="F58" s="636">
        <f t="shared" ref="F58:F67" si="15">ROUND(B58*E58/10000,0)</f>
        <v>98835</v>
      </c>
      <c r="G58" s="3383"/>
      <c r="H58" s="338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5"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36548.259999999995</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196709.24</v>
      </c>
      <c r="F68" s="644">
        <f>IF(B48="楼面地价",SUM(F58:F67),ROUND(C50*E68/10000,0))</f>
        <v>98835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2534</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2649</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516" t="s">
        <v>3160</v>
      </c>
      <c r="D108" s="3516" t="s">
        <v>3161</v>
      </c>
      <c r="E108" s="3516" t="s">
        <v>3162</v>
      </c>
      <c r="F108" s="3516" t="s">
        <v>3163</v>
      </c>
      <c r="G108" s="3516" t="s">
        <v>3164</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4" t="str">
        <f>项目基本情况!B1</f>
        <v>出让国有建设用地使用权抵押价格预评估</v>
      </c>
      <c r="C37" s="3214"/>
      <c r="D37" s="3214"/>
      <c r="E37" s="3214"/>
      <c r="F37" s="3214"/>
      <c r="G37" s="3214"/>
      <c r="H37" s="3214"/>
      <c r="I37" s="3214"/>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吴薇、郑燚</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4" sqref="E1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85528</v>
      </c>
      <c r="C2" s="2105"/>
      <c r="D2" s="2105"/>
      <c r="E2" s="2105"/>
      <c r="F2" s="2105"/>
      <c r="G2" s="2105"/>
      <c r="H2" s="2105"/>
      <c r="I2" s="2105"/>
      <c r="J2" s="2105"/>
      <c r="K2" s="2105"/>
    </row>
    <row r="3" spans="1:31" s="2042" customFormat="1" ht="18" customHeight="1">
      <c r="A3" s="2107" t="s">
        <v>1685</v>
      </c>
      <c r="B3" s="2108">
        <f ca="1">ROUND(B2*10000/IF(B1="",'数据-汇总表'!E3,INDIRECT("'数据-取费表'!K"&amp;$K$1)),0)</f>
        <v>3733</v>
      </c>
      <c r="C3" s="2105"/>
      <c r="D3" s="2105"/>
      <c r="E3" s="2105"/>
      <c r="F3" s="2105"/>
      <c r="G3" s="2105"/>
      <c r="H3" s="2105"/>
      <c r="I3" s="2105"/>
      <c r="J3" s="2105"/>
      <c r="K3" s="2105"/>
    </row>
    <row r="4" spans="1:31" s="2042" customFormat="1" ht="18" customHeight="1">
      <c r="A4" s="426" t="s">
        <v>468</v>
      </c>
      <c r="B4" s="427">
        <f ca="1">ROUND(B2*10000/IF(B1="",'数据-汇总表'!D3,INDIRECT("'数据-取费表'!R"&amp;$K$1)),0)</f>
        <v>7247</v>
      </c>
      <c r="C4" s="428"/>
      <c r="D4" s="422"/>
      <c r="E4" s="422"/>
      <c r="F4" s="422"/>
      <c r="G4" s="422"/>
      <c r="H4" s="422"/>
      <c r="I4" s="422"/>
      <c r="J4" s="422"/>
      <c r="K4" s="422"/>
    </row>
    <row r="5" spans="1:31" s="2042" customFormat="1" ht="18" customHeight="1" thickBot="1">
      <c r="A5" s="429"/>
      <c r="B5" s="430">
        <f ca="1">ROUND(B2/(IF(B1="",'数据-汇总表'!D3,INDIRECT("'数据-取费表'!R"&amp;$K$1))/666.67),0)</f>
        <v>483</v>
      </c>
      <c r="C5" s="431" t="s">
        <v>469</v>
      </c>
      <c r="D5" s="422"/>
      <c r="E5" s="422"/>
      <c r="F5" s="422"/>
      <c r="G5" s="422"/>
      <c r="H5" s="422"/>
      <c r="I5" s="422"/>
      <c r="J5" s="422"/>
      <c r="K5" s="422"/>
    </row>
    <row r="6" spans="1:31" s="2112" customFormat="1" ht="16.5" customHeight="1">
      <c r="A6" s="2829" t="s">
        <v>1843</v>
      </c>
      <c r="B6" s="2830"/>
      <c r="C6" s="2831">
        <f ca="1">SUM(C10:K10)</f>
        <v>221586</v>
      </c>
      <c r="D6" s="2830"/>
      <c r="E6" s="2830"/>
      <c r="F6" s="2830"/>
      <c r="G6" s="2830"/>
      <c r="H6" s="2830"/>
      <c r="I6" s="2830"/>
      <c r="J6" s="2830"/>
      <c r="K6" s="2832"/>
    </row>
    <row r="7" spans="1:31" s="2114" customFormat="1" ht="15">
      <c r="A7" s="2833" t="s">
        <v>470</v>
      </c>
      <c r="B7" s="2834" t="s">
        <v>471</v>
      </c>
      <c r="C7" s="436" t="s">
        <v>2995</v>
      </c>
      <c r="D7" s="436" t="s">
        <v>2997</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12340</v>
      </c>
      <c r="D8" s="2835">
        <f>'不动产比较法-别墅'!B3</f>
        <v>14964</v>
      </c>
      <c r="E8" s="2835">
        <f ca="1">不动产收益法!B3</f>
        <v>3560</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118482.68000000001</v>
      </c>
      <c r="D9" s="441">
        <f>SUMIF('数据-汇总表'!$C19:$C33,'剩余法-待开发'!D7,'数据-汇总表'!$E19:$E33)</f>
        <v>41678.300000000003</v>
      </c>
      <c r="E9" s="441">
        <f>SUMIF('数据-汇总表'!$C19:$C33,'剩余法-待开发'!E7,'数据-汇总表'!$E19:$E33)</f>
        <v>36548.259999999995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29">
        <f>'不动产比较法-住宅'!B2</f>
        <v>146208</v>
      </c>
      <c r="D10" s="3029">
        <f>'不动产比较法-别墅'!B2</f>
        <v>62367</v>
      </c>
      <c r="E10" s="3029">
        <f ca="1">不动产收益法!B2</f>
        <v>13011</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50555</v>
      </c>
      <c r="D13" s="2845"/>
      <c r="E13" s="2846"/>
      <c r="F13" s="2847"/>
      <c r="G13" s="2813"/>
      <c r="H13" s="2814"/>
      <c r="I13" s="2814"/>
      <c r="J13" s="2814"/>
      <c r="K13" s="2815"/>
    </row>
    <row r="14" spans="1:31" s="2117" customFormat="1" ht="13.5" customHeight="1">
      <c r="A14" s="2843" t="s">
        <v>1850</v>
      </c>
      <c r="B14" s="2844" t="s">
        <v>480</v>
      </c>
      <c r="C14" s="53">
        <f ca="1">ROUND(C13*F14,0)</f>
        <v>2528</v>
      </c>
      <c r="D14" s="2845"/>
      <c r="E14" s="2846"/>
      <c r="F14" s="2848">
        <f>'数据-取费表'!B33</f>
        <v>0.05</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2002</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4583</v>
      </c>
      <c r="D16" s="2845">
        <f ca="1">IF(B1="",'数据-汇总表'!E3,INDIRECT("'数据-取费表'!K"&amp;$K$1)+INDIRECT("'数据-取费表'!S"&amp;$K$1))</f>
        <v>229142.34999999998</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758</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60426</v>
      </c>
      <c r="D18" s="2854"/>
      <c r="E18" s="468"/>
      <c r="F18" s="468"/>
      <c r="G18" s="2817" t="s">
        <v>2433</v>
      </c>
      <c r="H18" s="2818"/>
      <c r="I18" s="2818"/>
      <c r="J18" s="2818"/>
      <c r="K18" s="2819"/>
    </row>
    <row r="19" spans="1:14" s="2117" customFormat="1" ht="13.5" customHeight="1">
      <c r="A19" s="2851" t="s">
        <v>1855</v>
      </c>
      <c r="B19" s="2852" t="s">
        <v>488</v>
      </c>
      <c r="C19" s="2809">
        <f ca="1">ROUND(D19*E19/10000,0)</f>
        <v>2521</v>
      </c>
      <c r="D19" s="2855">
        <f ca="1">D16</f>
        <v>229142.34999999998</v>
      </c>
      <c r="E19" s="2809">
        <f>'数据-取费表'!B32</f>
        <v>110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6714</v>
      </c>
      <c r="D20" s="2855"/>
      <c r="E20" s="2809"/>
      <c r="F20" s="2856"/>
      <c r="G20" s="3088"/>
      <c r="H20" s="2811"/>
      <c r="I20" s="2812" t="s">
        <v>2653</v>
      </c>
      <c r="J20" s="2818"/>
      <c r="K20" s="2819"/>
    </row>
    <row r="21" spans="1:14" s="2117" customFormat="1" ht="13.5" customHeight="1">
      <c r="A21" s="2843" t="s">
        <v>1857</v>
      </c>
      <c r="B21" s="2844" t="s">
        <v>491</v>
      </c>
      <c r="C21" s="53">
        <f ca="1">ROUND(D21*E21/10000,0)</f>
        <v>4645</v>
      </c>
      <c r="D21" s="2845">
        <f ca="1">IF(B1="",'数据-汇总表'!E5,IF(INDIRECT("'数据-取费表'!c"&amp;$K$1)="住宅",INDIRECT("'数据-取费表'!k"&amp;$K$1),0))</f>
        <v>160160.98000000001</v>
      </c>
      <c r="E21" s="53">
        <f>'数据-取费表'!B27</f>
        <v>290</v>
      </c>
      <c r="F21" s="2848"/>
      <c r="G21" s="26"/>
      <c r="H21" s="51"/>
      <c r="I21" s="51"/>
      <c r="J21" s="51"/>
      <c r="K21" s="2820"/>
    </row>
    <row r="22" spans="1:14" s="2117" customFormat="1" ht="13.5" customHeight="1">
      <c r="A22" s="2843" t="s">
        <v>1858</v>
      </c>
      <c r="B22" s="2844" t="s">
        <v>492</v>
      </c>
      <c r="C22" s="53">
        <f ca="1">ROUND(D22*E22/10000,0)</f>
        <v>2069</v>
      </c>
      <c r="D22" s="2845">
        <f ca="1">IF(B1="",'数据-汇总表'!E6,IF(INDIRECT("'数据-取费表'!c"&amp;$K$1)="住宅",INDIRECT("'数据-取费表'!s"&amp;$K$1),INDIRECT("'数据-取费表'!k"&amp;$K$1)+INDIRECT("'数据-取费表'!s"&amp;$K$1)))</f>
        <v>68981.369999999966</v>
      </c>
      <c r="E22" s="53">
        <f>'数据-取费表'!B28</f>
        <v>300</v>
      </c>
      <c r="F22" s="2848"/>
      <c r="G22" s="26"/>
      <c r="H22" s="51"/>
      <c r="I22" s="51"/>
      <c r="J22" s="51"/>
      <c r="K22" s="2820"/>
    </row>
    <row r="23" spans="1:14" s="2117" customFormat="1" ht="13.5" customHeight="1">
      <c r="A23" s="2851" t="s">
        <v>1859</v>
      </c>
      <c r="B23" s="3035" t="s">
        <v>2836</v>
      </c>
      <c r="C23" s="2853">
        <f ca="1">ROUND((C18+C19+C20)*F23,0)</f>
        <v>1393</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5" t="s">
        <v>2839</v>
      </c>
      <c r="C24" s="2853">
        <f ca="1">ROUND(C6*F24,0)</f>
        <v>4432</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5"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6" t="s">
        <v>2838</v>
      </c>
      <c r="C26" s="2858">
        <f ca="1">C28</f>
        <v>5442</v>
      </c>
      <c r="D26" s="467">
        <f ca="1">C27</f>
        <v>0.1537</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0.1537</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5442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11712</v>
      </c>
      <c r="D29" s="468"/>
      <c r="E29" s="468"/>
      <c r="F29" s="3037">
        <f>'数据-取费表'!B41</f>
        <v>5.5500000000000008E-2</v>
      </c>
      <c r="G29" s="2822" t="s">
        <v>498</v>
      </c>
      <c r="H29" s="2814"/>
      <c r="I29" s="2814"/>
      <c r="J29" s="2814"/>
      <c r="K29" s="2815"/>
    </row>
    <row r="30" spans="1:14" s="2122" customFormat="1" ht="13.5" customHeight="1">
      <c r="A30" s="1635" t="s">
        <v>1864</v>
      </c>
      <c r="B30" s="2863" t="s">
        <v>500</v>
      </c>
      <c r="C30" s="2858">
        <f ca="1">C31</f>
        <v>92640</v>
      </c>
      <c r="D30" s="477">
        <f ca="1">C32</f>
        <v>0.1827</v>
      </c>
      <c r="E30" s="469" t="s">
        <v>495</v>
      </c>
      <c r="F30" s="471"/>
      <c r="G30" s="2821" t="s">
        <v>2976</v>
      </c>
      <c r="H30" s="2814"/>
      <c r="I30" s="2814"/>
      <c r="J30" s="2814"/>
      <c r="K30" s="2815"/>
    </row>
    <row r="31" spans="1:14" s="2121" customFormat="1" ht="13.5" customHeight="1">
      <c r="A31" s="803" t="s">
        <v>1857</v>
      </c>
      <c r="B31" s="2859"/>
      <c r="C31" s="450">
        <f ca="1">C18+C19+C20+C23+C24+C26+C29</f>
        <v>92640</v>
      </c>
      <c r="D31" s="472"/>
      <c r="E31" s="473"/>
      <c r="F31" s="474"/>
      <c r="G31" s="261"/>
      <c r="H31" s="2816"/>
      <c r="I31" s="2816"/>
      <c r="J31" s="2816"/>
      <c r="K31" s="279"/>
    </row>
    <row r="32" spans="1:14" s="2121" customFormat="1" ht="13.5" customHeight="1">
      <c r="A32" s="803" t="s">
        <v>1858</v>
      </c>
      <c r="B32" s="2859"/>
      <c r="C32" s="53">
        <f ca="1">ROUND(C25+D26,4)</f>
        <v>0.1827</v>
      </c>
      <c r="D32" s="472"/>
      <c r="E32" s="473"/>
      <c r="F32" s="474"/>
      <c r="G32" s="261"/>
      <c r="H32" s="2816"/>
      <c r="I32" s="2816"/>
      <c r="J32" s="2816"/>
      <c r="K32" s="279"/>
    </row>
    <row r="33" spans="1:11" s="2123" customFormat="1" ht="13.5" customHeight="1">
      <c r="A33" s="3034" t="s">
        <v>2835</v>
      </c>
      <c r="B33" s="3032" t="s">
        <v>2833</v>
      </c>
      <c r="C33" s="478">
        <f ca="1">C35</f>
        <v>12833</v>
      </c>
      <c r="D33" s="467">
        <f ca="1">C34</f>
        <v>0.1749</v>
      </c>
      <c r="E33" s="469" t="s">
        <v>495</v>
      </c>
      <c r="F33" s="479">
        <f ca="1">IF(B1="",'数据-取费表'!Q16,INDIRECT("'数据-取费表'!q"&amp;$K$1))</f>
        <v>0.17</v>
      </c>
      <c r="G33" s="2817"/>
      <c r="H33" s="2818"/>
      <c r="I33" s="2818"/>
      <c r="J33" s="2818"/>
      <c r="K33" s="2819"/>
    </row>
    <row r="34" spans="1:11" s="2124" customFormat="1" ht="13.5" customHeight="1">
      <c r="A34" s="375" t="s">
        <v>1857</v>
      </c>
      <c r="B34" s="2864" t="s">
        <v>501</v>
      </c>
      <c r="C34" s="472">
        <f ca="1">ROUND((1+C25)*F33,4)</f>
        <v>0.1749</v>
      </c>
      <c r="D34" s="472"/>
      <c r="E34" s="473"/>
      <c r="F34" s="480"/>
      <c r="G34" s="261" t="s">
        <v>2293</v>
      </c>
      <c r="H34" s="2816"/>
      <c r="I34" s="2816"/>
      <c r="J34" s="2816"/>
      <c r="K34" s="279"/>
    </row>
    <row r="35" spans="1:11" s="2124" customFormat="1" ht="13.5" customHeight="1" thickBot="1">
      <c r="A35" s="1636" t="s">
        <v>1858</v>
      </c>
      <c r="B35" s="3033" t="s">
        <v>2841</v>
      </c>
      <c r="C35" s="1628">
        <f ca="1">ROUND((C18+C19+C20+C23+C24)*F33,0)</f>
        <v>12833</v>
      </c>
      <c r="D35" s="1629"/>
      <c r="E35" s="2865"/>
      <c r="F35" s="1630"/>
      <c r="G35" s="2823"/>
      <c r="H35" s="2824"/>
      <c r="I35" s="2824"/>
      <c r="J35" s="2824"/>
      <c r="K35" s="2825"/>
    </row>
    <row r="36" spans="1:11" s="2086" customFormat="1" ht="13.5" customHeight="1" thickBot="1">
      <c r="A36" s="284" t="s">
        <v>1845</v>
      </c>
      <c r="B36" s="2827"/>
      <c r="C36" s="2866">
        <f ca="1">ROUND((C6-C30-C33)/(1+D30+D33),0)</f>
        <v>85528</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50555</v>
      </c>
      <c r="D13" s="451"/>
      <c r="E13" s="365"/>
      <c r="F13" s="452"/>
      <c r="G13" s="444"/>
      <c r="H13" s="447"/>
      <c r="I13" s="447"/>
      <c r="J13" s="447"/>
      <c r="K13" s="448"/>
    </row>
    <row r="14" spans="1:41" s="2117" customFormat="1" ht="13.5" customHeight="1">
      <c r="A14" s="1633" t="s">
        <v>1850</v>
      </c>
      <c r="B14" s="449" t="s">
        <v>480</v>
      </c>
      <c r="C14" s="53">
        <f ca="1">ROUND(C13*F14,0)</f>
        <v>2528</v>
      </c>
      <c r="D14" s="451"/>
      <c r="E14" s="365"/>
      <c r="F14" s="453">
        <f>'数据-取费表'!B33</f>
        <v>0.05</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2002</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4583</v>
      </c>
      <c r="D16" s="451">
        <f ca="1">IF(B1="",'数据-汇总表'!E3,INDIRECT("'数据-取费表'!K"&amp;$K$1)+INDIRECT("'数据-取费表'!S"&amp;$K$1))</f>
        <v>229142.34999999998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758</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60426</v>
      </c>
      <c r="D18" s="461"/>
      <c r="E18" s="462"/>
      <c r="F18" s="462"/>
      <c r="G18" s="1327" t="s">
        <v>2435</v>
      </c>
      <c r="H18" s="447"/>
      <c r="I18" s="447"/>
      <c r="J18" s="447"/>
      <c r="K18" s="448"/>
    </row>
    <row r="19" spans="1:14" s="2120" customFormat="1" ht="13.5" customHeight="1">
      <c r="A19" s="1634" t="s">
        <v>1855</v>
      </c>
      <c r="B19" s="459" t="s">
        <v>493</v>
      </c>
      <c r="C19" s="460">
        <f ca="1">ROUND(C18*F19,0)</f>
        <v>1209</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0">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4443</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1849</v>
      </c>
      <c r="B22" s="1328" t="s">
        <v>2438</v>
      </c>
      <c r="C22" s="487">
        <f ca="1">ROUND(IF('数据-取费表'!B22&lt;=1,(C18+C19)*F21*'数据-取费表'!B20/2,(C18+C19)*(POWER((1+F21),'数据-取费表'!B20/2)-1)),0)</f>
        <v>4443</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1.4E-3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2" t="s">
        <v>2834</v>
      </c>
      <c r="C24" s="478">
        <f ca="1">C25</f>
        <v>10478</v>
      </c>
      <c r="D24" s="489">
        <f ca="1">C26</f>
        <v>3.3999999999999998E-3</v>
      </c>
      <c r="E24" s="469" t="s">
        <v>507</v>
      </c>
      <c r="F24" s="479">
        <f ca="1">IF(B1="",'数据-取费表'!Q16,INDIRECT("'数据-取费表'!q"&amp;$K$1))</f>
        <v>0.17</v>
      </c>
      <c r="G24" s="444"/>
      <c r="H24" s="447"/>
      <c r="I24" s="447"/>
      <c r="J24" s="447"/>
      <c r="K24" s="448"/>
    </row>
    <row r="25" spans="1:14" s="2121" customFormat="1" ht="13.5" customHeight="1">
      <c r="A25" s="1633" t="s">
        <v>1849</v>
      </c>
      <c r="B25" s="1328" t="s">
        <v>2439</v>
      </c>
      <c r="C25" s="490">
        <f ca="1">ROUND((C18+C19)*F24,0)</f>
        <v>10478</v>
      </c>
      <c r="D25" s="472"/>
      <c r="E25" s="473"/>
      <c r="F25" s="480"/>
      <c r="G25" s="1326" t="s">
        <v>2436</v>
      </c>
      <c r="H25" s="457"/>
      <c r="I25" s="457"/>
      <c r="J25" s="457"/>
      <c r="K25" s="458"/>
    </row>
    <row r="26" spans="1:14" s="2121" customFormat="1" ht="13.5" customHeight="1">
      <c r="A26" s="1633" t="s">
        <v>1850</v>
      </c>
      <c r="B26" s="1328" t="s">
        <v>509</v>
      </c>
      <c r="C26" s="491">
        <f ca="1">ROUND(F20*F24,4)</f>
        <v>3.3999999999999998E-3</v>
      </c>
      <c r="D26" s="472"/>
      <c r="E26" s="481"/>
      <c r="F26" s="480"/>
      <c r="G26" s="1326" t="s">
        <v>510</v>
      </c>
      <c r="H26" s="457"/>
      <c r="I26" s="457"/>
      <c r="J26" s="457"/>
      <c r="K26" s="458"/>
    </row>
    <row r="27" spans="1:14" s="2121" customFormat="1" ht="13.5" customHeight="1">
      <c r="A27" s="1637" t="s">
        <v>1868</v>
      </c>
      <c r="B27" s="459" t="s">
        <v>511</v>
      </c>
      <c r="C27" s="3031">
        <f>ROUND(F27/(1+'数据-取费表'!C42),4)</f>
        <v>5.2900000000000003E-2</v>
      </c>
      <c r="D27" s="462" t="s">
        <v>2832</v>
      </c>
      <c r="E27" s="462"/>
      <c r="F27" s="466">
        <f>'数据-取费表'!B41</f>
        <v>5.5500000000000008E-2</v>
      </c>
      <c r="G27" s="1961" t="s">
        <v>2294</v>
      </c>
      <c r="H27" s="447"/>
      <c r="I27" s="447"/>
      <c r="J27" s="447"/>
      <c r="K27" s="448"/>
    </row>
    <row r="28" spans="1:14" s="2122" customFormat="1" ht="13.5" customHeight="1">
      <c r="A28" s="1637" t="s">
        <v>1869</v>
      </c>
      <c r="B28" s="476" t="s">
        <v>512</v>
      </c>
      <c r="C28" s="470">
        <f ca="1">ROUND((C18+C19+C21+C24)/(1-C20-D21-D24-C27),0)</f>
        <v>83006</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5.5500000000000008E-2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03" t="s">
        <v>522</v>
      </c>
      <c r="D6" s="3404"/>
      <c r="E6" s="3427" t="s">
        <v>523</v>
      </c>
      <c r="F6" s="3428"/>
      <c r="G6" s="3403" t="s">
        <v>524</v>
      </c>
      <c r="H6" s="3404"/>
      <c r="I6" s="3403" t="s">
        <v>525</v>
      </c>
      <c r="J6" s="3404"/>
      <c r="K6" s="514" t="s">
        <v>526</v>
      </c>
      <c r="L6" s="2134"/>
      <c r="M6" s="2135"/>
      <c r="N6" s="2135"/>
      <c r="O6" s="2135"/>
      <c r="P6" s="3405" t="s">
        <v>527</v>
      </c>
      <c r="Q6" s="3406"/>
      <c r="R6" s="3391" t="s">
        <v>523</v>
      </c>
      <c r="S6" s="3392"/>
      <c r="T6" s="3391" t="s">
        <v>524</v>
      </c>
      <c r="U6" s="3392"/>
      <c r="V6" s="3411" t="s">
        <v>525</v>
      </c>
      <c r="W6" s="3411"/>
      <c r="X6" s="1567"/>
      <c r="Y6" s="3391" t="s">
        <v>527</v>
      </c>
      <c r="Z6" s="3392"/>
      <c r="AA6" s="3386" t="s">
        <v>523</v>
      </c>
      <c r="AB6" s="3387" t="s">
        <v>524</v>
      </c>
      <c r="AC6" s="3386" t="s">
        <v>525</v>
      </c>
    </row>
    <row r="7" spans="1:29" ht="15">
      <c r="A7" s="515"/>
      <c r="B7" s="516"/>
      <c r="C7" s="3414" t="s">
        <v>2931</v>
      </c>
      <c r="D7" s="3415"/>
      <c r="E7" s="3429" t="s">
        <v>2932</v>
      </c>
      <c r="F7" s="3430"/>
      <c r="G7" s="3414" t="s">
        <v>2933</v>
      </c>
      <c r="H7" s="3415"/>
      <c r="I7" s="3414" t="s">
        <v>2934</v>
      </c>
      <c r="J7" s="3415"/>
      <c r="K7" s="514"/>
      <c r="L7" s="2134"/>
      <c r="M7" s="2135"/>
      <c r="N7" s="2135"/>
      <c r="O7" s="2135"/>
      <c r="P7" s="3407"/>
      <c r="Q7" s="3408"/>
      <c r="R7" s="3393"/>
      <c r="S7" s="3394"/>
      <c r="T7" s="3393"/>
      <c r="U7" s="3394"/>
      <c r="V7" s="3411"/>
      <c r="W7" s="3411"/>
      <c r="X7" s="1567"/>
      <c r="Y7" s="3393"/>
      <c r="Z7" s="3394"/>
      <c r="AA7" s="3387"/>
      <c r="AB7" s="3387"/>
      <c r="AC7" s="3387"/>
    </row>
    <row r="8" spans="1:29" ht="15.75" thickBot="1">
      <c r="A8" s="517"/>
      <c r="B8" s="518"/>
      <c r="C8" s="3412" t="s">
        <v>2935</v>
      </c>
      <c r="D8" s="3413"/>
      <c r="E8" s="3431" t="s">
        <v>2935</v>
      </c>
      <c r="F8" s="3432"/>
      <c r="G8" s="3412" t="s">
        <v>2935</v>
      </c>
      <c r="H8" s="3413"/>
      <c r="I8" s="3412" t="s">
        <v>2935</v>
      </c>
      <c r="J8" s="3413"/>
      <c r="K8" s="514" t="s">
        <v>528</v>
      </c>
      <c r="L8" s="2134"/>
      <c r="M8" s="2135"/>
      <c r="N8" s="2135"/>
      <c r="O8" s="2135"/>
      <c r="P8" s="3409"/>
      <c r="Q8" s="3410"/>
      <c r="R8" s="3393"/>
      <c r="S8" s="3394"/>
      <c r="T8" s="3395"/>
      <c r="U8" s="3396"/>
      <c r="V8" s="3411"/>
      <c r="W8" s="3411"/>
      <c r="X8" s="1567"/>
      <c r="Y8" s="3395"/>
      <c r="Z8" s="3396"/>
      <c r="AA8" s="3388"/>
      <c r="AB8" s="3388"/>
      <c r="AC8" s="3388"/>
    </row>
    <row r="9" spans="1:29" s="1220" customFormat="1" ht="15.75" thickBot="1">
      <c r="A9" s="2912"/>
      <c r="B9" s="2919" t="s">
        <v>529</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9" t="s">
        <v>530</v>
      </c>
      <c r="Q9" s="3398"/>
      <c r="R9" s="1568" t="s">
        <v>8</v>
      </c>
      <c r="S9" s="1569">
        <f t="shared" ref="S9:S17" si="0">F9</f>
        <v>0</v>
      </c>
      <c r="T9" s="1568" t="s">
        <v>8</v>
      </c>
      <c r="U9" s="1569">
        <f t="shared" ref="U9:U17" si="1">H9</f>
        <v>0</v>
      </c>
      <c r="V9" s="1568" t="s">
        <v>8</v>
      </c>
      <c r="W9" s="1569">
        <f t="shared" ref="W9:W17" si="2">J9</f>
        <v>0</v>
      </c>
      <c r="X9" s="1570"/>
      <c r="Y9" s="3389" t="s">
        <v>530</v>
      </c>
      <c r="Z9" s="3390"/>
      <c r="AA9" s="1571" t="e">
        <f>D9/F9</f>
        <v>#DIV/0!</v>
      </c>
      <c r="AB9" s="1571" t="e">
        <f>D9/H9</f>
        <v>#DIV/0!</v>
      </c>
      <c r="AC9" s="1571"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9" t="s">
        <v>533</v>
      </c>
      <c r="Q10" s="3390"/>
      <c r="R10" s="1568" t="s">
        <v>8</v>
      </c>
      <c r="S10" s="1569">
        <f t="shared" si="0"/>
        <v>0</v>
      </c>
      <c r="T10" s="1568" t="s">
        <v>8</v>
      </c>
      <c r="U10" s="1569">
        <f t="shared" si="1"/>
        <v>0</v>
      </c>
      <c r="V10" s="1568" t="s">
        <v>8</v>
      </c>
      <c r="W10" s="1569">
        <f t="shared" si="2"/>
        <v>0</v>
      </c>
      <c r="X10" s="1570"/>
      <c r="Y10" s="3389" t="s">
        <v>533</v>
      </c>
      <c r="Z10" s="3390"/>
      <c r="AA10" s="1571" t="e">
        <f t="shared" ref="AA10:AA42" si="3">D10/F10</f>
        <v>#DIV/0!</v>
      </c>
      <c r="AB10" s="1571" t="e">
        <f t="shared" ref="AB10:AB42" si="4">D10/H10</f>
        <v>#DIV/0!</v>
      </c>
      <c r="AC10" s="1571"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7" t="s">
        <v>535</v>
      </c>
      <c r="Q11" s="1151" t="str">
        <f t="shared" ref="Q11:Q17" si="6">B11</f>
        <v>用途</v>
      </c>
      <c r="R11" s="1568" t="s">
        <v>8</v>
      </c>
      <c r="S11" s="1569">
        <f t="shared" si="0"/>
        <v>100</v>
      </c>
      <c r="T11" s="1568" t="s">
        <v>8</v>
      </c>
      <c r="U11" s="1569">
        <f t="shared" si="1"/>
        <v>100</v>
      </c>
      <c r="V11" s="1568" t="s">
        <v>8</v>
      </c>
      <c r="W11" s="1569">
        <f t="shared" si="2"/>
        <v>100</v>
      </c>
      <c r="X11" s="1570"/>
      <c r="Y11" s="3354" t="s">
        <v>536</v>
      </c>
      <c r="Z11" s="1150" t="str">
        <f t="shared" ref="Z11:Z17" si="7">Q11</f>
        <v>用途</v>
      </c>
      <c r="AA11" s="1571">
        <f t="shared" si="3"/>
        <v>1</v>
      </c>
      <c r="AB11" s="1571">
        <f t="shared" si="4"/>
        <v>1</v>
      </c>
      <c r="AC11" s="1571">
        <f t="shared" si="5"/>
        <v>1</v>
      </c>
    </row>
    <row r="12" spans="1:29" s="1338" customFormat="1" ht="27">
      <c r="A12" s="2915"/>
      <c r="B12" s="2920" t="s">
        <v>2759</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7"/>
      <c r="Q12" s="1151" t="str">
        <f t="shared" si="6"/>
        <v>土地使用年限（年）</v>
      </c>
      <c r="R12" s="1568" t="s">
        <v>8</v>
      </c>
      <c r="S12" s="1569">
        <f t="shared" si="0"/>
        <v>101</v>
      </c>
      <c r="T12" s="1568" t="s">
        <v>8</v>
      </c>
      <c r="U12" s="1569">
        <f t="shared" si="1"/>
        <v>101</v>
      </c>
      <c r="V12" s="1568" t="s">
        <v>8</v>
      </c>
      <c r="W12" s="1569">
        <f t="shared" si="2"/>
        <v>101</v>
      </c>
      <c r="X12" s="1570"/>
      <c r="Y12" s="3354"/>
      <c r="Z12" s="1150" t="str">
        <f t="shared" si="7"/>
        <v>土地使用年限（年）</v>
      </c>
      <c r="AA12" s="1571">
        <f t="shared" si="3"/>
        <v>0.99009900990099009</v>
      </c>
      <c r="AB12" s="1571">
        <f t="shared" si="4"/>
        <v>0.99009900990099009</v>
      </c>
      <c r="AC12" s="1571">
        <f t="shared" si="5"/>
        <v>0.99009900990099009</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7"/>
      <c r="Q13" s="1151" t="str">
        <f t="shared" si="6"/>
        <v>容积率</v>
      </c>
      <c r="R13" s="1568" t="s">
        <v>8</v>
      </c>
      <c r="S13" s="1569" t="e">
        <f t="shared" si="0"/>
        <v>#N/A</v>
      </c>
      <c r="T13" s="1568" t="s">
        <v>8</v>
      </c>
      <c r="U13" s="1569" t="e">
        <f t="shared" si="1"/>
        <v>#N/A</v>
      </c>
      <c r="V13" s="1568" t="s">
        <v>8</v>
      </c>
      <c r="W13" s="1569" t="e">
        <f t="shared" si="2"/>
        <v>#N/A</v>
      </c>
      <c r="X13" s="1570"/>
      <c r="Y13" s="3354"/>
      <c r="Z13" s="1150" t="str">
        <f t="shared" si="7"/>
        <v>容积率</v>
      </c>
      <c r="AA13" s="1571" t="e">
        <f t="shared" si="3"/>
        <v>#N/A</v>
      </c>
      <c r="AB13" s="1571" t="e">
        <f t="shared" si="4"/>
        <v>#N/A</v>
      </c>
      <c r="AC13" s="1571"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7"/>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7"/>
      <c r="Q15" s="1151">
        <f t="shared" si="6"/>
        <v>111</v>
      </c>
      <c r="R15" s="1568" t="s">
        <v>8</v>
      </c>
      <c r="S15" s="1569">
        <f t="shared" si="0"/>
        <v>100</v>
      </c>
      <c r="T15" s="1568" t="s">
        <v>8</v>
      </c>
      <c r="U15" s="1569">
        <f t="shared" si="1"/>
        <v>100</v>
      </c>
      <c r="V15" s="1568" t="s">
        <v>8</v>
      </c>
      <c r="W15" s="1569">
        <f t="shared" si="2"/>
        <v>100</v>
      </c>
      <c r="X15" s="1570"/>
      <c r="Y15" s="3354"/>
      <c r="Z15" s="1150">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7"/>
      <c r="Q16" s="1151">
        <f t="shared" si="6"/>
        <v>111</v>
      </c>
      <c r="R16" s="1568" t="s">
        <v>8</v>
      </c>
      <c r="S16" s="1569">
        <f t="shared" si="0"/>
        <v>100</v>
      </c>
      <c r="T16" s="1568" t="s">
        <v>8</v>
      </c>
      <c r="U16" s="1569">
        <f t="shared" si="1"/>
        <v>100</v>
      </c>
      <c r="V16" s="1568" t="s">
        <v>8</v>
      </c>
      <c r="W16" s="1569">
        <f t="shared" si="2"/>
        <v>100</v>
      </c>
      <c r="X16" s="1570"/>
      <c r="Y16" s="3354"/>
      <c r="Z16" s="1150">
        <f t="shared" si="7"/>
        <v>111</v>
      </c>
      <c r="AA16" s="1571">
        <f t="shared" si="3"/>
        <v>1</v>
      </c>
      <c r="AB16" s="1571">
        <f t="shared" si="4"/>
        <v>1</v>
      </c>
      <c r="AC16" s="1571">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9" t="s">
        <v>540</v>
      </c>
      <c r="Q17" s="1572" t="str">
        <f t="shared" si="6"/>
        <v>产业集聚程度</v>
      </c>
      <c r="R17" s="1573" t="s">
        <v>8</v>
      </c>
      <c r="S17" s="1574">
        <f t="shared" si="0"/>
        <v>100</v>
      </c>
      <c r="T17" s="1573" t="s">
        <v>8</v>
      </c>
      <c r="U17" s="1574">
        <f t="shared" si="1"/>
        <v>100</v>
      </c>
      <c r="V17" s="1573" t="s">
        <v>8</v>
      </c>
      <c r="W17" s="1574">
        <f t="shared" si="2"/>
        <v>100</v>
      </c>
      <c r="X17" s="1567"/>
      <c r="Y17" s="339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00"/>
      <c r="Q18" s="1572"/>
      <c r="R18" s="1573"/>
      <c r="S18" s="1574"/>
      <c r="T18" s="1573"/>
      <c r="U18" s="1574"/>
      <c r="V18" s="1573"/>
      <c r="W18" s="1574"/>
      <c r="X18" s="1567"/>
      <c r="Y18" s="340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0"/>
      <c r="Q19" s="1572" t="str">
        <f>B19</f>
        <v>交通便捷度</v>
      </c>
      <c r="R19" s="1573" t="s">
        <v>8</v>
      </c>
      <c r="S19" s="1574">
        <f>F19</f>
        <v>100</v>
      </c>
      <c r="T19" s="1573" t="s">
        <v>8</v>
      </c>
      <c r="U19" s="1574">
        <f>H19</f>
        <v>100</v>
      </c>
      <c r="V19" s="1573" t="s">
        <v>8</v>
      </c>
      <c r="W19" s="1574">
        <f>J19</f>
        <v>100</v>
      </c>
      <c r="X19" s="1567"/>
      <c r="Y19" s="340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00"/>
      <c r="Q20" s="1572"/>
      <c r="R20" s="1573"/>
      <c r="S20" s="1574"/>
      <c r="T20" s="1573"/>
      <c r="U20" s="1574"/>
      <c r="V20" s="1573"/>
      <c r="W20" s="1574"/>
      <c r="X20" s="1567"/>
      <c r="Y20" s="340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0"/>
      <c r="Q21" s="1572" t="str">
        <f t="shared" ref="Q21:Q35" si="8">B21</f>
        <v>区域土地利用方向</v>
      </c>
      <c r="R21" s="1573" t="s">
        <v>8</v>
      </c>
      <c r="S21" s="1574">
        <f>F21</f>
        <v>100</v>
      </c>
      <c r="T21" s="1573" t="s">
        <v>8</v>
      </c>
      <c r="U21" s="1574">
        <f>H21</f>
        <v>100</v>
      </c>
      <c r="V21" s="1573" t="s">
        <v>8</v>
      </c>
      <c r="W21" s="1574">
        <f>J21</f>
        <v>100</v>
      </c>
      <c r="X21" s="1567"/>
      <c r="Y21" s="340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00"/>
      <c r="Q22" s="1572"/>
      <c r="R22" s="1573"/>
      <c r="S22" s="1574"/>
      <c r="T22" s="1573"/>
      <c r="U22" s="1574"/>
      <c r="V22" s="1573"/>
      <c r="W22" s="1574"/>
      <c r="X22" s="1567"/>
      <c r="Y22" s="3400"/>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0"/>
      <c r="Q23" s="1572" t="str">
        <f t="shared" si="8"/>
        <v>环境状况</v>
      </c>
      <c r="R23" s="1573" t="s">
        <v>8</v>
      </c>
      <c r="S23" s="1574">
        <f>F23</f>
        <v>100</v>
      </c>
      <c r="T23" s="1573" t="s">
        <v>8</v>
      </c>
      <c r="U23" s="1574">
        <f>H23</f>
        <v>100</v>
      </c>
      <c r="V23" s="1573" t="s">
        <v>8</v>
      </c>
      <c r="W23" s="1574">
        <f>J23</f>
        <v>100</v>
      </c>
      <c r="X23" s="1567"/>
      <c r="Y23" s="340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00"/>
      <c r="Q24" s="1572"/>
      <c r="R24" s="1573"/>
      <c r="S24" s="1574"/>
      <c r="T24" s="1573"/>
      <c r="U24" s="1574"/>
      <c r="V24" s="1573"/>
      <c r="W24" s="1574"/>
      <c r="X24" s="1567"/>
      <c r="Y24" s="3400"/>
      <c r="Z24" s="1575"/>
      <c r="AA24" s="1576">
        <v>1</v>
      </c>
      <c r="AB24" s="1576">
        <v>1</v>
      </c>
      <c r="AC24" s="1576">
        <v>1</v>
      </c>
    </row>
    <row r="25" spans="1:29" s="1220"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0"/>
      <c r="Q25" s="1151" t="str">
        <f t="shared" si="8"/>
        <v>公共配套设施</v>
      </c>
      <c r="R25" s="1568" t="s">
        <v>8</v>
      </c>
      <c r="S25" s="1569">
        <f>F25</f>
        <v>100</v>
      </c>
      <c r="T25" s="1568" t="s">
        <v>8</v>
      </c>
      <c r="U25" s="1569">
        <f>H25</f>
        <v>100</v>
      </c>
      <c r="V25" s="1568" t="s">
        <v>8</v>
      </c>
      <c r="W25" s="1569">
        <f>J25</f>
        <v>100</v>
      </c>
      <c r="X25" s="1570"/>
      <c r="Y25" s="3400"/>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00"/>
      <c r="Q26" s="1151"/>
      <c r="R26" s="1568"/>
      <c r="S26" s="1569"/>
      <c r="T26" s="1568"/>
      <c r="U26" s="1569"/>
      <c r="V26" s="1568"/>
      <c r="W26" s="1569"/>
      <c r="X26" s="1570"/>
      <c r="Y26" s="3400"/>
      <c r="Z26" s="1150"/>
      <c r="AA26" s="1571">
        <v>1</v>
      </c>
      <c r="AB26" s="1571">
        <v>1</v>
      </c>
      <c r="AC26" s="1571">
        <v>1</v>
      </c>
    </row>
    <row r="27" spans="1:29" s="1220"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0"/>
      <c r="Q27" s="2579" t="str">
        <f t="shared" ref="Q27" si="9">B27</f>
        <v>基础设施水平</v>
      </c>
      <c r="R27" s="1568" t="s">
        <v>8</v>
      </c>
      <c r="S27" s="1569">
        <f>F27</f>
        <v>100</v>
      </c>
      <c r="T27" s="1568" t="s">
        <v>8</v>
      </c>
      <c r="U27" s="1569">
        <f>H27</f>
        <v>100</v>
      </c>
      <c r="V27" s="1568" t="s">
        <v>8</v>
      </c>
      <c r="W27" s="1569">
        <f>J27</f>
        <v>100</v>
      </c>
      <c r="X27" s="1570"/>
      <c r="Y27" s="3400"/>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00"/>
      <c r="Q28" s="2579"/>
      <c r="R28" s="1568"/>
      <c r="S28" s="1569"/>
      <c r="T28" s="1568"/>
      <c r="U28" s="1569"/>
      <c r="V28" s="1568"/>
      <c r="W28" s="1569"/>
      <c r="X28" s="1570"/>
      <c r="Y28" s="3400"/>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0"/>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0"/>
      <c r="Q30" s="1572" t="str">
        <f t="shared" si="8"/>
        <v>毗邻道路的类型与等级</v>
      </c>
      <c r="R30" s="1573" t="s">
        <v>8</v>
      </c>
      <c r="S30" s="1574">
        <f t="shared" si="10"/>
        <v>100</v>
      </c>
      <c r="T30" s="1573" t="s">
        <v>8</v>
      </c>
      <c r="U30" s="1574">
        <f t="shared" si="11"/>
        <v>100</v>
      </c>
      <c r="V30" s="1573" t="s">
        <v>8</v>
      </c>
      <c r="W30" s="1574">
        <f t="shared" si="12"/>
        <v>100</v>
      </c>
      <c r="X30" s="1567"/>
      <c r="Y30" s="340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00"/>
      <c r="Q31" s="1572"/>
      <c r="R31" s="1573"/>
      <c r="S31" s="1574"/>
      <c r="T31" s="1573"/>
      <c r="U31" s="1574"/>
      <c r="V31" s="1573"/>
      <c r="W31" s="1574"/>
      <c r="X31" s="1567"/>
      <c r="Y31" s="3400"/>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0"/>
      <c r="Q32" s="1572" t="str">
        <f t="shared" si="8"/>
        <v>土地级别</v>
      </c>
      <c r="R32" s="1573" t="s">
        <v>8</v>
      </c>
      <c r="S32" s="1574">
        <f t="shared" si="10"/>
        <v>100</v>
      </c>
      <c r="T32" s="1573" t="s">
        <v>8</v>
      </c>
      <c r="U32" s="1574">
        <f t="shared" si="11"/>
        <v>100</v>
      </c>
      <c r="V32" s="1573" t="s">
        <v>8</v>
      </c>
      <c r="W32" s="1574">
        <f t="shared" si="12"/>
        <v>100</v>
      </c>
      <c r="X32" s="1567"/>
      <c r="Y32" s="340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0"/>
      <c r="Q33" s="1572">
        <f t="shared" si="8"/>
        <v>111</v>
      </c>
      <c r="R33" s="1573" t="s">
        <v>8</v>
      </c>
      <c r="S33" s="1574">
        <f t="shared" si="10"/>
        <v>100</v>
      </c>
      <c r="T33" s="1573" t="s">
        <v>8</v>
      </c>
      <c r="U33" s="1574">
        <f t="shared" si="11"/>
        <v>100</v>
      </c>
      <c r="V33" s="1573" t="s">
        <v>8</v>
      </c>
      <c r="W33" s="1574">
        <f t="shared" si="12"/>
        <v>100</v>
      </c>
      <c r="X33" s="1567"/>
      <c r="Y33" s="340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1" t="s">
        <v>550</v>
      </c>
      <c r="Q34" s="1572">
        <f t="shared" si="8"/>
        <v>111</v>
      </c>
      <c r="R34" s="1573" t="s">
        <v>8</v>
      </c>
      <c r="S34" s="1574">
        <f t="shared" si="10"/>
        <v>100</v>
      </c>
      <c r="T34" s="1573" t="s">
        <v>8</v>
      </c>
      <c r="U34" s="1574">
        <f t="shared" si="11"/>
        <v>100</v>
      </c>
      <c r="V34" s="1573" t="s">
        <v>8</v>
      </c>
      <c r="W34" s="1574">
        <f t="shared" si="12"/>
        <v>100</v>
      </c>
      <c r="X34" s="1567"/>
      <c r="Y34" s="3402"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2"/>
      <c r="Q35" s="1572">
        <f t="shared" si="8"/>
        <v>111</v>
      </c>
      <c r="R35" s="1577" t="s">
        <v>8</v>
      </c>
      <c r="S35" s="1578">
        <f t="shared" si="10"/>
        <v>100</v>
      </c>
      <c r="T35" s="1577" t="s">
        <v>8</v>
      </c>
      <c r="U35" s="1578">
        <f t="shared" si="11"/>
        <v>100</v>
      </c>
      <c r="V35" s="1577" t="s">
        <v>8</v>
      </c>
      <c r="W35" s="1578">
        <f t="shared" si="12"/>
        <v>100</v>
      </c>
      <c r="X35" s="1579"/>
      <c r="Y35" s="3402"/>
      <c r="Z35" s="1580">
        <f t="shared" si="13"/>
        <v>111</v>
      </c>
      <c r="AA35" s="1576">
        <f t="shared" si="3"/>
        <v>1</v>
      </c>
      <c r="AB35" s="1576">
        <f t="shared" si="4"/>
        <v>1</v>
      </c>
      <c r="AC35" s="1576">
        <f t="shared" si="5"/>
        <v>1</v>
      </c>
    </row>
    <row r="36" spans="1:29" ht="15">
      <c r="A36" s="2908"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2"/>
      <c r="Q36" s="1572" t="str">
        <f>B36</f>
        <v>宗地面积</v>
      </c>
      <c r="R36" s="1573" t="s">
        <v>8</v>
      </c>
      <c r="S36" s="1574" t="e">
        <f t="shared" si="10"/>
        <v>#N/A</v>
      </c>
      <c r="T36" s="1573" t="s">
        <v>8</v>
      </c>
      <c r="U36" s="1574" t="e">
        <f t="shared" si="11"/>
        <v>#N/A</v>
      </c>
      <c r="V36" s="1573" t="s">
        <v>8</v>
      </c>
      <c r="W36" s="1574" t="e">
        <f t="shared" si="12"/>
        <v>#N/A</v>
      </c>
      <c r="X36" s="1567"/>
      <c r="Y36" s="3402"/>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2"/>
      <c r="Q37" s="1572" t="str">
        <f t="shared" ref="Q37:Q42" si="14">B37</f>
        <v>宗地形状</v>
      </c>
      <c r="R37" s="1573" t="s">
        <v>8</v>
      </c>
      <c r="S37" s="1574">
        <f t="shared" si="10"/>
        <v>100</v>
      </c>
      <c r="T37" s="1573" t="s">
        <v>8</v>
      </c>
      <c r="U37" s="1574">
        <f t="shared" si="11"/>
        <v>100</v>
      </c>
      <c r="V37" s="1573" t="s">
        <v>8</v>
      </c>
      <c r="W37" s="1574">
        <f t="shared" si="12"/>
        <v>100</v>
      </c>
      <c r="X37" s="1567"/>
      <c r="Y37" s="3402"/>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2"/>
      <c r="Q38" s="1572" t="str">
        <f t="shared" si="14"/>
        <v>宗地开发程度</v>
      </c>
      <c r="R38" s="1568" t="s">
        <v>8</v>
      </c>
      <c r="S38" s="1569">
        <f t="shared" si="10"/>
        <v>100</v>
      </c>
      <c r="T38" s="1568" t="s">
        <v>8</v>
      </c>
      <c r="U38" s="1569">
        <f t="shared" si="11"/>
        <v>100</v>
      </c>
      <c r="V38" s="1568" t="s">
        <v>8</v>
      </c>
      <c r="W38" s="1569">
        <f t="shared" si="12"/>
        <v>100</v>
      </c>
      <c r="X38" s="1570"/>
      <c r="Y38" s="3402"/>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t="s">
        <v>601</v>
      </c>
      <c r="Q39" s="1572" t="str">
        <f t="shared" si="14"/>
        <v>工程地质条件</v>
      </c>
      <c r="R39" s="1573" t="s">
        <v>8</v>
      </c>
      <c r="S39" s="1574">
        <f t="shared" si="10"/>
        <v>100</v>
      </c>
      <c r="T39" s="1573" t="s">
        <v>8</v>
      </c>
      <c r="U39" s="1574">
        <f t="shared" si="11"/>
        <v>100</v>
      </c>
      <c r="V39" s="1573" t="s">
        <v>8</v>
      </c>
      <c r="W39" s="1574">
        <f t="shared" si="12"/>
        <v>100</v>
      </c>
      <c r="X39" s="1567"/>
      <c r="Y39" s="340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2"/>
      <c r="Q40" s="1572">
        <f t="shared" si="14"/>
        <v>111</v>
      </c>
      <c r="R40" s="1573" t="s">
        <v>8</v>
      </c>
      <c r="S40" s="1574">
        <f t="shared" si="10"/>
        <v>100</v>
      </c>
      <c r="T40" s="1573" t="s">
        <v>8</v>
      </c>
      <c r="U40" s="1574">
        <f t="shared" si="11"/>
        <v>100</v>
      </c>
      <c r="V40" s="1573" t="s">
        <v>8</v>
      </c>
      <c r="W40" s="1574">
        <f t="shared" si="12"/>
        <v>100</v>
      </c>
      <c r="X40" s="1567"/>
      <c r="Y40" s="340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2"/>
      <c r="Q41" s="1572">
        <f t="shared" si="14"/>
        <v>111</v>
      </c>
      <c r="R41" s="1573" t="s">
        <v>8</v>
      </c>
      <c r="S41" s="1574">
        <f t="shared" si="10"/>
        <v>100</v>
      </c>
      <c r="T41" s="1573" t="s">
        <v>8</v>
      </c>
      <c r="U41" s="1574">
        <f t="shared" si="11"/>
        <v>100</v>
      </c>
      <c r="V41" s="1573" t="s">
        <v>8</v>
      </c>
      <c r="W41" s="1574">
        <f t="shared" si="12"/>
        <v>100</v>
      </c>
      <c r="X41" s="1567"/>
      <c r="Y41" s="340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2"/>
      <c r="Q42" s="1572">
        <f t="shared" si="14"/>
        <v>111</v>
      </c>
      <c r="R42" s="1577" t="s">
        <v>8</v>
      </c>
      <c r="S42" s="1578">
        <f t="shared" si="10"/>
        <v>100</v>
      </c>
      <c r="T42" s="1577" t="s">
        <v>8</v>
      </c>
      <c r="U42" s="1578">
        <f t="shared" si="11"/>
        <v>100</v>
      </c>
      <c r="V42" s="1577" t="s">
        <v>8</v>
      </c>
      <c r="W42" s="1578">
        <f t="shared" si="12"/>
        <v>100</v>
      </c>
      <c r="X42" s="1579"/>
      <c r="Y42" s="3402"/>
      <c r="Z42" s="1580">
        <f t="shared" si="13"/>
        <v>111</v>
      </c>
      <c r="AA42" s="1576">
        <f t="shared" si="3"/>
        <v>1</v>
      </c>
      <c r="AB42" s="1576">
        <f t="shared" si="4"/>
        <v>1</v>
      </c>
      <c r="AC42" s="1576">
        <f t="shared" si="5"/>
        <v>1</v>
      </c>
    </row>
    <row r="43" spans="1:29" ht="15">
      <c r="A43" s="607" t="s">
        <v>556</v>
      </c>
      <c r="B43" s="608" t="s">
        <v>2936</v>
      </c>
      <c r="C43" s="609" t="s">
        <v>1</v>
      </c>
      <c r="D43" s="610"/>
      <c r="E43" s="611"/>
      <c r="F43" s="612"/>
      <c r="G43" s="613"/>
      <c r="H43" s="614"/>
      <c r="I43" s="611"/>
      <c r="J43" s="614"/>
      <c r="K43" s="1340"/>
      <c r="L43" s="2145"/>
      <c r="M43" s="2135"/>
      <c r="N43" s="2135"/>
      <c r="O43" s="2146"/>
      <c r="P43" s="3397" t="str">
        <f>A43</f>
        <v>成交单价</v>
      </c>
      <c r="Q43" s="3397"/>
      <c r="R43" s="3411">
        <f>E43</f>
        <v>0</v>
      </c>
      <c r="S43" s="3411"/>
      <c r="T43" s="3411">
        <f>G43</f>
        <v>0</v>
      </c>
      <c r="U43" s="3411"/>
      <c r="V43" s="3411">
        <f>I43</f>
        <v>0</v>
      </c>
      <c r="W43" s="3411"/>
      <c r="X43" s="1559"/>
      <c r="Y43" s="1581"/>
      <c r="Z43" s="1559"/>
      <c r="AA43" s="1559"/>
      <c r="AB43" s="1559"/>
      <c r="AC43" s="1559"/>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397" t="str">
        <f>A44</f>
        <v>比较价格（元/平方米）</v>
      </c>
      <c r="Q44" s="3397"/>
      <c r="R44" s="3421" t="e">
        <f>ROUND(PRODUCT(R43,AA9:AA42),0)</f>
        <v>#DIV/0!</v>
      </c>
      <c r="S44" s="3421"/>
      <c r="T44" s="3421" t="e">
        <f>ROUND(PRODUCT(T43,AB9:AB42),0)</f>
        <v>#DIV/0!</v>
      </c>
      <c r="U44" s="3421"/>
      <c r="V44" s="3421" t="e">
        <f>ROUND(PRODUCT(V43,AC9:AC42),0)</f>
        <v>#DIV/0!</v>
      </c>
      <c r="W44" s="3421"/>
      <c r="X44" s="1559"/>
      <c r="Y44" s="1559"/>
      <c r="Z44" s="1559"/>
      <c r="AA44" s="1559"/>
      <c r="AB44" s="1559"/>
      <c r="AC44" s="1559"/>
    </row>
    <row r="45" spans="1:29" ht="15.75" thickBot="1">
      <c r="A45" s="621" t="s">
        <v>2937</v>
      </c>
      <c r="B45" s="622"/>
      <c r="C45" s="623" t="e">
        <f>R45</f>
        <v>#DIV/0!</v>
      </c>
      <c r="D45" s="623"/>
      <c r="E45" s="623"/>
      <c r="F45" s="623"/>
      <c r="G45" s="623"/>
      <c r="H45" s="623"/>
      <c r="I45" s="623"/>
      <c r="J45" s="623"/>
      <c r="K45" s="1342"/>
      <c r="L45" s="2145"/>
      <c r="M45" s="2135"/>
      <c r="N45" s="2135"/>
      <c r="O45" s="2146"/>
      <c r="P45" s="3418" t="str">
        <f>A45</f>
        <v>估价对象XX用房的比较价格（楼面单价，元/平方米）</v>
      </c>
      <c r="Q45" s="3419"/>
      <c r="R45" s="3420" t="e">
        <f>ROUND(AVERAGE(R44:V44),0)</f>
        <v>#DIV/0!</v>
      </c>
      <c r="S45" s="3420"/>
      <c r="T45" s="3420"/>
      <c r="U45" s="3420"/>
      <c r="V45" s="3420"/>
      <c r="W45" s="342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22" t="s">
        <v>2287</v>
      </c>
      <c r="H52" s="3423"/>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160160.98000000001</v>
      </c>
      <c r="F53" s="1951" t="e">
        <f t="shared" ref="F53:F62" si="15">ROUND(B53*E53/10000,0)</f>
        <v>#DIV/0!</v>
      </c>
      <c r="G53" s="3424"/>
      <c r="H53" s="342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6"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36548.259999999995</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118010.9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2535</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2651</v>
      </c>
      <c r="B68" s="479" t="str">
        <f>"北京市平均增长率"&amp;TEXT(基准地价!P24,"0.00%")</f>
        <v>北京市平均增长率0.00%</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6" t="s">
        <v>2764</v>
      </c>
      <c r="S1" s="2936" t="s">
        <v>2765</v>
      </c>
      <c r="T1" s="2936" t="s">
        <v>2786</v>
      </c>
      <c r="U1" s="2936" t="s">
        <v>2787</v>
      </c>
      <c r="V1" s="2936" t="s">
        <v>2788</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2938</v>
      </c>
      <c r="G3" s="1039">
        <f>IF(F3="宗地容积率",'数据-汇总表'!I4,IF(F3="估价对象容积率",'数据-汇总表'!I6,'数据-汇总表'!I7))</f>
        <v>1.49</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0">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434"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1.49</v>
      </c>
      <c r="AA7" s="2193"/>
      <c r="AB7" s="2193"/>
      <c r="AC7" s="2194"/>
      <c r="AD7" s="2929"/>
      <c r="AE7" s="2929"/>
      <c r="AF7" s="2929"/>
      <c r="AG7" s="2929"/>
      <c r="AH7" s="2929"/>
      <c r="AI7" s="2929"/>
      <c r="AJ7" s="2930"/>
    </row>
    <row r="8" spans="1:39" ht="15">
      <c r="A8" s="3435"/>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444" t="s">
        <v>2785</v>
      </c>
      <c r="X8" s="3445"/>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35"/>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443" t="s">
        <v>2781</v>
      </c>
      <c r="X9" s="2931" t="s">
        <v>2782</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5"/>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44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5"/>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443" t="s">
        <v>2783</v>
      </c>
      <c r="X11" s="1048" t="s">
        <v>2768</v>
      </c>
      <c r="Y11" s="1653">
        <f>$G$3</f>
        <v>1.49</v>
      </c>
      <c r="Z11" s="1653">
        <f t="shared" ref="Z11:AJ11" si="3">$G$3</f>
        <v>1.49</v>
      </c>
      <c r="AA11" s="1653">
        <f t="shared" si="3"/>
        <v>1.49</v>
      </c>
      <c r="AB11" s="1653">
        <f t="shared" si="3"/>
        <v>1.49</v>
      </c>
      <c r="AC11" s="1653">
        <f t="shared" si="3"/>
        <v>1.49</v>
      </c>
      <c r="AD11" s="1653">
        <f t="shared" si="3"/>
        <v>1.49</v>
      </c>
      <c r="AE11" s="1653">
        <f t="shared" si="3"/>
        <v>1.49</v>
      </c>
      <c r="AF11" s="1653">
        <f t="shared" si="3"/>
        <v>1.49</v>
      </c>
      <c r="AG11" s="1653">
        <f t="shared" si="3"/>
        <v>1.49</v>
      </c>
      <c r="AH11" s="1653">
        <f t="shared" si="3"/>
        <v>1.49</v>
      </c>
      <c r="AI11" s="1653">
        <f t="shared" si="3"/>
        <v>1.49</v>
      </c>
      <c r="AJ11" s="1653">
        <f t="shared" si="3"/>
        <v>1.49</v>
      </c>
    </row>
    <row r="12" spans="1:39" ht="25.5" thickBot="1">
      <c r="A12" s="3434"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443"/>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6"/>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7">
        <v>12</v>
      </c>
      <c r="S13" s="2926"/>
      <c r="T13" s="2937" t="e">
        <f t="shared" si="0"/>
        <v>#DIV/0!</v>
      </c>
      <c r="U13" s="2926"/>
      <c r="V13" s="2937" t="e">
        <f t="shared" si="1"/>
        <v>#DIV/0!</v>
      </c>
      <c r="W13" s="3443"/>
      <c r="X13" s="2934"/>
      <c r="Y13" s="2933">
        <f>(-0.163*(Y12^2)-0.59*Y12+7617)*(10^(-4))/Y11</f>
        <v>0.5112080536912752</v>
      </c>
      <c r="Z13" s="2933">
        <f t="shared" ref="Z13:AJ13" si="5">(-0.163*(Z12^2)-0.59*Z12+7617)*(10^(-4))/Z11</f>
        <v>0.5112080536912752</v>
      </c>
      <c r="AA13" s="2933">
        <f t="shared" si="5"/>
        <v>0.5112080536912752</v>
      </c>
      <c r="AB13" s="2933">
        <f t="shared" si="5"/>
        <v>0.5112080536912752</v>
      </c>
      <c r="AC13" s="2933">
        <f t="shared" si="5"/>
        <v>0.5112080536912752</v>
      </c>
      <c r="AD13" s="2933">
        <f t="shared" si="5"/>
        <v>0.5112080536912752</v>
      </c>
      <c r="AE13" s="2933">
        <f t="shared" si="5"/>
        <v>0.5112080536912752</v>
      </c>
      <c r="AF13" s="2933">
        <f t="shared" si="5"/>
        <v>0.5112080536912752</v>
      </c>
      <c r="AG13" s="2933">
        <f t="shared" si="5"/>
        <v>0.5112080536912752</v>
      </c>
      <c r="AH13" s="2933">
        <f t="shared" si="5"/>
        <v>0.5112080536912752</v>
      </c>
      <c r="AI13" s="2933">
        <f t="shared" si="5"/>
        <v>0.5112080536912752</v>
      </c>
      <c r="AJ13" s="2933">
        <f t="shared" si="5"/>
        <v>0.5112080536912752</v>
      </c>
    </row>
    <row r="14" spans="1:39" ht="12.75" customHeight="1" thickBot="1">
      <c r="A14" s="3436"/>
      <c r="B14" s="1451"/>
      <c r="C14" s="1452"/>
      <c r="D14" s="1453"/>
      <c r="E14" s="1453"/>
      <c r="F14" s="1454"/>
      <c r="G14" s="1455" t="s">
        <v>949</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437"/>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7">
        <v>14</v>
      </c>
      <c r="S15" s="2926"/>
      <c r="T15" s="2937" t="e">
        <f t="shared" si="0"/>
        <v>#DIV/0!</v>
      </c>
      <c r="U15" s="2926"/>
      <c r="V15" s="2937" t="e">
        <f t="shared" si="1"/>
        <v>#DIV/0!</v>
      </c>
      <c r="W15" s="2190"/>
      <c r="X15" s="2190"/>
      <c r="Y15" s="2190"/>
      <c r="Z15" s="2190"/>
      <c r="AA15" s="2190"/>
      <c r="AB15" s="2190"/>
      <c r="AC15" s="2191"/>
    </row>
    <row r="16" spans="1:39" ht="24">
      <c r="A16" s="3434"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435"/>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43402</v>
      </c>
      <c r="H19" s="1475" t="s">
        <v>2939</v>
      </c>
      <c r="I19" s="2785" t="str">
        <f>IF(H19="季度增幅（自定义）",SUMIF(N21:N24,E2,O21:O24),"")</f>
        <v/>
      </c>
      <c r="J19" s="1471"/>
      <c r="K19" s="1481"/>
      <c r="L19" s="3040" t="s">
        <v>2843</v>
      </c>
      <c r="M19" s="3041">
        <f>ROUND(SUMIF(地价!B2:F2,E2,地价!B23:F23),0)</f>
        <v>0</v>
      </c>
      <c r="N19" s="2787" t="s">
        <v>1677</v>
      </c>
      <c r="O19" s="2786">
        <f>ROUNDDOWN(DATEDIF(E19,G19,"M")/3,0)</f>
        <v>19</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5">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2" t="s">
        <v>2844</v>
      </c>
      <c r="M20" s="3043">
        <f>ROUND(SUMPRODUCT((地价!A4:A23=YEAR(G19)&amp;"-"&amp;ROUNDUP(MONTH(G19)/3,0))*(地价!B2:F2=E2)*(地价!B4:F23)),0)</f>
        <v>0</v>
      </c>
      <c r="N20" s="2790" t="s">
        <v>2647</v>
      </c>
      <c r="O20" s="2788" t="s">
        <v>2646</v>
      </c>
      <c r="P20" s="2789" t="s">
        <v>2652</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1838</v>
      </c>
      <c r="B21" s="1480" t="s">
        <v>2763</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0</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0</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0</v>
      </c>
      <c r="R23" s="2925"/>
      <c r="S23" s="2925"/>
      <c r="T23" s="2925"/>
      <c r="U23" s="2925"/>
      <c r="V23" s="2925"/>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0</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2650</v>
      </c>
      <c r="O25" s="2196"/>
      <c r="P25" s="1541">
        <f>SUMPRODUCT((地价!A3:A23=YEAR(G19)&amp;"-"&amp;ROUNDUP(MONTH(G19)/3,0))*(地价!AD2:AH2=N25)*(地价!AD3:AH23))</f>
        <v>0</v>
      </c>
      <c r="R25" s="2925"/>
      <c r="S25" s="2925"/>
      <c r="T25" s="2925"/>
      <c r="U25" s="2925"/>
      <c r="V25" s="2925"/>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0" t="s">
        <v>2965</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1"/>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1"/>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2"/>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72">
      <c r="A48" s="1067" t="s">
        <v>1022</v>
      </c>
      <c r="B48" s="2409" t="str">
        <f>估价对象房地状况!C18</f>
        <v>估价对象临中央大道，有山深线等道路、公共交通通达情况较好，有156路、710路等公交线路、停车便捷程度较好，综合评价交通便捷度较好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7"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6"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72">
      <c r="A59" s="1067" t="s">
        <v>1022</v>
      </c>
      <c r="B59" s="2409" t="str">
        <f>估价对象房地状况!C18</f>
        <v>估价对象临中央大道，有山深线等道路、公共交通通达情况较好，有156路、710路等公交线路、停车便捷程度较好，综合评价交通便捷度较好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7" t="s">
        <v>2942</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6"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72">
      <c r="A69" s="1067" t="s">
        <v>1033</v>
      </c>
      <c r="B69" s="2412" t="str">
        <f>估价对象房地状况!C15</f>
        <v>估价对象周边有中惠·团泊湖光耀城、泊湖林奇郡等社区，居住小区规模和社区发展完善程度较好，综合评价居住社区成熟度较好</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72">
      <c r="A70" s="1067" t="s">
        <v>1034</v>
      </c>
      <c r="B70" s="2409" t="str">
        <f>估价对象房地状况!C18</f>
        <v>估价对象临中央大道，有山深线等道路、公共交通通达情况较好，有156路、710路等公交线路、停车便捷程度较好，综合评价交通便捷度较好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6"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6"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38" t="s">
        <v>1634</v>
      </c>
      <c r="B90" s="3438"/>
      <c r="C90" s="3438"/>
      <c r="D90" s="3438"/>
      <c r="E90" s="3438"/>
      <c r="F90" s="3438"/>
      <c r="G90" s="3438"/>
      <c r="H90" s="3438"/>
      <c r="I90" s="3438"/>
      <c r="J90" s="3438"/>
      <c r="K90" s="2451"/>
      <c r="L90" s="2451"/>
      <c r="M90" s="2451"/>
      <c r="N90" s="2451"/>
    </row>
    <row r="91" spans="1:40">
      <c r="A91" s="3439" t="s">
        <v>1444</v>
      </c>
      <c r="B91" s="3439" t="s">
        <v>1635</v>
      </c>
      <c r="C91" s="1140" t="s">
        <v>1636</v>
      </c>
      <c r="D91" s="1141"/>
      <c r="E91" s="1141"/>
      <c r="F91" s="1141"/>
      <c r="G91" s="1141"/>
      <c r="H91" s="1141"/>
      <c r="I91" s="1141"/>
      <c r="J91" s="1142"/>
      <c r="K91" s="1134"/>
      <c r="L91" s="1134"/>
      <c r="M91" s="1134"/>
      <c r="N91" s="1134"/>
    </row>
    <row r="92" spans="1:40">
      <c r="A92" s="3439"/>
      <c r="B92" s="3439"/>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46"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6" t="s">
        <v>1638</v>
      </c>
      <c r="B101" s="1147" t="s">
        <v>906</v>
      </c>
      <c r="C101" s="1148">
        <f>$G$3</f>
        <v>1.49</v>
      </c>
      <c r="D101" s="1148">
        <f t="shared" ref="D101:N101" si="31">$G$3</f>
        <v>1.49</v>
      </c>
      <c r="E101" s="1148">
        <f t="shared" si="31"/>
        <v>1.49</v>
      </c>
      <c r="F101" s="1148">
        <f t="shared" si="31"/>
        <v>1.49</v>
      </c>
      <c r="G101" s="1148">
        <f t="shared" si="31"/>
        <v>1.49</v>
      </c>
      <c r="H101" s="1148">
        <f t="shared" si="31"/>
        <v>1.49</v>
      </c>
      <c r="I101" s="1148">
        <f t="shared" si="31"/>
        <v>1.49</v>
      </c>
      <c r="J101" s="1148">
        <f t="shared" si="31"/>
        <v>1.49</v>
      </c>
      <c r="K101" s="1148">
        <f t="shared" si="31"/>
        <v>1.49</v>
      </c>
      <c r="L101" s="1148">
        <f t="shared" si="31"/>
        <v>1.49</v>
      </c>
      <c r="M101" s="1148">
        <f t="shared" si="31"/>
        <v>1.49</v>
      </c>
      <c r="N101" s="1148">
        <f t="shared" si="31"/>
        <v>1.49</v>
      </c>
    </row>
    <row r="102" spans="1:14">
      <c r="A102" s="3447"/>
      <c r="B102" s="1143">
        <v>1</v>
      </c>
      <c r="C102" s="1144">
        <f>1.9362/C101</f>
        <v>1.2994630872483222</v>
      </c>
      <c r="D102" s="1144">
        <f>1.9362/D101</f>
        <v>1.2994630872483222</v>
      </c>
      <c r="E102" s="1144">
        <f>1.8629/E101</f>
        <v>1.2502684563758388</v>
      </c>
      <c r="F102" s="1144">
        <f>1.8629/F101</f>
        <v>1.2502684563758388</v>
      </c>
      <c r="G102" s="1144">
        <f>1.8629/G101</f>
        <v>1.2502684563758388</v>
      </c>
      <c r="H102" s="1144">
        <f>1.8629/H101</f>
        <v>1.2502684563758388</v>
      </c>
      <c r="I102" s="1144">
        <f>1.8629/I101</f>
        <v>1.2502684563758388</v>
      </c>
      <c r="J102" s="1144">
        <f>1.942/J101</f>
        <v>1.3033557046979865</v>
      </c>
      <c r="K102" s="1144">
        <f>1.942/K101</f>
        <v>1.3033557046979865</v>
      </c>
      <c r="L102" s="1144">
        <f>1.942/L101</f>
        <v>1.3033557046979865</v>
      </c>
      <c r="M102" s="1144">
        <f>1.942/M101</f>
        <v>1.3033557046979865</v>
      </c>
      <c r="N102" s="1144">
        <f>1.942/N101</f>
        <v>1.3033557046979865</v>
      </c>
    </row>
    <row r="103" spans="1:14">
      <c r="A103" s="3447"/>
      <c r="B103" s="1143">
        <v>2</v>
      </c>
      <c r="C103" s="1144">
        <f>1.4198/C101</f>
        <v>0.95288590604026846</v>
      </c>
      <c r="D103" s="1144">
        <f>1.4198/D101</f>
        <v>0.95288590604026846</v>
      </c>
      <c r="E103" s="1144">
        <f>1.3372/E101</f>
        <v>0.89744966442953011</v>
      </c>
      <c r="F103" s="1144">
        <f>1.3372/F101</f>
        <v>0.89744966442953011</v>
      </c>
      <c r="G103" s="1144">
        <f>1.3372/G101</f>
        <v>0.89744966442953011</v>
      </c>
      <c r="H103" s="1144">
        <f>1.3372/H101</f>
        <v>0.89744966442953011</v>
      </c>
      <c r="I103" s="1144">
        <f>1.3372/I101</f>
        <v>0.89744966442953011</v>
      </c>
      <c r="J103" s="1144">
        <f>1.2799/J101</f>
        <v>0.85899328859060409</v>
      </c>
      <c r="K103" s="1144">
        <f>1.2799/K101</f>
        <v>0.85899328859060409</v>
      </c>
      <c r="L103" s="1144">
        <f>1.2799/L101</f>
        <v>0.85899328859060409</v>
      </c>
      <c r="M103" s="1144">
        <f>1.2799/M101</f>
        <v>0.85899328859060409</v>
      </c>
      <c r="N103" s="1144">
        <f>1.2799/N101</f>
        <v>0.85899328859060409</v>
      </c>
    </row>
    <row r="104" spans="1:14">
      <c r="A104" s="3447"/>
      <c r="B104" s="1143">
        <v>3</v>
      </c>
      <c r="C104" s="1144">
        <f>1.1594/C101</f>
        <v>0.77812080536912753</v>
      </c>
      <c r="D104" s="1144">
        <f>1.1594/D101</f>
        <v>0.77812080536912753</v>
      </c>
      <c r="E104" s="1144">
        <f>1.0788/E101</f>
        <v>0.7240268456375839</v>
      </c>
      <c r="F104" s="1144">
        <f>1.0788/F101</f>
        <v>0.7240268456375839</v>
      </c>
      <c r="G104" s="1144">
        <f>1.0788/G101</f>
        <v>0.7240268456375839</v>
      </c>
      <c r="H104" s="1144">
        <f>1.0788/H101</f>
        <v>0.7240268456375839</v>
      </c>
      <c r="I104" s="1144">
        <f>1.0788/I101</f>
        <v>0.7240268456375839</v>
      </c>
      <c r="J104" s="1144">
        <f>1.0072/J101</f>
        <v>0.67597315436241623</v>
      </c>
      <c r="K104" s="1144">
        <f>1.0072/K101</f>
        <v>0.67597315436241623</v>
      </c>
      <c r="L104" s="1144">
        <f>1.0072/L101</f>
        <v>0.67597315436241623</v>
      </c>
      <c r="M104" s="1144">
        <f>1.0072/M101</f>
        <v>0.67597315436241623</v>
      </c>
      <c r="N104" s="1144">
        <f>1.0072/N101</f>
        <v>0.67597315436241623</v>
      </c>
    </row>
    <row r="105" spans="1:14">
      <c r="A105" s="3447"/>
      <c r="B105" s="1143">
        <v>4</v>
      </c>
      <c r="C105" s="1144">
        <f>0.9622/C101</f>
        <v>0.64577181208053691</v>
      </c>
      <c r="D105" s="1144">
        <f>0.9622/D101</f>
        <v>0.64577181208053691</v>
      </c>
      <c r="E105" s="1144">
        <f>0.8656/E101</f>
        <v>0.58093959731543632</v>
      </c>
      <c r="F105" s="1144">
        <f>0.8656/F101</f>
        <v>0.58093959731543632</v>
      </c>
      <c r="G105" s="1144">
        <f>0.8656/G101</f>
        <v>0.58093959731543632</v>
      </c>
      <c r="H105" s="1144">
        <f>0.8656/H101</f>
        <v>0.58093959731543632</v>
      </c>
      <c r="I105" s="1144">
        <f>0.8656/I101</f>
        <v>0.58093959731543632</v>
      </c>
      <c r="J105" s="1144">
        <f>0.7525/J101</f>
        <v>0.50503355704697983</v>
      </c>
      <c r="K105" s="1144">
        <f>0.7525/K101</f>
        <v>0.50503355704697983</v>
      </c>
      <c r="L105" s="1144">
        <f>0.7525/L101</f>
        <v>0.50503355704697983</v>
      </c>
      <c r="M105" s="1144">
        <f>0.7525/M101</f>
        <v>0.50503355704697983</v>
      </c>
      <c r="N105" s="1144">
        <f>0.7525/N101</f>
        <v>0.50503355704697983</v>
      </c>
    </row>
    <row r="106" spans="1:14">
      <c r="A106" s="3447"/>
      <c r="B106" s="1143">
        <v>5</v>
      </c>
      <c r="C106" s="1144">
        <f>0.8417/C101</f>
        <v>0.56489932885906036</v>
      </c>
      <c r="D106" s="1144">
        <f>0.8417/D101</f>
        <v>0.56489932885906036</v>
      </c>
      <c r="E106" s="1144">
        <f>0.7371/E101</f>
        <v>0.49469798657718117</v>
      </c>
      <c r="F106" s="1144">
        <f>0.7371/F101</f>
        <v>0.49469798657718117</v>
      </c>
      <c r="G106" s="1144">
        <f>0.7371/G101</f>
        <v>0.49469798657718117</v>
      </c>
      <c r="H106" s="1144">
        <f>0.7371/H101</f>
        <v>0.49469798657718117</v>
      </c>
      <c r="I106" s="1144">
        <f>0.7371/I101</f>
        <v>0.49469798657718117</v>
      </c>
      <c r="J106" s="1144">
        <f>0.5659/J101</f>
        <v>0.37979865771812077</v>
      </c>
      <c r="K106" s="1144">
        <f>0.5659/K101</f>
        <v>0.37979865771812077</v>
      </c>
      <c r="L106" s="1144">
        <f>0.5659/L101</f>
        <v>0.37979865771812077</v>
      </c>
      <c r="M106" s="1144">
        <f>0.5659/M101</f>
        <v>0.37979865771812077</v>
      </c>
      <c r="N106" s="1144">
        <f>0.5659/N101</f>
        <v>0.37979865771812077</v>
      </c>
    </row>
    <row r="107" spans="1:14">
      <c r="A107" s="3447"/>
      <c r="B107" s="1143">
        <v>6</v>
      </c>
      <c r="C107" s="1144">
        <f>0.7608/C101</f>
        <v>0.51060402684563766</v>
      </c>
      <c r="D107" s="1144">
        <f>0.7608/D101</f>
        <v>0.51060402684563766</v>
      </c>
      <c r="E107" s="1144">
        <f>0.6482/E101</f>
        <v>0.43503355704697988</v>
      </c>
      <c r="F107" s="1144">
        <f>0.6482/F101</f>
        <v>0.43503355704697988</v>
      </c>
      <c r="G107" s="1144">
        <f>0.6482/G101</f>
        <v>0.43503355704697988</v>
      </c>
      <c r="H107" s="1144">
        <f>0.6482/H101</f>
        <v>0.43503355704697988</v>
      </c>
      <c r="I107" s="1144">
        <f>0.6482/I101</f>
        <v>0.43503355704697988</v>
      </c>
      <c r="J107" s="1144">
        <f>0.4525/J101</f>
        <v>0.30369127516778527</v>
      </c>
      <c r="K107" s="1144">
        <f>0.4525/K101</f>
        <v>0.30369127516778527</v>
      </c>
      <c r="L107" s="1144">
        <f>0.4525/L101</f>
        <v>0.30369127516778527</v>
      </c>
      <c r="M107" s="1144">
        <f>0.4525/M101</f>
        <v>0.30369127516778527</v>
      </c>
      <c r="N107" s="1144">
        <f>0.4525/N101</f>
        <v>0.30369127516778527</v>
      </c>
    </row>
    <row r="108" spans="1:14">
      <c r="A108" s="3447"/>
      <c r="B108" s="344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8"/>
      <c r="B109" s="3450"/>
      <c r="C109" s="1146">
        <f>(-0.163*(C108^2)-0.59*C108+7617)*(10^(-4))/C101</f>
        <v>0.51019114093959728</v>
      </c>
      <c r="D109" s="1146">
        <f>(-0.163*(D108^2)-0.59*D108+7617)*(10^(-4))/D101</f>
        <v>0.51019114093959728</v>
      </c>
      <c r="E109" s="1146">
        <f>(-0.161*(E108^2)-7.509*E108+6533)*(10^(-4))/E101</f>
        <v>0.43373315436241611</v>
      </c>
      <c r="F109" s="1146">
        <f>(-0.161*(F108^2)-7.509*F108+6533)*(10^(-4))/F101</f>
        <v>0.43373315436241611</v>
      </c>
      <c r="G109" s="1146">
        <f>(-0.161*(G108^2)-7.509*G108+6533)*(10^(-4))/G101</f>
        <v>0.43373315436241611</v>
      </c>
      <c r="H109" s="1146">
        <f>(-0.161*(H108^2)-7.509*H108+6533)*(10^(-4))/H101</f>
        <v>0.43373315436241611</v>
      </c>
      <c r="I109" s="1146">
        <f>(-0.161*(I108^2)-7.509*I108+6533)*(10^(-4))/I101</f>
        <v>0.43373315436241611</v>
      </c>
      <c r="J109" s="1146">
        <f>(-0.214*(J108^2)-21.991*J108+4665)*(10^(-4))/J101</f>
        <v>0.30036080536912751</v>
      </c>
      <c r="K109" s="1146">
        <f>(-0.214*(K108^2)-21.991*K108+4665)*(10^(-4))/K101</f>
        <v>0.30036080536912751</v>
      </c>
      <c r="L109" s="1146">
        <f>(-0.214*(L108^2)-21.991*L108+4665)*(10^(-4))/L101</f>
        <v>0.30036080536912751</v>
      </c>
      <c r="M109" s="1146">
        <f>(-0.214*(M108^2)-21.991*M108+4665)*(10^(-4))/M101</f>
        <v>0.30036080536912751</v>
      </c>
      <c r="N109" s="1146">
        <f>(-0.214*(N108^2)-21.991*N108+4665)*(10^(-4))/N101</f>
        <v>0.30036080536912751</v>
      </c>
    </row>
    <row r="110" spans="1:14">
      <c r="A110" s="3433" t="s">
        <v>1640</v>
      </c>
      <c r="B110" s="3433"/>
      <c r="C110" s="3433"/>
      <c r="D110" s="3433"/>
      <c r="E110" s="3433"/>
      <c r="F110" s="3433"/>
      <c r="G110" s="3433"/>
      <c r="H110" s="3433"/>
      <c r="I110" s="3433"/>
      <c r="J110" s="3433"/>
      <c r="K110" s="2449"/>
      <c r="L110" s="2449"/>
      <c r="M110" s="2449"/>
      <c r="N110" s="2449"/>
    </row>
    <row r="112" spans="1:14" ht="12.75" thickBot="1"/>
    <row r="113" spans="1:13" ht="25.5" thickBot="1">
      <c r="A113" s="1016" t="s">
        <v>896</v>
      </c>
      <c r="B113" s="2452">
        <f>G3</f>
        <v>1.49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0.91949999999999998</v>
      </c>
      <c r="C115" s="1030">
        <f>B115</f>
        <v>0.91949999999999998</v>
      </c>
      <c r="D115" s="1030">
        <f>ROUND(0.8331-0.0109*B113,4)</f>
        <v>0.81689999999999996</v>
      </c>
      <c r="E115" s="1030">
        <f>D115</f>
        <v>0.81689999999999996</v>
      </c>
      <c r="F115" s="1030">
        <f>E115</f>
        <v>0.81689999999999996</v>
      </c>
      <c r="G115" s="1030">
        <f>F115</f>
        <v>0.81689999999999996</v>
      </c>
      <c r="H115" s="1030">
        <f>G115</f>
        <v>0.81689999999999996</v>
      </c>
      <c r="I115" s="1030">
        <f>ROUND(0.689-0.0155*B113,4)</f>
        <v>0.66590000000000005</v>
      </c>
      <c r="J115" s="1030">
        <f t="shared" ref="J115:M118" si="33">I115</f>
        <v>0.66590000000000005</v>
      </c>
      <c r="K115" s="1030">
        <f t="shared" si="33"/>
        <v>0.66590000000000005</v>
      </c>
      <c r="L115" s="1030">
        <f t="shared" si="33"/>
        <v>0.66590000000000005</v>
      </c>
      <c r="M115" s="1031">
        <f t="shared" si="33"/>
        <v>0.66590000000000005</v>
      </c>
    </row>
    <row r="116" spans="1:13" ht="12.75">
      <c r="A116" s="1029" t="s">
        <v>901</v>
      </c>
      <c r="B116" s="1030">
        <f>ROUND(0.949-0.012*B113,4)</f>
        <v>0.93110000000000004</v>
      </c>
      <c r="C116" s="1030">
        <f>B116</f>
        <v>0.93110000000000004</v>
      </c>
      <c r="D116" s="1030">
        <f>ROUND(0.8567-0.013*B113,4)</f>
        <v>0.83730000000000004</v>
      </c>
      <c r="E116" s="1030">
        <f t="shared" ref="E116:H117" si="34">D116</f>
        <v>0.83730000000000004</v>
      </c>
      <c r="F116" s="1030">
        <f t="shared" si="34"/>
        <v>0.83730000000000004</v>
      </c>
      <c r="G116" s="1030">
        <f t="shared" si="34"/>
        <v>0.83730000000000004</v>
      </c>
      <c r="H116" s="1030">
        <f t="shared" si="34"/>
        <v>0.83730000000000004</v>
      </c>
      <c r="I116" s="1030">
        <f>ROUND(0.7694-0.014*B113,4)</f>
        <v>0.74850000000000005</v>
      </c>
      <c r="J116" s="1030">
        <f t="shared" si="33"/>
        <v>0.74850000000000005</v>
      </c>
      <c r="K116" s="1030">
        <f t="shared" si="33"/>
        <v>0.74850000000000005</v>
      </c>
      <c r="L116" s="1030">
        <f t="shared" si="33"/>
        <v>0.74850000000000005</v>
      </c>
      <c r="M116" s="1031">
        <f t="shared" si="33"/>
        <v>0.74850000000000005</v>
      </c>
    </row>
    <row r="117" spans="1:13" ht="12.75">
      <c r="A117" s="1032" t="s">
        <v>902</v>
      </c>
      <c r="B117" s="1030">
        <f>ROUND(0.8808-0.006*B113,4)</f>
        <v>0.87190000000000001</v>
      </c>
      <c r="C117" s="1030">
        <f>B117</f>
        <v>0.87190000000000001</v>
      </c>
      <c r="D117" s="1030">
        <f>ROUND(0.8748-0.008*B113,4)</f>
        <v>0.8629</v>
      </c>
      <c r="E117" s="1030">
        <f t="shared" si="34"/>
        <v>0.8629</v>
      </c>
      <c r="F117" s="1030">
        <f t="shared" si="34"/>
        <v>0.8629</v>
      </c>
      <c r="G117" s="1030">
        <f t="shared" si="34"/>
        <v>0.8629</v>
      </c>
      <c r="H117" s="1030">
        <f t="shared" si="34"/>
        <v>0.8629</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903</v>
      </c>
      <c r="B118" s="1034">
        <f>ROUND(0.7275-0.01*B113,4)</f>
        <v>0.71260000000000001</v>
      </c>
      <c r="C118" s="1034">
        <f>B118</f>
        <v>0.71260000000000001</v>
      </c>
      <c r="D118" s="1034">
        <f>ROUND(0.7043-0.012*B113,4)</f>
        <v>0.68640000000000001</v>
      </c>
      <c r="E118" s="1034">
        <f>D118</f>
        <v>0.68640000000000001</v>
      </c>
      <c r="F118" s="1034">
        <f>E118</f>
        <v>0.68640000000000001</v>
      </c>
      <c r="G118" s="1034">
        <f>ROUND(0.6299-0.0122*B113,4)</f>
        <v>0.61170000000000002</v>
      </c>
      <c r="H118" s="1034">
        <f>G118</f>
        <v>0.61170000000000002</v>
      </c>
      <c r="I118" s="1034">
        <f>ROUND(0.5667-0.0136*B113,4)</f>
        <v>0.5464</v>
      </c>
      <c r="J118" s="1034">
        <f t="shared" si="33"/>
        <v>0.5464</v>
      </c>
      <c r="K118" s="1034">
        <f t="shared" si="33"/>
        <v>0.5464</v>
      </c>
      <c r="L118" s="1034">
        <f t="shared" si="33"/>
        <v>0.5464</v>
      </c>
      <c r="M118" s="1035">
        <f t="shared" si="33"/>
        <v>0.5464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9" t="s">
        <v>1008</v>
      </c>
      <c r="B18" s="1154" t="s">
        <v>1447</v>
      </c>
      <c r="C18" s="1131" t="s">
        <v>1448</v>
      </c>
      <c r="D18" s="1132"/>
      <c r="E18" s="1154">
        <v>1</v>
      </c>
      <c r="F18" s="1133" t="s">
        <v>1449</v>
      </c>
      <c r="G18" s="1134"/>
      <c r="H18" s="1105"/>
      <c r="I18" s="1105"/>
    </row>
    <row r="19" spans="1:9" s="1599" customFormat="1" ht="19.5" customHeight="1">
      <c r="A19" s="3439"/>
      <c r="B19" s="3439" t="s">
        <v>1450</v>
      </c>
      <c r="C19" s="1131" t="s">
        <v>1451</v>
      </c>
      <c r="D19" s="1132"/>
      <c r="E19" s="1154">
        <v>0.9</v>
      </c>
      <c r="F19" s="1133" t="s">
        <v>1452</v>
      </c>
      <c r="G19" s="1134"/>
      <c r="H19" s="1105"/>
      <c r="I19" s="1105"/>
    </row>
    <row r="20" spans="1:9" s="1599" customFormat="1" ht="19.5" customHeight="1">
      <c r="A20" s="3439"/>
      <c r="B20" s="3439"/>
      <c r="C20" s="1131" t="s">
        <v>1453</v>
      </c>
      <c r="D20" s="1132"/>
      <c r="E20" s="1154">
        <v>1.1000000000000001</v>
      </c>
      <c r="F20" s="1133" t="s">
        <v>1454</v>
      </c>
      <c r="G20" s="1134"/>
      <c r="H20" s="1105"/>
      <c r="I20" s="1105"/>
    </row>
    <row r="21" spans="1:9" s="1599" customFormat="1" ht="19.5" customHeight="1">
      <c r="A21" s="3439"/>
      <c r="B21" s="3439"/>
      <c r="C21" s="1131" t="s">
        <v>1455</v>
      </c>
      <c r="D21" s="1132"/>
      <c r="E21" s="1154">
        <v>0.8</v>
      </c>
      <c r="F21" s="1133" t="s">
        <v>1456</v>
      </c>
      <c r="G21" s="1134"/>
      <c r="H21" s="1105"/>
      <c r="I21" s="1105"/>
    </row>
    <row r="22" spans="1:9" s="1599" customFormat="1" ht="19.5" customHeight="1">
      <c r="A22" s="3439"/>
      <c r="B22" s="3439"/>
      <c r="C22" s="1131" t="s">
        <v>1457</v>
      </c>
      <c r="D22" s="1132"/>
      <c r="E22" s="1154">
        <v>0.5</v>
      </c>
      <c r="F22" s="1133"/>
      <c r="G22" s="1134"/>
      <c r="H22" s="1105"/>
      <c r="I22" s="1105"/>
    </row>
    <row r="23" spans="1:9" s="1599" customFormat="1" ht="19.5" customHeight="1">
      <c r="A23" s="3439" t="s">
        <v>1030</v>
      </c>
      <c r="B23" s="1154" t="s">
        <v>1447</v>
      </c>
      <c r="C23" s="1131" t="s">
        <v>1458</v>
      </c>
      <c r="D23" s="1132"/>
      <c r="E23" s="1154">
        <v>1</v>
      </c>
      <c r="F23" s="1133" t="s">
        <v>1459</v>
      </c>
      <c r="G23" s="1134"/>
      <c r="H23" s="1105"/>
      <c r="I23" s="1105"/>
    </row>
    <row r="24" spans="1:9" s="1599" customFormat="1" ht="19.5" customHeight="1">
      <c r="A24" s="3439"/>
      <c r="B24" s="3439" t="s">
        <v>1450</v>
      </c>
      <c r="C24" s="1131" t="s">
        <v>1460</v>
      </c>
      <c r="D24" s="1132"/>
      <c r="E24" s="1154">
        <v>0.5</v>
      </c>
      <c r="F24" s="1133"/>
      <c r="G24" s="1134"/>
      <c r="H24" s="1105"/>
      <c r="I24" s="1105"/>
    </row>
    <row r="25" spans="1:9" s="1599" customFormat="1" ht="19.5" customHeight="1">
      <c r="A25" s="3439"/>
      <c r="B25" s="3439"/>
      <c r="C25" s="1131" t="s">
        <v>1461</v>
      </c>
      <c r="D25" s="1132"/>
      <c r="E25" s="1154">
        <v>1.1000000000000001</v>
      </c>
      <c r="F25" s="1133"/>
      <c r="G25" s="1134"/>
      <c r="H25" s="1105"/>
      <c r="I25" s="1105"/>
    </row>
    <row r="26" spans="1:9" s="1599" customFormat="1" ht="19.5" customHeight="1">
      <c r="A26" s="3439"/>
      <c r="B26" s="3439"/>
      <c r="C26" s="1131" t="s">
        <v>1462</v>
      </c>
      <c r="D26" s="1132"/>
      <c r="E26" s="1154">
        <v>1.1000000000000001</v>
      </c>
      <c r="F26" s="1133"/>
      <c r="G26" s="1134"/>
      <c r="H26" s="1105"/>
      <c r="I26" s="1105"/>
    </row>
    <row r="27" spans="1:9" s="1599" customFormat="1" ht="19.5" customHeight="1">
      <c r="A27" s="3439"/>
      <c r="B27" s="3439"/>
      <c r="C27" s="1131" t="s">
        <v>1463</v>
      </c>
      <c r="D27" s="1132"/>
      <c r="E27" s="1154">
        <v>0.9</v>
      </c>
      <c r="F27" s="1133" t="s">
        <v>1464</v>
      </c>
      <c r="G27" s="1134"/>
      <c r="H27" s="1105"/>
      <c r="I27" s="1105"/>
    </row>
    <row r="28" spans="1:9" s="1599" customFormat="1" ht="19.5" customHeight="1">
      <c r="A28" s="3439"/>
      <c r="B28" s="3439"/>
      <c r="C28" s="1131" t="s">
        <v>1465</v>
      </c>
      <c r="D28" s="1132"/>
      <c r="E28" s="1154">
        <v>0.9</v>
      </c>
      <c r="F28" s="1133" t="s">
        <v>1466</v>
      </c>
      <c r="G28" s="1134"/>
      <c r="H28" s="1105"/>
      <c r="I28" s="1105"/>
    </row>
    <row r="29" spans="1:9" s="1599" customFormat="1" ht="19.5" customHeight="1">
      <c r="A29" s="3439"/>
      <c r="B29" s="3439"/>
      <c r="C29" s="1131" t="s">
        <v>1467</v>
      </c>
      <c r="D29" s="1132"/>
      <c r="E29" s="1154">
        <v>0.9</v>
      </c>
      <c r="F29" s="1133" t="s">
        <v>1468</v>
      </c>
      <c r="G29" s="1134"/>
      <c r="H29" s="1105"/>
      <c r="I29" s="1105"/>
    </row>
    <row r="30" spans="1:9" s="1599" customFormat="1" ht="19.5" customHeight="1">
      <c r="A30" s="3439"/>
      <c r="B30" s="3439"/>
      <c r="C30" s="1131" t="s">
        <v>1469</v>
      </c>
      <c r="D30" s="1132"/>
      <c r="E30" s="1154">
        <v>0.9</v>
      </c>
      <c r="F30" s="1133" t="s">
        <v>1470</v>
      </c>
      <c r="G30" s="1134"/>
      <c r="H30" s="1105"/>
      <c r="I30" s="1105"/>
    </row>
    <row r="31" spans="1:9" s="1599" customFormat="1" ht="19.5" customHeight="1">
      <c r="A31" s="3439"/>
      <c r="B31" s="3439"/>
      <c r="C31" s="1131" t="s">
        <v>1471</v>
      </c>
      <c r="D31" s="1132"/>
      <c r="E31" s="1154">
        <v>0.8</v>
      </c>
      <c r="F31" s="1133" t="s">
        <v>1472</v>
      </c>
      <c r="G31" s="1134"/>
      <c r="H31" s="1105"/>
      <c r="I31" s="1105"/>
    </row>
    <row r="32" spans="1:9" s="1599" customFormat="1" ht="19.5" customHeight="1">
      <c r="A32" s="3439"/>
      <c r="B32" s="3439"/>
      <c r="C32" s="1131" t="s">
        <v>1473</v>
      </c>
      <c r="D32" s="1132"/>
      <c r="E32" s="1154">
        <v>0.8</v>
      </c>
      <c r="F32" s="1133" t="s">
        <v>1474</v>
      </c>
      <c r="G32" s="1134"/>
      <c r="H32" s="1105"/>
      <c r="I32" s="1105"/>
    </row>
    <row r="33" spans="1:9" s="1599" customFormat="1" ht="19.5" customHeight="1">
      <c r="A33" s="3439" t="s">
        <v>1475</v>
      </c>
      <c r="B33" s="1154" t="s">
        <v>1447</v>
      </c>
      <c r="C33" s="1131" t="s">
        <v>1476</v>
      </c>
      <c r="D33" s="1132"/>
      <c r="E33" s="1154">
        <v>1</v>
      </c>
      <c r="F33" s="1133" t="s">
        <v>1477</v>
      </c>
      <c r="G33" s="1134"/>
      <c r="H33" s="1105"/>
      <c r="I33" s="1105"/>
    </row>
    <row r="34" spans="1:9" s="1599" customFormat="1" ht="19.5" customHeight="1">
      <c r="A34" s="3439"/>
      <c r="B34" s="1154" t="s">
        <v>1450</v>
      </c>
      <c r="C34" s="1131" t="s">
        <v>1478</v>
      </c>
      <c r="D34" s="1132"/>
      <c r="E34" s="1154">
        <v>1.5</v>
      </c>
      <c r="F34" s="1133" t="s">
        <v>1479</v>
      </c>
      <c r="G34" s="1134"/>
      <c r="H34" s="1105"/>
      <c r="I34" s="1105"/>
    </row>
    <row r="35" spans="1:9" s="1599" customFormat="1" ht="19.5" customHeight="1">
      <c r="A35" s="3439" t="s">
        <v>1433</v>
      </c>
      <c r="B35" s="1154" t="s">
        <v>1447</v>
      </c>
      <c r="C35" s="1131" t="s">
        <v>1480</v>
      </c>
      <c r="D35" s="1132"/>
      <c r="E35" s="1154">
        <v>1</v>
      </c>
      <c r="F35" s="1133" t="s">
        <v>1481</v>
      </c>
      <c r="G35" s="1134"/>
      <c r="H35" s="1105"/>
      <c r="I35" s="1105"/>
    </row>
    <row r="36" spans="1:9" s="1599" customFormat="1" ht="19.5" customHeight="1">
      <c r="A36" s="3439"/>
      <c r="B36" s="3439" t="s">
        <v>1450</v>
      </c>
      <c r="C36" s="1131" t="s">
        <v>1482</v>
      </c>
      <c r="D36" s="1132"/>
      <c r="E36" s="1154">
        <v>1</v>
      </c>
      <c r="F36" s="1133" t="s">
        <v>1483</v>
      </c>
      <c r="G36" s="1134"/>
      <c r="H36" s="1105"/>
      <c r="I36" s="1105"/>
    </row>
    <row r="37" spans="1:9" s="1599" customFormat="1" ht="19.5" customHeight="1">
      <c r="A37" s="3439"/>
      <c r="B37" s="3439"/>
      <c r="C37" s="1131" t="s">
        <v>1484</v>
      </c>
      <c r="D37" s="1132"/>
      <c r="E37" s="1154">
        <v>1.5</v>
      </c>
      <c r="F37" s="1133" t="s">
        <v>1485</v>
      </c>
      <c r="G37" s="1134"/>
      <c r="H37" s="1105"/>
      <c r="I37" s="1105"/>
    </row>
    <row r="38" spans="1:9" s="1599" customFormat="1" ht="19.5" customHeight="1">
      <c r="A38" s="3439"/>
      <c r="B38" s="3439"/>
      <c r="C38" s="1131" t="s">
        <v>1486</v>
      </c>
      <c r="D38" s="1132"/>
      <c r="E38" s="1154">
        <v>1</v>
      </c>
      <c r="F38" s="1133" t="s">
        <v>1487</v>
      </c>
      <c r="G38" s="1134"/>
      <c r="H38" s="1105"/>
      <c r="I38" s="1105"/>
    </row>
    <row r="39" spans="1:9" s="1599" customFormat="1" ht="19.5" customHeight="1">
      <c r="A39" s="3439"/>
      <c r="B39" s="3439"/>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9" t="s">
        <v>1502</v>
      </c>
      <c r="C61" s="1068" t="s">
        <v>1503</v>
      </c>
      <c r="D61" s="1068" t="s">
        <v>1504</v>
      </c>
      <c r="E61" s="1139">
        <v>0.5</v>
      </c>
      <c r="F61" s="1154">
        <v>80</v>
      </c>
      <c r="H61" s="1105">
        <f>SUMIF(C59:C119,基准地价!C8,E59:E119)</f>
        <v>0</v>
      </c>
    </row>
    <row r="62" spans="1:8" s="1105" customFormat="1" ht="24">
      <c r="A62" s="1154">
        <v>2</v>
      </c>
      <c r="B62" s="3439"/>
      <c r="C62" s="1068" t="s">
        <v>1505</v>
      </c>
      <c r="D62" s="1068" t="s">
        <v>1506</v>
      </c>
      <c r="E62" s="1139">
        <v>0.5</v>
      </c>
      <c r="F62" s="1154">
        <v>80</v>
      </c>
    </row>
    <row r="63" spans="1:8" s="1105" customFormat="1" ht="36">
      <c r="A63" s="1154">
        <v>3</v>
      </c>
      <c r="B63" s="3439"/>
      <c r="C63" s="1068" t="s">
        <v>1507</v>
      </c>
      <c r="D63" s="1068" t="s">
        <v>1508</v>
      </c>
      <c r="E63" s="1139">
        <v>0.5</v>
      </c>
      <c r="F63" s="1154">
        <v>80</v>
      </c>
    </row>
    <row r="64" spans="1:8" s="1105" customFormat="1" ht="36">
      <c r="A64" s="1154">
        <v>4</v>
      </c>
      <c r="B64" s="3439"/>
      <c r="C64" s="1068" t="s">
        <v>1509</v>
      </c>
      <c r="D64" s="1068" t="s">
        <v>1510</v>
      </c>
      <c r="E64" s="1139">
        <v>0.4</v>
      </c>
      <c r="F64" s="1154">
        <v>60</v>
      </c>
    </row>
    <row r="65" spans="1:6" s="1105" customFormat="1" ht="36">
      <c r="A65" s="1154">
        <v>5</v>
      </c>
      <c r="B65" s="3439"/>
      <c r="C65" s="1068" t="s">
        <v>1511</v>
      </c>
      <c r="D65" s="1068" t="s">
        <v>1512</v>
      </c>
      <c r="E65" s="1139">
        <v>0.2</v>
      </c>
      <c r="F65" s="1154">
        <v>30</v>
      </c>
    </row>
    <row r="66" spans="1:6" s="1105" customFormat="1" ht="36">
      <c r="A66" s="1154">
        <v>6</v>
      </c>
      <c r="B66" s="3439"/>
      <c r="C66" s="1068" t="s">
        <v>1513</v>
      </c>
      <c r="D66" s="1068" t="s">
        <v>1514</v>
      </c>
      <c r="E66" s="1139">
        <v>0.3</v>
      </c>
      <c r="F66" s="1154">
        <v>50</v>
      </c>
    </row>
    <row r="67" spans="1:6" s="1105" customFormat="1" ht="36">
      <c r="A67" s="1154">
        <v>7</v>
      </c>
      <c r="B67" s="3439"/>
      <c r="C67" s="1068" t="s">
        <v>1515</v>
      </c>
      <c r="D67" s="1068" t="s">
        <v>1516</v>
      </c>
      <c r="E67" s="1139">
        <v>0.2</v>
      </c>
      <c r="F67" s="1154">
        <v>30</v>
      </c>
    </row>
    <row r="68" spans="1:6" s="1105" customFormat="1" ht="36">
      <c r="A68" s="1154">
        <v>8</v>
      </c>
      <c r="B68" s="3439"/>
      <c r="C68" s="1068" t="s">
        <v>1517</v>
      </c>
      <c r="D68" s="1068" t="s">
        <v>1518</v>
      </c>
      <c r="E68" s="1139">
        <v>0.2</v>
      </c>
      <c r="F68" s="1154">
        <v>30</v>
      </c>
    </row>
    <row r="69" spans="1:6" s="1105" customFormat="1" ht="36">
      <c r="A69" s="1154">
        <v>9</v>
      </c>
      <c r="B69" s="3439"/>
      <c r="C69" s="1068" t="s">
        <v>1519</v>
      </c>
      <c r="D69" s="1068" t="s">
        <v>1520</v>
      </c>
      <c r="E69" s="1139">
        <v>0.2</v>
      </c>
      <c r="F69" s="1154">
        <v>30</v>
      </c>
    </row>
    <row r="70" spans="1:6" s="1105" customFormat="1" ht="48">
      <c r="A70" s="1154">
        <v>10</v>
      </c>
      <c r="B70" s="3439"/>
      <c r="C70" s="1068" t="s">
        <v>1521</v>
      </c>
      <c r="D70" s="1068" t="s">
        <v>1522</v>
      </c>
      <c r="E70" s="1139">
        <v>0.2</v>
      </c>
      <c r="F70" s="1154">
        <v>30</v>
      </c>
    </row>
    <row r="71" spans="1:6" s="1105" customFormat="1" ht="48">
      <c r="A71" s="1154">
        <v>11</v>
      </c>
      <c r="B71" s="3439"/>
      <c r="C71" s="1068" t="s">
        <v>1523</v>
      </c>
      <c r="D71" s="1068" t="s">
        <v>1524</v>
      </c>
      <c r="E71" s="1139">
        <v>0.2</v>
      </c>
      <c r="F71" s="1154">
        <v>30</v>
      </c>
    </row>
    <row r="72" spans="1:6" s="1105" customFormat="1" ht="36">
      <c r="A72" s="1154">
        <v>12</v>
      </c>
      <c r="B72" s="3439"/>
      <c r="C72" s="1068" t="s">
        <v>1525</v>
      </c>
      <c r="D72" s="1068" t="s">
        <v>1526</v>
      </c>
      <c r="E72" s="1139">
        <v>0.5</v>
      </c>
      <c r="F72" s="1154">
        <v>80</v>
      </c>
    </row>
    <row r="73" spans="1:6" s="1105" customFormat="1" ht="24">
      <c r="A73" s="1154">
        <v>13</v>
      </c>
      <c r="B73" s="3439"/>
      <c r="C73" s="1068" t="s">
        <v>1527</v>
      </c>
      <c r="D73" s="1068" t="s">
        <v>1528</v>
      </c>
      <c r="E73" s="1139">
        <v>0.4</v>
      </c>
      <c r="F73" s="1154">
        <v>60</v>
      </c>
    </row>
    <row r="74" spans="1:6" s="1105" customFormat="1" ht="24">
      <c r="A74" s="1154">
        <v>14</v>
      </c>
      <c r="B74" s="3439"/>
      <c r="C74" s="1068" t="s">
        <v>1529</v>
      </c>
      <c r="D74" s="1068" t="s">
        <v>1530</v>
      </c>
      <c r="E74" s="1139">
        <v>0.2</v>
      </c>
      <c r="F74" s="1154">
        <v>30</v>
      </c>
    </row>
    <row r="75" spans="1:6" s="1105" customFormat="1" ht="24">
      <c r="A75" s="1154">
        <v>15</v>
      </c>
      <c r="B75" s="3439"/>
      <c r="C75" s="1068" t="s">
        <v>1531</v>
      </c>
      <c r="D75" s="1068" t="s">
        <v>1532</v>
      </c>
      <c r="E75" s="1139">
        <v>0.2</v>
      </c>
      <c r="F75" s="1154">
        <v>30</v>
      </c>
    </row>
    <row r="76" spans="1:6" s="1105" customFormat="1" ht="24">
      <c r="A76" s="1154">
        <v>16</v>
      </c>
      <c r="B76" s="3439" t="s">
        <v>1533</v>
      </c>
      <c r="C76" s="1068" t="s">
        <v>1534</v>
      </c>
      <c r="D76" s="1068" t="s">
        <v>1535</v>
      </c>
      <c r="E76" s="1139">
        <v>0.5</v>
      </c>
      <c r="F76" s="1154">
        <v>80</v>
      </c>
    </row>
    <row r="77" spans="1:6" s="1105" customFormat="1" ht="24">
      <c r="A77" s="1154">
        <v>17</v>
      </c>
      <c r="B77" s="3439"/>
      <c r="C77" s="1068" t="s">
        <v>1536</v>
      </c>
      <c r="D77" s="1068" t="s">
        <v>1537</v>
      </c>
      <c r="E77" s="1139">
        <v>0.5</v>
      </c>
      <c r="F77" s="1154">
        <v>80</v>
      </c>
    </row>
    <row r="78" spans="1:6" s="1105" customFormat="1" ht="24">
      <c r="A78" s="1154">
        <v>18</v>
      </c>
      <c r="B78" s="3439"/>
      <c r="C78" s="1068" t="s">
        <v>1538</v>
      </c>
      <c r="D78" s="1068" t="s">
        <v>1539</v>
      </c>
      <c r="E78" s="1139">
        <v>0.2</v>
      </c>
      <c r="F78" s="1154">
        <v>30</v>
      </c>
    </row>
    <row r="79" spans="1:6" s="1105" customFormat="1" ht="24">
      <c r="A79" s="1154">
        <v>19</v>
      </c>
      <c r="B79" s="3439"/>
      <c r="C79" s="1068" t="s">
        <v>1540</v>
      </c>
      <c r="D79" s="1068" t="s">
        <v>1541</v>
      </c>
      <c r="E79" s="1139">
        <v>0.5</v>
      </c>
      <c r="F79" s="1154">
        <v>80</v>
      </c>
    </row>
    <row r="80" spans="1:6" s="1105" customFormat="1" ht="36">
      <c r="A80" s="1154">
        <v>20</v>
      </c>
      <c r="B80" s="3439"/>
      <c r="C80" s="1068" t="s">
        <v>1542</v>
      </c>
      <c r="D80" s="1068" t="s">
        <v>1543</v>
      </c>
      <c r="E80" s="1139">
        <v>0.2</v>
      </c>
      <c r="F80" s="1154">
        <v>30</v>
      </c>
    </row>
    <row r="81" spans="1:6" s="1105" customFormat="1" ht="36">
      <c r="A81" s="1154">
        <v>21</v>
      </c>
      <c r="B81" s="3439"/>
      <c r="C81" s="1068" t="s">
        <v>1544</v>
      </c>
      <c r="D81" s="1068" t="s">
        <v>1545</v>
      </c>
      <c r="E81" s="1139">
        <v>0.2</v>
      </c>
      <c r="F81" s="1154">
        <v>30</v>
      </c>
    </row>
    <row r="82" spans="1:6" s="1105" customFormat="1" ht="48">
      <c r="A82" s="1154">
        <v>22</v>
      </c>
      <c r="B82" s="3439"/>
      <c r="C82" s="1068" t="s">
        <v>1546</v>
      </c>
      <c r="D82" s="1068" t="s">
        <v>1547</v>
      </c>
      <c r="E82" s="1139">
        <v>0.2</v>
      </c>
      <c r="F82" s="1154">
        <v>30</v>
      </c>
    </row>
    <row r="83" spans="1:6" s="1105" customFormat="1" ht="48">
      <c r="A83" s="1154">
        <v>23</v>
      </c>
      <c r="B83" s="3439"/>
      <c r="C83" s="1068" t="s">
        <v>1548</v>
      </c>
      <c r="D83" s="1068" t="s">
        <v>1549</v>
      </c>
      <c r="E83" s="1139">
        <v>0.2</v>
      </c>
      <c r="F83" s="1154">
        <v>30</v>
      </c>
    </row>
    <row r="84" spans="1:6" s="1105" customFormat="1" ht="36">
      <c r="A84" s="1154">
        <v>24</v>
      </c>
      <c r="B84" s="3439"/>
      <c r="C84" s="1068" t="s">
        <v>1550</v>
      </c>
      <c r="D84" s="1068" t="s">
        <v>1551</v>
      </c>
      <c r="E84" s="1139">
        <v>0.2</v>
      </c>
      <c r="F84" s="1154">
        <v>30</v>
      </c>
    </row>
    <row r="85" spans="1:6" s="1105" customFormat="1" ht="36">
      <c r="A85" s="1154">
        <v>25</v>
      </c>
      <c r="B85" s="3439"/>
      <c r="C85" s="1068" t="s">
        <v>1552</v>
      </c>
      <c r="D85" s="1068" t="s">
        <v>1553</v>
      </c>
      <c r="E85" s="1139">
        <v>0.5</v>
      </c>
      <c r="F85" s="1154">
        <v>80</v>
      </c>
    </row>
    <row r="86" spans="1:6" s="1105" customFormat="1" ht="36">
      <c r="A86" s="1154">
        <v>26</v>
      </c>
      <c r="B86" s="3439"/>
      <c r="C86" s="1068" t="s">
        <v>1554</v>
      </c>
      <c r="D86" s="1068" t="s">
        <v>1555</v>
      </c>
      <c r="E86" s="1139">
        <v>0.2</v>
      </c>
      <c r="F86" s="1154">
        <v>30</v>
      </c>
    </row>
    <row r="87" spans="1:6" s="1105" customFormat="1" ht="36">
      <c r="A87" s="1154">
        <v>27</v>
      </c>
      <c r="B87" s="3439"/>
      <c r="C87" s="1068" t="s">
        <v>1556</v>
      </c>
      <c r="D87" s="1068" t="s">
        <v>1557</v>
      </c>
      <c r="E87" s="1139">
        <v>0.2</v>
      </c>
      <c r="F87" s="1154">
        <v>30</v>
      </c>
    </row>
    <row r="88" spans="1:6" s="1105" customFormat="1" ht="36">
      <c r="A88" s="1154">
        <v>28</v>
      </c>
      <c r="B88" s="3439"/>
      <c r="C88" s="1068" t="s">
        <v>1558</v>
      </c>
      <c r="D88" s="1068" t="s">
        <v>1559</v>
      </c>
      <c r="E88" s="1139">
        <v>0.2</v>
      </c>
      <c r="F88" s="1154">
        <v>30</v>
      </c>
    </row>
    <row r="89" spans="1:6" s="1105" customFormat="1" ht="24">
      <c r="A89" s="1154">
        <v>29</v>
      </c>
      <c r="B89" s="3439"/>
      <c r="C89" s="1068" t="s">
        <v>1560</v>
      </c>
      <c r="D89" s="1068" t="s">
        <v>1561</v>
      </c>
      <c r="E89" s="1139">
        <v>0.2</v>
      </c>
      <c r="F89" s="1154">
        <v>30</v>
      </c>
    </row>
    <row r="90" spans="1:6" s="1105" customFormat="1" ht="24">
      <c r="A90" s="1154">
        <v>30</v>
      </c>
      <c r="B90" s="3439"/>
      <c r="C90" s="1068" t="s">
        <v>1562</v>
      </c>
      <c r="D90" s="1068" t="s">
        <v>1563</v>
      </c>
      <c r="E90" s="1139">
        <v>0.2</v>
      </c>
      <c r="F90" s="1154">
        <v>30</v>
      </c>
    </row>
    <row r="91" spans="1:6" s="1105" customFormat="1" ht="36">
      <c r="A91" s="1154">
        <v>31</v>
      </c>
      <c r="B91" s="3439"/>
      <c r="C91" s="1068" t="s">
        <v>1564</v>
      </c>
      <c r="D91" s="1068" t="s">
        <v>1565</v>
      </c>
      <c r="E91" s="1139">
        <v>0.2</v>
      </c>
      <c r="F91" s="1154">
        <v>30</v>
      </c>
    </row>
    <row r="92" spans="1:6" s="1105" customFormat="1" ht="24">
      <c r="A92" s="1154">
        <v>32</v>
      </c>
      <c r="B92" s="3439" t="s">
        <v>1566</v>
      </c>
      <c r="C92" s="1154" t="s">
        <v>1567</v>
      </c>
      <c r="D92" s="1068" t="s">
        <v>1568</v>
      </c>
      <c r="E92" s="1139">
        <v>0.2</v>
      </c>
      <c r="F92" s="1154">
        <v>30</v>
      </c>
    </row>
    <row r="93" spans="1:6" s="1105" customFormat="1" ht="36">
      <c r="A93" s="1154">
        <v>33</v>
      </c>
      <c r="B93" s="3439"/>
      <c r="C93" s="1154" t="s">
        <v>1569</v>
      </c>
      <c r="D93" s="1068" t="s">
        <v>1570</v>
      </c>
      <c r="E93" s="1139">
        <v>0.2</v>
      </c>
      <c r="F93" s="1154">
        <v>30</v>
      </c>
    </row>
    <row r="94" spans="1:6" s="1105" customFormat="1" ht="48">
      <c r="A94" s="1154">
        <v>34</v>
      </c>
      <c r="B94" s="3439"/>
      <c r="C94" s="1154" t="s">
        <v>1571</v>
      </c>
      <c r="D94" s="1068" t="s">
        <v>1572</v>
      </c>
      <c r="E94" s="1139">
        <v>0.2</v>
      </c>
      <c r="F94" s="1154">
        <v>30</v>
      </c>
    </row>
    <row r="95" spans="1:6" s="1105" customFormat="1" ht="36">
      <c r="A95" s="1154">
        <v>35</v>
      </c>
      <c r="B95" s="3439"/>
      <c r="C95" s="1154" t="s">
        <v>1573</v>
      </c>
      <c r="D95" s="1068" t="s">
        <v>1574</v>
      </c>
      <c r="E95" s="1139">
        <v>0.2</v>
      </c>
      <c r="F95" s="1154">
        <v>30</v>
      </c>
    </row>
    <row r="96" spans="1:6" s="1105" customFormat="1" ht="48">
      <c r="A96" s="1154">
        <v>36</v>
      </c>
      <c r="B96" s="3439"/>
      <c r="C96" s="1068" t="s">
        <v>1575</v>
      </c>
      <c r="D96" s="1068" t="s">
        <v>1576</v>
      </c>
      <c r="E96" s="1139">
        <v>0.2</v>
      </c>
      <c r="F96" s="1154">
        <v>30</v>
      </c>
    </row>
    <row r="97" spans="1:6" s="1105" customFormat="1" ht="36">
      <c r="A97" s="1154">
        <v>37</v>
      </c>
      <c r="B97" s="3439"/>
      <c r="C97" s="1154" t="s">
        <v>1577</v>
      </c>
      <c r="D97" s="1068" t="s">
        <v>1578</v>
      </c>
      <c r="E97" s="1139">
        <v>0.2</v>
      </c>
      <c r="F97" s="1154">
        <v>30</v>
      </c>
    </row>
    <row r="98" spans="1:6" s="1105" customFormat="1" ht="36">
      <c r="A98" s="1154">
        <v>38</v>
      </c>
      <c r="B98" s="3439"/>
      <c r="C98" s="1154" t="s">
        <v>1579</v>
      </c>
      <c r="D98" s="1068" t="s">
        <v>1580</v>
      </c>
      <c r="E98" s="1139">
        <v>0.2</v>
      </c>
      <c r="F98" s="1154">
        <v>30</v>
      </c>
    </row>
    <row r="99" spans="1:6" s="1105" customFormat="1" ht="36">
      <c r="A99" s="1154">
        <v>39</v>
      </c>
      <c r="B99" s="3439" t="s">
        <v>1581</v>
      </c>
      <c r="C99" s="1154" t="s">
        <v>1582</v>
      </c>
      <c r="D99" s="1068" t="s">
        <v>1583</v>
      </c>
      <c r="E99" s="1139">
        <v>0.3</v>
      </c>
      <c r="F99" s="1154">
        <v>50</v>
      </c>
    </row>
    <row r="100" spans="1:6" s="1105" customFormat="1" ht="24">
      <c r="A100" s="1154">
        <v>40</v>
      </c>
      <c r="B100" s="3439"/>
      <c r="C100" s="1154" t="s">
        <v>1584</v>
      </c>
      <c r="D100" s="1068" t="s">
        <v>1585</v>
      </c>
      <c r="E100" s="1139">
        <v>0.2</v>
      </c>
      <c r="F100" s="1154">
        <v>30</v>
      </c>
    </row>
    <row r="101" spans="1:6" s="1105" customFormat="1" ht="36">
      <c r="A101" s="1154">
        <v>41</v>
      </c>
      <c r="B101" s="343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9" t="s">
        <v>1596</v>
      </c>
      <c r="C105" s="1154" t="s">
        <v>1597</v>
      </c>
      <c r="D105" s="1068" t="s">
        <v>1598</v>
      </c>
      <c r="E105" s="1139">
        <v>0.2</v>
      </c>
      <c r="F105" s="1154">
        <v>30</v>
      </c>
    </row>
    <row r="106" spans="1:6" s="1105" customFormat="1" ht="36">
      <c r="A106" s="1154">
        <v>46</v>
      </c>
      <c r="B106" s="3439"/>
      <c r="C106" s="1154" t="s">
        <v>1599</v>
      </c>
      <c r="D106" s="1068" t="s">
        <v>1600</v>
      </c>
      <c r="E106" s="1139">
        <v>0.2</v>
      </c>
      <c r="F106" s="1154">
        <v>30</v>
      </c>
    </row>
    <row r="107" spans="1:6" s="1105" customFormat="1" ht="36">
      <c r="A107" s="1154">
        <v>47</v>
      </c>
      <c r="B107" s="3439" t="s">
        <v>1601</v>
      </c>
      <c r="C107" s="1154" t="s">
        <v>1602</v>
      </c>
      <c r="D107" s="1068" t="s">
        <v>1603</v>
      </c>
      <c r="E107" s="1139">
        <v>0.3</v>
      </c>
      <c r="F107" s="1154">
        <v>50</v>
      </c>
    </row>
    <row r="108" spans="1:6" s="1105" customFormat="1" ht="36">
      <c r="A108" s="1154">
        <v>48</v>
      </c>
      <c r="B108" s="343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9" t="s">
        <v>1612</v>
      </c>
      <c r="C111" s="1154" t="s">
        <v>1613</v>
      </c>
      <c r="D111" s="1068" t="s">
        <v>1614</v>
      </c>
      <c r="E111" s="1139">
        <v>0.2</v>
      </c>
      <c r="F111" s="1154">
        <v>30</v>
      </c>
    </row>
    <row r="112" spans="1:6" s="1105" customFormat="1" ht="24">
      <c r="A112" s="1154">
        <v>52</v>
      </c>
      <c r="B112" s="3439"/>
      <c r="C112" s="1154" t="s">
        <v>1615</v>
      </c>
      <c r="D112" s="1068" t="s">
        <v>1616</v>
      </c>
      <c r="E112" s="1139">
        <v>0.2</v>
      </c>
      <c r="F112" s="1154">
        <v>30</v>
      </c>
    </row>
    <row r="113" spans="1:14" s="1105" customFormat="1" ht="24">
      <c r="A113" s="1154">
        <v>53</v>
      </c>
      <c r="B113" s="343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9" t="s">
        <v>1625</v>
      </c>
      <c r="C116" s="1154" t="s">
        <v>1626</v>
      </c>
      <c r="D116" s="1068" t="s">
        <v>1627</v>
      </c>
      <c r="E116" s="1139">
        <v>0.2</v>
      </c>
      <c r="F116" s="1154">
        <v>30</v>
      </c>
    </row>
    <row r="117" spans="1:14" ht="36">
      <c r="A117" s="1154">
        <v>57</v>
      </c>
      <c r="B117" s="343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8" t="s">
        <v>1634</v>
      </c>
      <c r="B121" s="3438"/>
      <c r="C121" s="3438"/>
      <c r="D121" s="3438"/>
      <c r="E121" s="3438"/>
      <c r="F121" s="3438"/>
      <c r="G121" s="3438"/>
      <c r="H121" s="3438"/>
      <c r="I121" s="3438"/>
      <c r="J121" s="343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1" t="s">
        <v>1040</v>
      </c>
      <c r="B1" s="3451"/>
      <c r="C1" s="3451"/>
      <c r="D1" s="3451"/>
      <c r="E1" s="3451"/>
      <c r="F1" s="345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2" t="s">
        <v>1053</v>
      </c>
      <c r="B2" s="3452"/>
      <c r="C2" s="3452"/>
      <c r="D2" s="3452"/>
      <c r="E2" s="3452"/>
      <c r="F2" s="345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5" t="s">
        <v>2082</v>
      </c>
      <c r="B1" s="3455"/>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2953</v>
      </c>
      <c r="B1" s="3105"/>
      <c r="C1" s="3105"/>
      <c r="D1" s="3105"/>
      <c r="E1" s="3105"/>
      <c r="F1" s="3105"/>
    </row>
    <row r="2" spans="1:6" ht="14.25">
      <c r="A2" s="3106" t="s">
        <v>2948</v>
      </c>
      <c r="B2" s="3107" t="e">
        <f ca="1">SUMIF(B7:B14,"&lt;&gt;#ref!",B7:B14)</f>
        <v>#DIV/0!</v>
      </c>
      <c r="C2" s="3106" t="s">
        <v>2949</v>
      </c>
      <c r="D2" s="3105"/>
      <c r="E2" s="3105"/>
      <c r="F2" s="3105"/>
    </row>
    <row r="3" spans="1:6" ht="14.25">
      <c r="A3" s="3106" t="s">
        <v>2982</v>
      </c>
      <c r="B3" s="3107" t="e">
        <f ca="1">ROUND(B2*10000/E3,0)</f>
        <v>#DIV/0!</v>
      </c>
      <c r="C3" s="3106" t="s">
        <v>2081</v>
      </c>
      <c r="D3" s="3106" t="s">
        <v>2950</v>
      </c>
      <c r="E3" s="3107">
        <f ca="1">SUMIF(E7:E14,"&lt;&gt;#ref!",E7:E14)</f>
        <v>0</v>
      </c>
      <c r="F3" s="3105"/>
    </row>
    <row r="4" spans="1:6" ht="14.25">
      <c r="A4" s="3106" t="s">
        <v>2957</v>
      </c>
      <c r="B4" s="3107" t="e">
        <f ca="1">ROUND(B2*10000/E4,0)</f>
        <v>#DIV/0!</v>
      </c>
      <c r="C4" s="3106" t="s">
        <v>2081</v>
      </c>
      <c r="D4" s="3106" t="s">
        <v>2958</v>
      </c>
      <c r="E4" s="3107">
        <f ca="1">SUMIF(F7:F14,"&lt;&gt;#ref!",F7:F14)</f>
        <v>0</v>
      </c>
      <c r="F4" s="3105"/>
    </row>
    <row r="5" spans="1:6" ht="14.25">
      <c r="A5" s="3108"/>
      <c r="B5" s="1882"/>
      <c r="C5" s="1882"/>
      <c r="D5" s="1882"/>
      <c r="E5" s="1882"/>
      <c r="F5" s="3105"/>
    </row>
    <row r="6" spans="1:6" ht="28.5">
      <c r="A6" s="3109" t="s">
        <v>2954</v>
      </c>
      <c r="B6" s="3106" t="s">
        <v>2951</v>
      </c>
      <c r="C6" s="3107"/>
      <c r="D6" s="1882"/>
      <c r="E6" s="3106" t="s">
        <v>2952</v>
      </c>
      <c r="F6" s="3106" t="s">
        <v>2956</v>
      </c>
    </row>
    <row r="7" spans="1:6" ht="14.25">
      <c r="A7" s="260" t="s">
        <v>2955</v>
      </c>
      <c r="B7" s="3110" t="e">
        <f ca="1">SUMIF(INDIRECT("'"&amp;A7&amp;"'"&amp;"!A:A"),"总价",INDIRECT("'"&amp;A7&amp;"'"&amp;"!B:B"))</f>
        <v>#DIV/0!</v>
      </c>
      <c r="C7" s="3106" t="s">
        <v>2949</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2949</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2949</v>
      </c>
      <c r="D9" s="1882"/>
      <c r="E9" s="3111" t="e">
        <f t="shared" ca="1" si="1"/>
        <v>#REF!</v>
      </c>
      <c r="F9" s="3111" t="e">
        <f t="shared" ca="1" si="2"/>
        <v>#REF!</v>
      </c>
    </row>
    <row r="10" spans="1:6" ht="14.25">
      <c r="A10" s="260"/>
      <c r="B10" s="3110" t="e">
        <f t="shared" ca="1" si="0"/>
        <v>#REF!</v>
      </c>
      <c r="C10" s="3106" t="s">
        <v>2949</v>
      </c>
      <c r="D10" s="1882"/>
      <c r="E10" s="3111" t="e">
        <f t="shared" ca="1" si="1"/>
        <v>#REF!</v>
      </c>
      <c r="F10" s="3111" t="e">
        <f t="shared" ca="1" si="2"/>
        <v>#REF!</v>
      </c>
    </row>
    <row r="11" spans="1:6" ht="14.25">
      <c r="A11" s="260"/>
      <c r="B11" s="3110" t="e">
        <f t="shared" ca="1" si="0"/>
        <v>#REF!</v>
      </c>
      <c r="C11" s="3106" t="s">
        <v>2949</v>
      </c>
      <c r="D11" s="1882"/>
      <c r="E11" s="3111" t="e">
        <f t="shared" ca="1" si="1"/>
        <v>#REF!</v>
      </c>
      <c r="F11" s="3111" t="e">
        <f t="shared" ca="1" si="2"/>
        <v>#REF!</v>
      </c>
    </row>
    <row r="12" spans="1:6" ht="14.25">
      <c r="A12" s="260"/>
      <c r="B12" s="3110" t="e">
        <f t="shared" ca="1" si="0"/>
        <v>#REF!</v>
      </c>
      <c r="C12" s="3106" t="s">
        <v>2949</v>
      </c>
      <c r="D12" s="1882"/>
      <c r="E12" s="3111" t="e">
        <f t="shared" ca="1" si="1"/>
        <v>#REF!</v>
      </c>
      <c r="F12" s="3111" t="e">
        <f t="shared" ca="1" si="2"/>
        <v>#REF!</v>
      </c>
    </row>
    <row r="13" spans="1:6" ht="14.25">
      <c r="A13" s="260"/>
      <c r="B13" s="3110" t="e">
        <f t="shared" ca="1" si="0"/>
        <v>#REF!</v>
      </c>
      <c r="C13" s="3106" t="s">
        <v>2949</v>
      </c>
      <c r="D13" s="1882"/>
      <c r="E13" s="3111" t="e">
        <f t="shared" ca="1" si="1"/>
        <v>#REF!</v>
      </c>
      <c r="F13" s="3111" t="e">
        <f t="shared" ca="1" si="2"/>
        <v>#REF!</v>
      </c>
    </row>
    <row r="14" spans="1:6" ht="14.25">
      <c r="A14" s="3104"/>
      <c r="B14" s="3110" t="e">
        <f t="shared" ca="1" si="0"/>
        <v>#REF!</v>
      </c>
      <c r="C14" s="3106" t="s">
        <v>2949</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-3</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1825</v>
      </c>
      <c r="B8" s="3457" t="s">
        <v>2465</v>
      </c>
      <c r="C8" s="1826">
        <f ca="1">ROUND(F8*F10*F9*(1-F11)/10000,0)</f>
        <v>0</v>
      </c>
      <c r="D8" s="1823" t="s">
        <v>2536</v>
      </c>
      <c r="E8" s="61" t="s">
        <v>637</v>
      </c>
      <c r="F8" s="785">
        <f ca="1">INDIRECT("'数据-取费表'!u"&amp;$G$1)</f>
        <v>0</v>
      </c>
      <c r="G8" s="1592"/>
      <c r="H8" s="2505" t="s">
        <v>1825</v>
      </c>
      <c r="I8" s="3457" t="s">
        <v>2465</v>
      </c>
      <c r="J8" s="783">
        <f ca="1">ROUND(M8*M10*M9*(1-M11)/10000,0)</f>
        <v>0</v>
      </c>
      <c r="K8" s="341" t="s">
        <v>2536</v>
      </c>
      <c r="L8" s="784" t="s">
        <v>1739</v>
      </c>
      <c r="M8" s="785">
        <f ca="1">INDIRECT("'数据-取费表'!z"&amp;$G$1)</f>
        <v>0</v>
      </c>
    </row>
    <row r="9" spans="1:25" ht="18" customHeight="1">
      <c r="A9" s="2501"/>
      <c r="B9" s="3458"/>
      <c r="C9" s="1827"/>
      <c r="D9" s="1824"/>
      <c r="E9" s="61" t="s">
        <v>638</v>
      </c>
      <c r="F9" s="785">
        <f ca="1">IF(INDIRECT("'数据-取费表'!ah"&amp;$G$1)="",INDIRECT("'数据-取费表'!k"&amp;$G$1),INDIRECT("'数据-取费表'!ah"&amp;$G$1))</f>
        <v>0</v>
      </c>
      <c r="G9" s="1592"/>
      <c r="H9" s="2490"/>
      <c r="I9" s="3458"/>
      <c r="J9" s="788"/>
      <c r="K9" s="789"/>
      <c r="L9" s="784" t="s">
        <v>1740</v>
      </c>
      <c r="M9" s="785">
        <f ca="1">F9</f>
        <v>0</v>
      </c>
    </row>
    <row r="10" spans="1:25" ht="18" customHeight="1">
      <c r="A10" s="2494"/>
      <c r="B10" s="3459"/>
      <c r="C10" s="1827"/>
      <c r="D10" s="1824"/>
      <c r="E10" s="61" t="s">
        <v>639</v>
      </c>
      <c r="F10" s="785">
        <f ca="1">INDIRECT("'数据-取费表'!ai"&amp;$G$1)</f>
        <v>0</v>
      </c>
      <c r="G10" s="1592"/>
      <c r="H10" s="2490"/>
      <c r="I10" s="3459"/>
      <c r="J10" s="788"/>
      <c r="K10" s="789"/>
      <c r="L10" s="784" t="s">
        <v>1741</v>
      </c>
      <c r="M10" s="785">
        <f ca="1">INDIRECT("'数据-取费表'!ai"&amp;$G$1)</f>
        <v>0</v>
      </c>
    </row>
    <row r="11" spans="1:25" ht="18" customHeight="1">
      <c r="A11" s="786"/>
      <c r="B11" s="3460"/>
      <c r="C11" s="1827"/>
      <c r="D11" s="1824"/>
      <c r="E11" s="61" t="s">
        <v>640</v>
      </c>
      <c r="F11" s="794">
        <f ca="1">INDIRECT("'数据-取费表'!w"&amp;$G$1)</f>
        <v>0</v>
      </c>
      <c r="G11" s="1592"/>
      <c r="H11" s="2506"/>
      <c r="I11" s="3459"/>
      <c r="J11" s="788"/>
      <c r="K11" s="789"/>
      <c r="L11" s="795" t="s">
        <v>1742</v>
      </c>
      <c r="M11" s="796">
        <f ca="1">INDIRECT("'数据-取费表'!ab"&amp;$G$1)</f>
        <v>0</v>
      </c>
    </row>
    <row r="12" spans="1:25" ht="18" customHeight="1">
      <c r="A12" s="1831" t="s">
        <v>1826</v>
      </c>
      <c r="B12" s="2495" t="s">
        <v>2461</v>
      </c>
      <c r="C12" s="799">
        <f ca="1">ROUND(IF(F12="押一",C8/12*F13,IF(F12="押二",C8/12*2*F13,IF(F12="押三",C8/12*3*F13,C13*F13))),0)</f>
        <v>0</v>
      </c>
      <c r="D12" s="2502" t="s">
        <v>2978</v>
      </c>
      <c r="E12" s="2499" t="s">
        <v>2466</v>
      </c>
      <c r="F12" s="2622"/>
      <c r="G12" s="1592"/>
      <c r="H12" s="2562" t="s">
        <v>1826</v>
      </c>
      <c r="I12" s="2567" t="s">
        <v>2461</v>
      </c>
      <c r="J12" s="783">
        <f ca="1">ROUND(IF(M12="押一",J8/12*M13,IF(M12="押二",J8/12*2*M13,IF(M12="押三",J8/12*3*M13,J13*M13))),0)</f>
        <v>0</v>
      </c>
      <c r="K12" s="2502" t="s">
        <v>2978</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5.5500000000000008E-2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1.4E-3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1"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5.2900000000000003E-2</v>
      </c>
      <c r="D30" s="812" t="s">
        <v>709</v>
      </c>
      <c r="E30" s="784" t="s">
        <v>649</v>
      </c>
      <c r="F30" s="809">
        <f>'数据-取费表'!B41</f>
        <v>5.5500000000000008E-2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2"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5.5500000000000008E-2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v>
      </c>
      <c r="G36" s="2063"/>
      <c r="H36" s="2066"/>
      <c r="I36" s="3456"/>
      <c r="J36" s="2080"/>
      <c r="K36" s="2081"/>
      <c r="L36" s="2080"/>
      <c r="M36" s="2080"/>
    </row>
    <row r="37" spans="1:18" ht="18" customHeight="1">
      <c r="A37" s="815"/>
      <c r="B37" s="793"/>
      <c r="C37" s="69"/>
      <c r="D37" s="816"/>
      <c r="E37" s="784" t="s">
        <v>674</v>
      </c>
      <c r="F37" s="785">
        <f ca="1">INDIRECT("'数据-取费表'!r"&amp;$G$1)</f>
        <v>0</v>
      </c>
      <c r="G37" s="2063"/>
      <c r="H37" s="2066"/>
      <c r="I37" s="3456"/>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2" t="s">
        <v>2966</v>
      </c>
      <c r="F43" s="3123">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8">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4"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0" t="str">
        <f ca="1">IF(M48="住宅",0,IF(L49&gt;J52,L61,J61))</f>
        <v>0</v>
      </c>
      <c r="O47" s="2395" t="s">
        <v>2413</v>
      </c>
      <c r="P47" s="1592"/>
      <c r="Q47" s="1604"/>
      <c r="R47" s="1592"/>
    </row>
    <row r="48" spans="1:18" s="2060" customFormat="1" ht="18" customHeight="1" thickBot="1">
      <c r="A48" s="2085"/>
      <c r="C48" s="2088"/>
      <c r="D48" s="2089"/>
      <c r="E48" s="2089"/>
      <c r="F48" s="2090"/>
      <c r="G48" s="2091"/>
      <c r="I48" s="3150" t="s">
        <v>2347</v>
      </c>
      <c r="J48" s="2382"/>
      <c r="K48" s="3157" t="s">
        <v>2352</v>
      </c>
      <c r="L48" s="3161">
        <f ca="1">INDIRECT("'数据-取费表'!d"&amp;$G$1)</f>
        <v>0</v>
      </c>
      <c r="M48" s="3121"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6" t="s">
        <v>2348</v>
      </c>
      <c r="J49" s="2383"/>
      <c r="K49" s="3158"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6" t="s">
        <v>2349</v>
      </c>
      <c r="J50" s="2384"/>
      <c r="K50" s="3159"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6" t="s">
        <v>2350</v>
      </c>
      <c r="J51" s="3154">
        <f>SUMPRODUCT((I64:I66=J48)*(J63:L63=J49)*(J64:L66))</f>
        <v>0</v>
      </c>
      <c r="K51" s="3159" t="s">
        <v>2356</v>
      </c>
      <c r="L51" s="2385"/>
      <c r="O51" s="2402" t="s">
        <v>2386</v>
      </c>
      <c r="P51" s="2400" t="s">
        <v>2410</v>
      </c>
      <c r="Q51" s="2401">
        <f ca="1">C31</f>
        <v>0</v>
      </c>
      <c r="R51" s="2400" t="s">
        <v>2383</v>
      </c>
    </row>
    <row r="52" spans="1:18" s="2060" customFormat="1" ht="18" customHeight="1" thickBot="1">
      <c r="A52" s="2097"/>
      <c r="F52" s="2086"/>
      <c r="I52" s="3151" t="s">
        <v>2351</v>
      </c>
      <c r="J52" s="3155">
        <f>IF(J50="",J51,J50+J51-YEAR('数据-取费表'!B3))</f>
        <v>0</v>
      </c>
      <c r="K52" s="3126" t="s">
        <v>2357</v>
      </c>
      <c r="L52" s="3162">
        <f ca="1">ROUND(-PV(INDIRECT("'数据-取费表'!h"&amp;$G$1),L49,(C40-C14*J36),0),0)</f>
        <v>0</v>
      </c>
      <c r="O52" s="2402" t="s">
        <v>2387</v>
      </c>
      <c r="P52" s="2400" t="s">
        <v>2388</v>
      </c>
      <c r="Q52" s="2403" t="e">
        <f ca="1">J59</f>
        <v>#VALUE!</v>
      </c>
      <c r="R52" s="2404"/>
    </row>
    <row r="53" spans="1:18" s="2060" customFormat="1" ht="18" customHeight="1" thickBot="1">
      <c r="A53" s="2097"/>
      <c r="F53" s="2086"/>
      <c r="I53" s="3152" t="s">
        <v>2424</v>
      </c>
      <c r="J53" s="2386"/>
      <c r="K53" s="3152" t="s">
        <v>2423</v>
      </c>
      <c r="L53" s="2386"/>
      <c r="O53" s="2402" t="s">
        <v>2389</v>
      </c>
      <c r="P53" s="2400" t="s">
        <v>2390</v>
      </c>
      <c r="Q53" s="2403">
        <f>J53</f>
        <v>0</v>
      </c>
      <c r="R53" s="2404"/>
    </row>
    <row r="54" spans="1:18" s="2060" customFormat="1" ht="29.25" thickBot="1">
      <c r="A54" s="2097"/>
      <c r="I54" s="3153" t="s">
        <v>2983</v>
      </c>
      <c r="J54" s="3156">
        <f ca="1">IF(M48="住宅",MAX(J52,L49-'数据-取费表'!B20),MIN(J52,L49-'数据-取费表'!B20))</f>
        <v>-3</v>
      </c>
      <c r="K54" s="3461"/>
      <c r="L54" s="3462"/>
      <c r="O54" s="2402" t="s">
        <v>2391</v>
      </c>
      <c r="P54" s="2400" t="s">
        <v>2392</v>
      </c>
      <c r="Q54" s="2401">
        <f ca="1">J54</f>
        <v>-3</v>
      </c>
      <c r="R54" s="2400" t="s">
        <v>2393</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2394</v>
      </c>
      <c r="P55" s="2400" t="s">
        <v>2411</v>
      </c>
      <c r="Q55" s="2401">
        <f ca="1">Q49+Q50</f>
        <v>0</v>
      </c>
      <c r="R55" s="2404" t="s">
        <v>2395</v>
      </c>
    </row>
    <row r="56" spans="1:18" s="2060" customFormat="1" ht="16.5" thickBot="1">
      <c r="A56" s="2097"/>
      <c r="B56" s="2098"/>
      <c r="C56" s="2098"/>
      <c r="I56" s="3165" t="s">
        <v>2358</v>
      </c>
      <c r="J56" s="3101" t="e">
        <f ca="1">ROUND(IF(J48="钢混",J58/J51,1-(1-2%)*(J51-J58)/J51),3)</f>
        <v>#VALUE!</v>
      </c>
      <c r="K56" s="3166" t="s">
        <v>2359</v>
      </c>
      <c r="L56" s="2387"/>
      <c r="O56" s="2405" t="s">
        <v>2414</v>
      </c>
      <c r="P56" s="1592"/>
      <c r="Q56" s="1604"/>
      <c r="R56" s="1592"/>
    </row>
    <row r="57" spans="1:18" s="2060" customFormat="1" ht="43.5" thickBot="1">
      <c r="A57" s="2097"/>
      <c r="B57" s="2098"/>
      <c r="C57" s="2098"/>
      <c r="I57" s="3167" t="s">
        <v>2360</v>
      </c>
      <c r="J57" s="3177" t="s">
        <v>1679</v>
      </c>
      <c r="K57" s="3126" t="s">
        <v>2365</v>
      </c>
      <c r="L57" s="1909">
        <f ca="1">IF(L49&lt;J52,"——",L49-J52)</f>
        <v>0</v>
      </c>
      <c r="O57" s="2396" t="s">
        <v>2378</v>
      </c>
      <c r="P57" s="2397" t="s">
        <v>2379</v>
      </c>
      <c r="Q57" s="2398" t="s">
        <v>2380</v>
      </c>
      <c r="R57" s="2397" t="s">
        <v>2381</v>
      </c>
    </row>
    <row r="58" spans="1:18" s="2060" customFormat="1" ht="29.25" thickBot="1">
      <c r="A58" s="2097"/>
      <c r="B58" s="2098"/>
      <c r="C58" s="2098"/>
      <c r="I58" s="3168" t="s">
        <v>2361</v>
      </c>
      <c r="J58" s="3169" t="str">
        <f ca="1">IF(OR(M48="住宅",J52&lt;L49,J57="是"),"——",J52-L49)</f>
        <v>——</v>
      </c>
      <c r="K58" s="3126"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8" t="s">
        <v>2362</v>
      </c>
      <c r="J59" s="3102" t="e">
        <f ca="1">IF(J56&lt;0.4,0.4,J56)</f>
        <v>#VALUE!</v>
      </c>
      <c r="K59" s="3126"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8" t="s">
        <v>2363</v>
      </c>
      <c r="J60" s="3169" t="str">
        <f ca="1">IF(OR(M48="住宅",J52&lt;L49,J57="是"),"——",ROUND(C30*J59,0))</f>
        <v>——</v>
      </c>
      <c r="K60" s="3126"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0" t="s">
        <v>2364</v>
      </c>
      <c r="J61" s="3171" t="str">
        <f ca="1">IF(OR(M48="住宅",J52&lt;L49,J57="是"),"0",ROUND(J60/(1+J53)^J54,0))</f>
        <v>0</v>
      </c>
      <c r="K61" s="3172" t="s">
        <v>2369</v>
      </c>
      <c r="L61" s="3171"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3" t="s">
        <v>2370</v>
      </c>
      <c r="J63" s="3174" t="s">
        <v>2371</v>
      </c>
      <c r="K63" s="3174" t="s">
        <v>2372</v>
      </c>
      <c r="L63" s="3174" t="s">
        <v>2353</v>
      </c>
      <c r="M63" s="3175" t="s">
        <v>2946</v>
      </c>
      <c r="O63" s="2402" t="s">
        <v>2391</v>
      </c>
      <c r="P63" s="2400" t="s">
        <v>2399</v>
      </c>
      <c r="Q63" s="2401">
        <f ca="1">L60</f>
        <v>0</v>
      </c>
      <c r="R63" s="2404" t="s">
        <v>2400</v>
      </c>
    </row>
    <row r="64" spans="1:18" s="2060" customFormat="1" ht="15.75" thickBot="1">
      <c r="A64" s="2097"/>
      <c r="B64" s="2098"/>
      <c r="C64" s="2098"/>
      <c r="I64" s="3173" t="s">
        <v>2373</v>
      </c>
      <c r="J64" s="3174">
        <v>70</v>
      </c>
      <c r="K64" s="3174">
        <v>50</v>
      </c>
      <c r="L64" s="3174">
        <v>80</v>
      </c>
      <c r="M64" s="3176">
        <v>0.02</v>
      </c>
      <c r="O64" s="2399" t="s">
        <v>2394</v>
      </c>
      <c r="P64" s="2400" t="s">
        <v>2411</v>
      </c>
      <c r="Q64" s="2401" t="e">
        <f ca="1">Q58+Q59</f>
        <v>#DIV/0!</v>
      </c>
      <c r="R64" s="2404" t="s">
        <v>2395</v>
      </c>
    </row>
    <row r="65" spans="1:18" s="2060" customFormat="1" ht="16.5" thickBot="1">
      <c r="A65" s="2097"/>
      <c r="B65" s="2098"/>
      <c r="C65" s="2098"/>
      <c r="I65" s="3173" t="s">
        <v>2374</v>
      </c>
      <c r="J65" s="3174">
        <v>50</v>
      </c>
      <c r="K65" s="3174">
        <v>35</v>
      </c>
      <c r="L65" s="3174">
        <v>60</v>
      </c>
      <c r="M65" s="846">
        <v>0</v>
      </c>
      <c r="O65" s="2405" t="s">
        <v>2418</v>
      </c>
      <c r="P65" s="1592"/>
      <c r="Q65" s="1604"/>
      <c r="R65" s="1592"/>
    </row>
    <row r="66" spans="1:18" s="2060" customFormat="1" ht="15.75" thickBot="1">
      <c r="A66" s="2097"/>
      <c r="B66" s="2098"/>
      <c r="C66" s="2098"/>
      <c r="I66" s="3173" t="s">
        <v>2375</v>
      </c>
      <c r="J66" s="3174">
        <v>40</v>
      </c>
      <c r="K66" s="3174">
        <v>30</v>
      </c>
      <c r="L66" s="3174">
        <v>50</v>
      </c>
      <c r="M66" s="3176">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56.25">
      <c r="A7" s="1796"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2018年10月29日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本次估价对象为出让国有建设用地使用权，《国有土地使用证》[]证载土地终止日期为住宅2083年8月29日地下车库2063年8月29日。截至估价期日，出让国有建设用地使用权剩余土地使用年限为。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65" t="s">
        <v>2578</v>
      </c>
      <c r="C1" s="3465"/>
      <c r="D1" s="3465"/>
      <c r="E1" s="3465"/>
      <c r="F1" s="3465"/>
      <c r="G1" s="3464" t="s">
        <v>2579</v>
      </c>
      <c r="H1" s="3464"/>
      <c r="I1" s="3464"/>
      <c r="J1" s="3464"/>
      <c r="K1" s="3464"/>
      <c r="L1" s="3464"/>
      <c r="N1" s="3464" t="s">
        <v>2580</v>
      </c>
      <c r="O1" s="3464"/>
      <c r="P1" s="3464"/>
      <c r="Q1" s="3464"/>
      <c r="R1" s="2655"/>
      <c r="S1" s="3464" t="s">
        <v>2581</v>
      </c>
      <c r="T1" s="3464"/>
      <c r="U1" s="3464"/>
      <c r="V1" s="3464"/>
      <c r="X1" s="3463" t="s">
        <v>2641</v>
      </c>
      <c r="Y1" s="3464"/>
      <c r="Z1" s="3464"/>
      <c r="AA1" s="3464"/>
      <c r="AB1" s="3464"/>
      <c r="AD1" s="3463" t="s">
        <v>2645</v>
      </c>
      <c r="AE1" s="3464"/>
      <c r="AF1" s="3464"/>
      <c r="AG1" s="3464"/>
      <c r="AH1" s="3464"/>
    </row>
    <row r="2" spans="1:34" s="2757" customFormat="1" ht="14.25" thickBot="1">
      <c r="B2" s="2765" t="s">
        <v>2582</v>
      </c>
      <c r="C2" s="2765" t="s">
        <v>2643</v>
      </c>
      <c r="D2" s="2758" t="s">
        <v>1645</v>
      </c>
      <c r="E2" s="2758" t="s">
        <v>1952</v>
      </c>
      <c r="F2" s="2765" t="s">
        <v>2644</v>
      </c>
      <c r="G2" s="2761"/>
      <c r="H2" s="2760"/>
      <c r="I2" s="2765" t="s">
        <v>2960</v>
      </c>
      <c r="J2" s="2758" t="s">
        <v>2962</v>
      </c>
      <c r="K2" s="2758" t="s">
        <v>2963</v>
      </c>
      <c r="L2" s="2765" t="s">
        <v>2964</v>
      </c>
      <c r="N2" s="2765" t="s">
        <v>2582</v>
      </c>
      <c r="O2" s="2758" t="s">
        <v>2961</v>
      </c>
      <c r="P2" s="2758" t="s">
        <v>1952</v>
      </c>
      <c r="Q2" s="2765" t="s">
        <v>2644</v>
      </c>
      <c r="R2" s="2759"/>
      <c r="S2" s="2765" t="s">
        <v>2582</v>
      </c>
      <c r="T2" s="2758" t="s">
        <v>2961</v>
      </c>
      <c r="U2" s="2758" t="s">
        <v>1952</v>
      </c>
      <c r="V2" s="2765" t="s">
        <v>2644</v>
      </c>
      <c r="X2" s="2765" t="s">
        <v>2582</v>
      </c>
      <c r="Y2" s="2765" t="s">
        <v>2643</v>
      </c>
      <c r="Z2" s="2758" t="s">
        <v>1645</v>
      </c>
      <c r="AA2" s="2758" t="s">
        <v>1952</v>
      </c>
      <c r="AB2" s="2765" t="s">
        <v>2644</v>
      </c>
      <c r="AD2" s="2765" t="s">
        <v>2582</v>
      </c>
      <c r="AE2" s="2765" t="s">
        <v>2643</v>
      </c>
      <c r="AF2" s="2758" t="s">
        <v>1645</v>
      </c>
      <c r="AG2" s="2758" t="s">
        <v>1952</v>
      </c>
      <c r="AH2" s="2765" t="s">
        <v>2644</v>
      </c>
    </row>
    <row r="3" spans="1:34" s="3134" customFormat="1" ht="14.25">
      <c r="A3" s="3146" t="s">
        <v>2973</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4">
        <v>3</v>
      </c>
      <c r="I5" s="3128">
        <v>1.49</v>
      </c>
      <c r="J5" s="3128">
        <v>0.96</v>
      </c>
      <c r="K5" s="3128">
        <v>1.58</v>
      </c>
      <c r="L5" s="3128">
        <v>2.44</v>
      </c>
      <c r="N5" s="2763">
        <f t="shared" ref="N5" si="6">I5/100</f>
        <v>1.49E-2</v>
      </c>
      <c r="O5" s="2763">
        <f t="shared" ref="O5" si="7">J5/100</f>
        <v>9.5999999999999992E-3</v>
      </c>
      <c r="P5" s="2763">
        <f t="shared" ref="P5" si="8">K5/100</f>
        <v>1.5800000000000002E-2</v>
      </c>
      <c r="Q5" s="2763">
        <f t="shared" ref="Q5" si="9">L5/100</f>
        <v>2.4399999999999998E-2</v>
      </c>
      <c r="R5" s="3116"/>
      <c r="S5" s="3117"/>
      <c r="T5" s="3116"/>
      <c r="U5" s="3116"/>
      <c r="V5" s="3116"/>
      <c r="W5" s="3144" t="s">
        <v>2974</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3"/>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2980</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3"/>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2971</v>
      </c>
      <c r="B8" s="3148">
        <v>439</v>
      </c>
      <c r="C8" s="3148">
        <v>327</v>
      </c>
      <c r="D8" s="3148">
        <f t="shared" si="23"/>
        <v>327</v>
      </c>
      <c r="E8" s="3148">
        <v>627</v>
      </c>
      <c r="F8" s="3149">
        <v>283</v>
      </c>
      <c r="G8" s="3131">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2975</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3"/>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2"/>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3"/>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72">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67"/>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67"/>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68"/>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66">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67"/>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67"/>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68"/>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66">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67"/>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67"/>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68"/>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2585</v>
      </c>
      <c r="B24" s="2662">
        <v>299</v>
      </c>
      <c r="C24" s="2662">
        <v>252</v>
      </c>
      <c r="D24" s="2662">
        <f t="shared" si="45"/>
        <v>252</v>
      </c>
      <c r="E24" s="2662">
        <v>409</v>
      </c>
      <c r="F24" s="2663">
        <v>227</v>
      </c>
      <c r="G24" s="3469">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70"/>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470"/>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471"/>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466">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467"/>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467"/>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468"/>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466">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67">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467">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468">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466">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67">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467">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468">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466">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67">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467">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468">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466">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67">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467">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468">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466">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67">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467">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468">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466">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67">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467">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468">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466">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67">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467">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468">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466">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67">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467">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468">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466">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467">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467">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468">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466">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467">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467">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468">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2473</v>
      </c>
      <c r="B1" s="3490"/>
      <c r="C1" s="3491"/>
      <c r="D1" s="3492">
        <f>SUM(I10,I15,I20,I21,I23)</f>
        <v>0</v>
      </c>
      <c r="E1" s="3492"/>
      <c r="F1" s="3492"/>
      <c r="G1" s="3492"/>
      <c r="H1" s="3492"/>
      <c r="I1" s="3493"/>
    </row>
    <row r="2" spans="1:9">
      <c r="A2" s="3479" t="s">
        <v>2474</v>
      </c>
      <c r="B2" s="3480" t="s">
        <v>2475</v>
      </c>
      <c r="C2" s="3480"/>
      <c r="D2" s="2508" t="s">
        <v>2476</v>
      </c>
      <c r="E2" s="2508" t="s">
        <v>2477</v>
      </c>
      <c r="F2" s="2508" t="s">
        <v>2478</v>
      </c>
      <c r="G2" s="2508" t="s">
        <v>2479</v>
      </c>
      <c r="H2" s="2508" t="s">
        <v>2480</v>
      </c>
      <c r="I2" s="2509" t="s">
        <v>2481</v>
      </c>
    </row>
    <row r="3" spans="1:9">
      <c r="A3" s="3479"/>
      <c r="B3" s="3480" t="s">
        <v>2482</v>
      </c>
      <c r="C3" s="3480"/>
      <c r="D3" s="2510"/>
      <c r="E3" s="2508"/>
      <c r="F3" s="2511"/>
      <c r="G3" s="2511"/>
      <c r="H3" s="2512"/>
      <c r="I3" s="2513">
        <f>ROUND(D3*E3*F3*G3*H3/10000,0)</f>
        <v>0</v>
      </c>
    </row>
    <row r="4" spans="1:9">
      <c r="A4" s="3479"/>
      <c r="B4" s="3480" t="s">
        <v>2483</v>
      </c>
      <c r="C4" s="3480"/>
      <c r="D4" s="2510"/>
      <c r="E4" s="2508"/>
      <c r="F4" s="2511"/>
      <c r="G4" s="2511"/>
      <c r="H4" s="2512"/>
      <c r="I4" s="2513">
        <f t="shared" ref="I4:I9" si="0">ROUND(D4*E4*F4*G4*H4/10000,0)</f>
        <v>0</v>
      </c>
    </row>
    <row r="5" spans="1:9">
      <c r="A5" s="3479"/>
      <c r="B5" s="3480" t="s">
        <v>2484</v>
      </c>
      <c r="C5" s="3480"/>
      <c r="D5" s="2510"/>
      <c r="E5" s="2508"/>
      <c r="F5" s="2511"/>
      <c r="G5" s="2511"/>
      <c r="H5" s="2512"/>
      <c r="I5" s="2513">
        <f t="shared" si="0"/>
        <v>0</v>
      </c>
    </row>
    <row r="6" spans="1:9">
      <c r="A6" s="3479"/>
      <c r="B6" s="3480" t="s">
        <v>2485</v>
      </c>
      <c r="C6" s="3480"/>
      <c r="D6" s="2510"/>
      <c r="E6" s="2508"/>
      <c r="F6" s="2511"/>
      <c r="G6" s="2511"/>
      <c r="H6" s="2512"/>
      <c r="I6" s="2513">
        <f t="shared" si="0"/>
        <v>0</v>
      </c>
    </row>
    <row r="7" spans="1:9">
      <c r="A7" s="3479"/>
      <c r="B7" s="3480" t="s">
        <v>2486</v>
      </c>
      <c r="C7" s="3480"/>
      <c r="D7" s="2510"/>
      <c r="E7" s="2508"/>
      <c r="F7" s="2511"/>
      <c r="G7" s="2511"/>
      <c r="H7" s="2512"/>
      <c r="I7" s="2513">
        <f t="shared" si="0"/>
        <v>0</v>
      </c>
    </row>
    <row r="8" spans="1:9">
      <c r="A8" s="3479"/>
      <c r="B8" s="3480" t="s">
        <v>2487</v>
      </c>
      <c r="C8" s="3480"/>
      <c r="D8" s="2510"/>
      <c r="E8" s="2508"/>
      <c r="F8" s="2511"/>
      <c r="G8" s="2511"/>
      <c r="H8" s="2512"/>
      <c r="I8" s="2513">
        <f t="shared" si="0"/>
        <v>0</v>
      </c>
    </row>
    <row r="9" spans="1:9">
      <c r="A9" s="3479"/>
      <c r="B9" s="3480" t="s">
        <v>2488</v>
      </c>
      <c r="C9" s="3480"/>
      <c r="D9" s="2510"/>
      <c r="E9" s="2508"/>
      <c r="F9" s="2511"/>
      <c r="G9" s="2511"/>
      <c r="H9" s="2512"/>
      <c r="I9" s="2513">
        <f t="shared" si="0"/>
        <v>0</v>
      </c>
    </row>
    <row r="10" spans="1:9">
      <c r="A10" s="3479"/>
      <c r="B10" s="3481" t="s">
        <v>2489</v>
      </c>
      <c r="C10" s="3481"/>
      <c r="D10" s="2514">
        <v>527</v>
      </c>
      <c r="E10" s="2514" t="e">
        <f>ROUND(D1*10000/D10/H9,0)</f>
        <v>#DIV/0!</v>
      </c>
      <c r="F10" s="2515"/>
      <c r="G10" s="2515"/>
      <c r="H10" s="2516"/>
      <c r="I10" s="2517">
        <f>SUM(I3:I9)</f>
        <v>0</v>
      </c>
    </row>
    <row r="11" spans="1:9" ht="14.25">
      <c r="A11" s="3479" t="s">
        <v>2490</v>
      </c>
      <c r="B11" s="3480" t="s">
        <v>2491</v>
      </c>
      <c r="C11" s="3480"/>
      <c r="D11" s="2510" t="s">
        <v>2492</v>
      </c>
      <c r="E11" s="2510" t="s">
        <v>2493</v>
      </c>
      <c r="F11" s="2511" t="s">
        <v>2494</v>
      </c>
      <c r="G11" s="2511" t="s">
        <v>2495</v>
      </c>
      <c r="H11" s="2518" t="s">
        <v>2496</v>
      </c>
      <c r="I11" s="2509" t="s">
        <v>2497</v>
      </c>
    </row>
    <row r="12" spans="1:9">
      <c r="A12" s="3479"/>
      <c r="B12" s="3480" t="s">
        <v>2498</v>
      </c>
      <c r="C12" s="3480"/>
      <c r="D12" s="2510"/>
      <c r="E12" s="2510"/>
      <c r="F12" s="2511"/>
      <c r="G12" s="2512"/>
      <c r="H12" s="2519"/>
      <c r="I12" s="2509">
        <f>ROUND(D12*E12*F12*G12/10000,0)</f>
        <v>0</v>
      </c>
    </row>
    <row r="13" spans="1:9">
      <c r="A13" s="3479"/>
      <c r="B13" s="3480" t="s">
        <v>2499</v>
      </c>
      <c r="C13" s="3480"/>
      <c r="D13" s="2510"/>
      <c r="E13" s="2510"/>
      <c r="F13" s="2511"/>
      <c r="G13" s="2512"/>
      <c r="H13" s="2519"/>
      <c r="I13" s="2509">
        <f>ROUND(D13*E13*F13*G13/10000,0)</f>
        <v>0</v>
      </c>
    </row>
    <row r="14" spans="1:9">
      <c r="A14" s="3479"/>
      <c r="B14" s="3480" t="s">
        <v>2500</v>
      </c>
      <c r="C14" s="3480"/>
      <c r="D14" s="2510"/>
      <c r="E14" s="2510"/>
      <c r="F14" s="2511"/>
      <c r="G14" s="2512"/>
      <c r="H14" s="2519"/>
      <c r="I14" s="2509">
        <f>ROUND(D14*E14*F14*G14/10000,0)</f>
        <v>0</v>
      </c>
    </row>
    <row r="15" spans="1:9">
      <c r="A15" s="3479"/>
      <c r="B15" s="3481" t="s">
        <v>2489</v>
      </c>
      <c r="C15" s="3481"/>
      <c r="D15" s="2514"/>
      <c r="E15" s="2514">
        <f>SUM(E12:E14)</f>
        <v>0</v>
      </c>
      <c r="F15" s="2515"/>
      <c r="G15" s="2512"/>
      <c r="H15" s="2519"/>
      <c r="I15" s="2520">
        <f>SUM(I12:I14)</f>
        <v>0</v>
      </c>
    </row>
    <row r="16" spans="1:9" ht="24">
      <c r="A16" s="3479" t="s">
        <v>2501</v>
      </c>
      <c r="B16" s="3480" t="s">
        <v>2502</v>
      </c>
      <c r="C16" s="3480"/>
      <c r="D16" s="2510" t="s">
        <v>2503</v>
      </c>
      <c r="E16" s="2521" t="s">
        <v>2504</v>
      </c>
      <c r="F16" s="2511" t="s">
        <v>2505</v>
      </c>
      <c r="G16" s="2512" t="s">
        <v>2495</v>
      </c>
      <c r="H16" s="2518" t="s">
        <v>2496</v>
      </c>
      <c r="I16" s="2509" t="s">
        <v>2497</v>
      </c>
    </row>
    <row r="17" spans="1:9" ht="14.25">
      <c r="A17" s="3479"/>
      <c r="B17" s="3480" t="s">
        <v>2506</v>
      </c>
      <c r="C17" s="3480"/>
      <c r="D17" s="2510"/>
      <c r="E17" s="2510"/>
      <c r="F17" s="2511"/>
      <c r="G17" s="2512"/>
      <c r="H17" s="2522"/>
      <c r="I17" s="2523">
        <f>ROUND(D17*E17*F17*G17/10000,0)</f>
        <v>0</v>
      </c>
    </row>
    <row r="18" spans="1:9" ht="14.25">
      <c r="A18" s="3479"/>
      <c r="B18" s="3480" t="s">
        <v>2507</v>
      </c>
      <c r="C18" s="3480"/>
      <c r="D18" s="2510"/>
      <c r="E18" s="2510"/>
      <c r="F18" s="2511"/>
      <c r="G18" s="2512"/>
      <c r="H18" s="2522"/>
      <c r="I18" s="2523">
        <f>ROUND(D18*E18*F18*G18/10000,0)</f>
        <v>0</v>
      </c>
    </row>
    <row r="19" spans="1:9" ht="14.25">
      <c r="A19" s="3479"/>
      <c r="B19" s="3480" t="s">
        <v>2508</v>
      </c>
      <c r="C19" s="3480"/>
      <c r="D19" s="2510"/>
      <c r="E19" s="2510"/>
      <c r="F19" s="2511"/>
      <c r="G19" s="2512"/>
      <c r="H19" s="2522"/>
      <c r="I19" s="2523">
        <f>ROUND(D19*E19*F19*G19/10000,0)</f>
        <v>0</v>
      </c>
    </row>
    <row r="20" spans="1:9">
      <c r="A20" s="3479"/>
      <c r="B20" s="3481" t="s">
        <v>2489</v>
      </c>
      <c r="C20" s="3481"/>
      <c r="D20" s="2514">
        <f>SUM(D17:D19)</f>
        <v>0</v>
      </c>
      <c r="E20" s="2514"/>
      <c r="F20" s="2515"/>
      <c r="G20" s="2512"/>
      <c r="H20" s="2519"/>
      <c r="I20" s="2520">
        <f>SUM(I17:I19)</f>
        <v>0</v>
      </c>
    </row>
    <row r="21" spans="1:9">
      <c r="A21" s="3479" t="s">
        <v>2509</v>
      </c>
      <c r="B21" s="3482"/>
      <c r="C21" s="3482"/>
      <c r="D21" s="3482"/>
      <c r="E21" s="3482"/>
      <c r="F21" s="3482"/>
      <c r="G21" s="3482"/>
      <c r="H21" s="2524">
        <v>0.1</v>
      </c>
      <c r="I21" s="2517">
        <f>ROUND(I10*H21,0)</f>
        <v>0</v>
      </c>
    </row>
    <row r="22" spans="1:9" ht="14.25">
      <c r="A22" s="3483" t="s">
        <v>2510</v>
      </c>
      <c r="B22" s="3484"/>
      <c r="C22" s="3485"/>
      <c r="D22" s="2525" t="s">
        <v>2511</v>
      </c>
      <c r="E22" s="2525" t="s">
        <v>2512</v>
      </c>
      <c r="F22" s="2526" t="s">
        <v>2513</v>
      </c>
      <c r="G22" s="2526" t="s">
        <v>2514</v>
      </c>
      <c r="H22" s="2518" t="s">
        <v>2515</v>
      </c>
      <c r="I22" s="2509" t="s">
        <v>2516</v>
      </c>
    </row>
    <row r="23" spans="1:9" ht="14.25" thickBot="1">
      <c r="A23" s="3486"/>
      <c r="B23" s="3487"/>
      <c r="C23" s="3488"/>
      <c r="D23" s="2527"/>
      <c r="E23" s="2527"/>
      <c r="F23" s="2527"/>
      <c r="G23" s="2528"/>
      <c r="H23" s="2529"/>
      <c r="I23" s="2530">
        <f>ROUND(E23*D23*F23*(1-G23)/10000,0)</f>
        <v>0</v>
      </c>
    </row>
    <row r="26" spans="1:9">
      <c r="A26" s="2531" t="s">
        <v>2517</v>
      </c>
      <c r="B26" s="2531"/>
      <c r="C26" s="2531"/>
      <c r="D26" s="2531"/>
      <c r="E26" s="3476">
        <f>C27-C30-C31-C32</f>
        <v>0</v>
      </c>
      <c r="F26" s="3476"/>
      <c r="G26" s="3476"/>
      <c r="H26" s="3044" t="s">
        <v>2845</v>
      </c>
    </row>
    <row r="27" spans="1:9">
      <c r="A27" s="2532">
        <v>1</v>
      </c>
      <c r="B27" s="2533" t="s">
        <v>2518</v>
      </c>
      <c r="C27" s="2533"/>
      <c r="D27" s="2533"/>
      <c r="E27" s="3477"/>
      <c r="F27" s="3477"/>
      <c r="G27" s="3477"/>
    </row>
    <row r="28" spans="1:9">
      <c r="A28" s="2534" t="s">
        <v>2519</v>
      </c>
      <c r="B28" s="2533" t="s">
        <v>2520</v>
      </c>
      <c r="C28" s="2533"/>
      <c r="D28" s="2533"/>
      <c r="E28" s="3477"/>
      <c r="F28" s="3477"/>
      <c r="G28" s="3477"/>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78"/>
      <c r="F32" s="3478"/>
      <c r="G32" s="3478"/>
    </row>
    <row r="33" spans="1:7" hidden="1">
      <c r="A33" s="3473" t="s">
        <v>2528</v>
      </c>
      <c r="B33" s="3474"/>
      <c r="C33" s="3474"/>
      <c r="D33" s="3475"/>
      <c r="E33" s="3476"/>
      <c r="F33" s="3476"/>
      <c r="G33" s="3476"/>
    </row>
    <row r="34" spans="1:7" hidden="1">
      <c r="A34" s="2536">
        <v>1</v>
      </c>
      <c r="B34" s="2533" t="s">
        <v>2529</v>
      </c>
      <c r="C34" s="2533"/>
      <c r="D34" s="2533"/>
      <c r="E34" s="3477"/>
      <c r="F34" s="3477"/>
      <c r="G34" s="3477"/>
    </row>
    <row r="35" spans="1:7" hidden="1">
      <c r="A35" s="2536">
        <v>2</v>
      </c>
      <c r="B35" s="2533" t="s">
        <v>2530</v>
      </c>
      <c r="C35" s="2533"/>
      <c r="D35" s="2533"/>
      <c r="E35" s="3477"/>
      <c r="F35" s="3477"/>
      <c r="G35" s="3477"/>
    </row>
    <row r="36" spans="1:7" hidden="1">
      <c r="A36" s="2536">
        <v>3</v>
      </c>
      <c r="B36" s="2533" t="s">
        <v>2531</v>
      </c>
      <c r="C36" s="2533"/>
      <c r="D36" s="2533"/>
      <c r="E36" s="3477"/>
      <c r="F36" s="3477"/>
      <c r="G36" s="3477"/>
    </row>
    <row r="37" spans="1:7" hidden="1">
      <c r="A37" s="2536">
        <v>4</v>
      </c>
      <c r="B37" s="2533" t="s">
        <v>2532</v>
      </c>
      <c r="C37" s="2533"/>
      <c r="D37" s="2533"/>
      <c r="E37" s="3477"/>
      <c r="F37" s="3477"/>
      <c r="G37" s="3477"/>
    </row>
    <row r="38" spans="1:7" hidden="1">
      <c r="A38" s="3473" t="s">
        <v>2533</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229142.34999999998</v>
      </c>
      <c r="E10" s="749">
        <f>'数据-取费表'!B31</f>
        <v>90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4645</v>
      </c>
      <c r="D12" s="758">
        <f>'数据-汇总表'!E5</f>
        <v>160160.98000000001</v>
      </c>
      <c r="E12" s="757">
        <f>'数据-取费表'!B27</f>
        <v>290</v>
      </c>
      <c r="F12" s="755"/>
      <c r="G12" s="759"/>
    </row>
    <row r="13" spans="1:25" s="2184" customFormat="1" ht="13.5" customHeight="1">
      <c r="A13" s="2477" t="s">
        <v>2449</v>
      </c>
      <c r="B13" s="756" t="s">
        <v>612</v>
      </c>
      <c r="C13" s="757">
        <f>ROUND(D13*E13/10000,0)</f>
        <v>2069</v>
      </c>
      <c r="D13" s="758">
        <f>'数据-汇总表'!E6</f>
        <v>68981.369999999966</v>
      </c>
      <c r="E13" s="757">
        <f>'数据-取费表'!B28</f>
        <v>300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0.17</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B4" zoomScale="80" zoomScaleNormal="80" workbookViewId="0">
      <selection activeCell="C90" sqref="C90:G9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2995</v>
      </c>
      <c r="E1" s="2627"/>
      <c r="F1" s="2808" t="s">
        <v>3123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146208</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12340</v>
      </c>
      <c r="C3" s="852" t="s">
        <v>722</v>
      </c>
      <c r="D3" s="851">
        <f>SUMIF('数据-汇总表'!$C19:$C33,D1,'数据-汇总表'!$E19:$E33)</f>
        <v>118482.68000000001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3" t="s">
        <v>522</v>
      </c>
      <c r="D4" s="3404"/>
      <c r="E4" s="3427" t="s">
        <v>523</v>
      </c>
      <c r="F4" s="3428"/>
      <c r="G4" s="3403" t="s">
        <v>524</v>
      </c>
      <c r="H4" s="3404"/>
      <c r="I4" s="3403" t="s">
        <v>525</v>
      </c>
      <c r="J4" s="3404"/>
      <c r="K4" s="853" t="s">
        <v>526</v>
      </c>
      <c r="L4" s="2134"/>
      <c r="M4" s="2135"/>
      <c r="N4" s="2135"/>
      <c r="O4" s="2135"/>
      <c r="P4" s="3405" t="s">
        <v>527</v>
      </c>
      <c r="Q4" s="3406"/>
      <c r="R4" s="3391" t="s">
        <v>523</v>
      </c>
      <c r="S4" s="3392"/>
      <c r="T4" s="3391" t="s">
        <v>524</v>
      </c>
      <c r="U4" s="3392"/>
      <c r="V4" s="3411" t="s">
        <v>525</v>
      </c>
      <c r="W4" s="3411"/>
      <c r="X4" s="1567"/>
      <c r="Y4" s="3391" t="s">
        <v>527</v>
      </c>
      <c r="Z4" s="3392"/>
      <c r="AA4" s="3386" t="s">
        <v>523</v>
      </c>
      <c r="AB4" s="3386" t="s">
        <v>524</v>
      </c>
      <c r="AC4" s="3386" t="s">
        <v>525</v>
      </c>
    </row>
    <row r="5" spans="1:29" ht="15">
      <c r="A5" s="515"/>
      <c r="B5" s="516"/>
      <c r="C5" s="3414" t="s">
        <v>2931</v>
      </c>
      <c r="D5" s="3415"/>
      <c r="E5" s="3494" t="s">
        <v>3127</v>
      </c>
      <c r="F5" s="3430"/>
      <c r="G5" s="3497" t="s">
        <v>3128</v>
      </c>
      <c r="H5" s="3415"/>
      <c r="I5" s="3495" t="s">
        <v>3129</v>
      </c>
      <c r="J5" s="3496"/>
      <c r="K5" s="854"/>
      <c r="L5" s="2134"/>
      <c r="M5" s="2135"/>
      <c r="N5" s="2135"/>
      <c r="O5" s="2135"/>
      <c r="P5" s="3407"/>
      <c r="Q5" s="3408"/>
      <c r="R5" s="3393"/>
      <c r="S5" s="3394"/>
      <c r="T5" s="3393"/>
      <c r="U5" s="3394"/>
      <c r="V5" s="3411"/>
      <c r="W5" s="3411"/>
      <c r="X5" s="1567"/>
      <c r="Y5" s="3393"/>
      <c r="Z5" s="3394"/>
      <c r="AA5" s="3387"/>
      <c r="AB5" s="3387"/>
      <c r="AC5" s="3387"/>
    </row>
    <row r="6" spans="1:29" ht="15.75" thickBot="1">
      <c r="A6" s="517"/>
      <c r="B6" s="518"/>
      <c r="C6" s="3412" t="s">
        <v>2935</v>
      </c>
      <c r="D6" s="3413"/>
      <c r="E6" s="3431" t="s">
        <v>2935</v>
      </c>
      <c r="F6" s="3432"/>
      <c r="G6" s="3412" t="s">
        <v>2935</v>
      </c>
      <c r="H6" s="3413"/>
      <c r="I6" s="3412" t="s">
        <v>2935</v>
      </c>
      <c r="J6" s="3413"/>
      <c r="K6" s="854" t="s">
        <v>528</v>
      </c>
      <c r="L6" s="2134"/>
      <c r="M6" s="2135"/>
      <c r="N6" s="2135"/>
      <c r="O6" s="2135"/>
      <c r="P6" s="3409"/>
      <c r="Q6" s="3410"/>
      <c r="R6" s="3393"/>
      <c r="S6" s="3394"/>
      <c r="T6" s="3395"/>
      <c r="U6" s="3396"/>
      <c r="V6" s="3411"/>
      <c r="W6" s="3411"/>
      <c r="X6" s="1567"/>
      <c r="Y6" s="3395"/>
      <c r="Z6" s="3396"/>
      <c r="AA6" s="3388"/>
      <c r="AB6" s="3388"/>
      <c r="AC6" s="3388"/>
    </row>
    <row r="7" spans="1:29" s="1220" customFormat="1" ht="15.75" thickBot="1">
      <c r="A7" s="2912"/>
      <c r="B7" s="2919" t="s">
        <v>529</v>
      </c>
      <c r="C7" s="519">
        <f>'数据-取费表'!B2</f>
        <v>43402</v>
      </c>
      <c r="D7" s="520">
        <v>100</v>
      </c>
      <c r="E7" s="521">
        <v>43344</v>
      </c>
      <c r="F7" s="522">
        <f>SUMIF(58:58,YEAR(E7)&amp;"-"&amp;MONTH(E7),59:59)</f>
        <v>99</v>
      </c>
      <c r="G7" s="523">
        <v>43344</v>
      </c>
      <c r="H7" s="520">
        <f>SUMIF(58:58,YEAR(G7)&amp;"-"&amp;MONTH(G7),59:59)</f>
        <v>99</v>
      </c>
      <c r="I7" s="523">
        <v>43344</v>
      </c>
      <c r="J7" s="520">
        <f>SUMIF(58:58,YEAR(I7)&amp;"-"&amp;MONTH(I7),59:59)</f>
        <v>99</v>
      </c>
      <c r="K7" s="855"/>
      <c r="L7" s="2136"/>
      <c r="M7" s="2137"/>
      <c r="N7" s="2137"/>
      <c r="O7" s="2137"/>
      <c r="P7" s="3389" t="s">
        <v>530</v>
      </c>
      <c r="Q7" s="3398"/>
      <c r="R7" s="1568" t="s">
        <v>13</v>
      </c>
      <c r="S7" s="1569">
        <f t="shared" ref="S7:S15" si="0">F7</f>
        <v>99</v>
      </c>
      <c r="T7" s="1568" t="s">
        <v>13</v>
      </c>
      <c r="U7" s="1569">
        <f t="shared" ref="U7:U15" si="1">H7</f>
        <v>99</v>
      </c>
      <c r="V7" s="1568" t="s">
        <v>13</v>
      </c>
      <c r="W7" s="1569">
        <f t="shared" ref="W7:W15" si="2">J7</f>
        <v>99</v>
      </c>
      <c r="X7" s="1570"/>
      <c r="Y7" s="3389" t="s">
        <v>530</v>
      </c>
      <c r="Z7" s="3390"/>
      <c r="AA7" s="1571">
        <f>D7/F7</f>
        <v>1.0101010101010102</v>
      </c>
      <c r="AB7" s="1571">
        <f>D7/H7</f>
        <v>1.0101010101010102</v>
      </c>
      <c r="AC7" s="1571">
        <f>D7/J7</f>
        <v>1.0101010101010102</v>
      </c>
    </row>
    <row r="8" spans="1:29" s="1220" customFormat="1" ht="15.75" thickBot="1">
      <c r="A8" s="2913"/>
      <c r="B8" s="2920" t="s">
        <v>531</v>
      </c>
      <c r="C8" s="525" t="s">
        <v>576</v>
      </c>
      <c r="D8" s="520">
        <v>100</v>
      </c>
      <c r="E8" s="3196" t="s">
        <v>3124</v>
      </c>
      <c r="F8" s="522">
        <f>SUMIF(61:61,E8,62:62)-SUMIF(61:61,C8,62:62)+100</f>
        <v>100</v>
      </c>
      <c r="G8" s="3189" t="s">
        <v>3124</v>
      </c>
      <c r="H8" s="520">
        <f>SUMIF(61:61,G8,62:62)-SUMIF(61:61,C8,62:62)+100</f>
        <v>100</v>
      </c>
      <c r="I8" s="3196" t="s">
        <v>3124</v>
      </c>
      <c r="J8" s="520">
        <f>SUMIF(61:61,I8,62:62)-SUMIF(61:61,C8,62:62)+100</f>
        <v>100</v>
      </c>
      <c r="K8" s="855"/>
      <c r="L8" s="2136"/>
      <c r="M8" s="2137"/>
      <c r="N8" s="2137"/>
      <c r="O8" s="2137"/>
      <c r="P8" s="3389" t="s">
        <v>533</v>
      </c>
      <c r="Q8" s="3390"/>
      <c r="R8" s="1568" t="s">
        <v>13</v>
      </c>
      <c r="S8" s="1569">
        <f t="shared" si="0"/>
        <v>100</v>
      </c>
      <c r="T8" s="1568" t="s">
        <v>13</v>
      </c>
      <c r="U8" s="1569">
        <f t="shared" si="1"/>
        <v>100</v>
      </c>
      <c r="V8" s="1568" t="s">
        <v>13</v>
      </c>
      <c r="W8" s="1569">
        <f t="shared" si="2"/>
        <v>100</v>
      </c>
      <c r="X8" s="1570"/>
      <c r="Y8" s="3389" t="s">
        <v>533</v>
      </c>
      <c r="Z8" s="3390"/>
      <c r="AA8" s="1571">
        <f t="shared" ref="AA8:AA46" si="3">D8/F8</f>
        <v>1</v>
      </c>
      <c r="AB8" s="1571">
        <f t="shared" ref="AB8:AB46" si="4">D8/H8</f>
        <v>1</v>
      </c>
      <c r="AC8" s="1571">
        <f t="shared" ref="AC8:AC46" si="5">D8/J8</f>
        <v>1</v>
      </c>
    </row>
    <row r="9" spans="1:29" s="1220" customFormat="1" ht="15">
      <c r="A9" s="2914"/>
      <c r="B9" s="2921" t="s">
        <v>2758</v>
      </c>
      <c r="C9" s="3197" t="s">
        <v>3125</v>
      </c>
      <c r="D9" s="254">
        <v>100</v>
      </c>
      <c r="E9" s="3198" t="s">
        <v>3125</v>
      </c>
      <c r="F9" s="859">
        <f>SUMIF(63:63,E9,64:64)-SUMIF(63:63,C9,64:64)+100</f>
        <v>100</v>
      </c>
      <c r="G9" s="3199" t="s">
        <v>3125</v>
      </c>
      <c r="H9" s="254">
        <f>SUMIF(63:63,G9,64:64)-SUMIF(63:63,C9,64:64)+100</f>
        <v>100</v>
      </c>
      <c r="I9" s="3199" t="s">
        <v>3125</v>
      </c>
      <c r="J9" s="254">
        <f>SUMIF(63:63,I9,64:64)-SUMIF(63:63,C9,64:64)+100</f>
        <v>100</v>
      </c>
      <c r="K9" s="855"/>
      <c r="L9" s="2136"/>
      <c r="M9" s="2137"/>
      <c r="N9" s="2137"/>
      <c r="O9" s="2138"/>
      <c r="P9" s="3397" t="s">
        <v>535</v>
      </c>
      <c r="Q9" s="1151" t="str">
        <f t="shared" ref="Q9:Q15" si="6">B9</f>
        <v>用途</v>
      </c>
      <c r="R9" s="1568" t="s">
        <v>8</v>
      </c>
      <c r="S9" s="1569">
        <f t="shared" si="0"/>
        <v>100</v>
      </c>
      <c r="T9" s="1568" t="s">
        <v>8</v>
      </c>
      <c r="U9" s="1569">
        <f t="shared" si="1"/>
        <v>100</v>
      </c>
      <c r="V9" s="1568" t="s">
        <v>8</v>
      </c>
      <c r="W9" s="1569">
        <f t="shared" si="2"/>
        <v>100</v>
      </c>
      <c r="X9" s="1570"/>
      <c r="Y9" s="3354" t="s">
        <v>536</v>
      </c>
      <c r="Z9" s="1150" t="str">
        <f t="shared" ref="Z9:Z15" si="7">Q9</f>
        <v>用途</v>
      </c>
      <c r="AA9" s="1571">
        <f t="shared" si="3"/>
        <v>1</v>
      </c>
      <c r="AB9" s="1571">
        <f t="shared" si="4"/>
        <v>1</v>
      </c>
      <c r="AC9" s="1571">
        <f t="shared" si="5"/>
        <v>1</v>
      </c>
    </row>
    <row r="10" spans="1:29" s="1338" customFormat="1" ht="27">
      <c r="A10" s="2915"/>
      <c r="B10" s="2920" t="s">
        <v>2759</v>
      </c>
      <c r="C10" s="861" t="s">
        <v>3126</v>
      </c>
      <c r="D10" s="255">
        <v>100</v>
      </c>
      <c r="E10" s="862" t="s">
        <v>3126</v>
      </c>
      <c r="F10" s="863">
        <f>SUMIF(65:65,E10,66:66)-SUMIF(65:65,C10,66:66)+100</f>
        <v>100</v>
      </c>
      <c r="G10" s="861" t="s">
        <v>3126</v>
      </c>
      <c r="H10" s="255">
        <f>SUMIF(65:65,G10,66:66)-SUMIF(65:65,C10,66:66)+100</f>
        <v>100</v>
      </c>
      <c r="I10" s="861" t="s">
        <v>3126</v>
      </c>
      <c r="J10" s="255">
        <f>SUMIF(65:65,I10,66:66)-SUMIF(65:65,C10,66:66)+100</f>
        <v>100</v>
      </c>
      <c r="K10" s="864"/>
      <c r="L10" s="2139"/>
      <c r="M10" s="2179"/>
      <c r="N10" s="2179"/>
      <c r="O10" s="2140"/>
      <c r="P10" s="3397"/>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6"/>
      <c r="B11" s="2920" t="s">
        <v>2760</v>
      </c>
      <c r="C11" s="533">
        <f>'数据-汇总表'!I6</f>
        <v>1.49</v>
      </c>
      <c r="D11" s="255">
        <v>100</v>
      </c>
      <c r="E11" s="534">
        <v>1.5</v>
      </c>
      <c r="F11" s="863">
        <f>LOOKUP(E11,68:68,69:69)-LOOKUP(C11,68:68,69:69)+100</f>
        <v>100</v>
      </c>
      <c r="G11" s="533">
        <v>1.5</v>
      </c>
      <c r="H11" s="255">
        <f>LOOKUP(G11,68:68,69:69)-LOOKUP(C11,68:68,69:69)+100</f>
        <v>100</v>
      </c>
      <c r="I11" s="533">
        <v>1.07</v>
      </c>
      <c r="J11" s="255">
        <f>LOOKUP(I11,68:68,69:69)-LOOKUP(C11,68:68,69:69)+100</f>
        <v>100</v>
      </c>
      <c r="K11" s="864"/>
      <c r="L11" s="2141"/>
      <c r="M11" s="2135"/>
      <c r="N11" s="2135"/>
      <c r="O11" s="2142"/>
      <c r="P11" s="3397"/>
      <c r="Q11" s="1151" t="str">
        <f t="shared" si="6"/>
        <v>容积率</v>
      </c>
      <c r="R11" s="1568" t="s">
        <v>11</v>
      </c>
      <c r="S11" s="1569">
        <f t="shared" si="0"/>
        <v>100</v>
      </c>
      <c r="T11" s="1568" t="s">
        <v>11</v>
      </c>
      <c r="U11" s="1569">
        <f t="shared" si="1"/>
        <v>100</v>
      </c>
      <c r="V11" s="1568" t="s">
        <v>11</v>
      </c>
      <c r="W11" s="1569">
        <f t="shared" si="2"/>
        <v>100</v>
      </c>
      <c r="X11" s="1570"/>
      <c r="Y11" s="3354"/>
      <c r="Z11" s="1150" t="str">
        <f t="shared" si="7"/>
        <v>容积率</v>
      </c>
      <c r="AA11" s="1571">
        <f t="shared" si="3"/>
        <v>1</v>
      </c>
      <c r="AB11" s="1571">
        <f t="shared" si="4"/>
        <v>1</v>
      </c>
      <c r="AC11" s="1571">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7"/>
      <c r="Q12" s="1151">
        <f t="shared" si="6"/>
        <v>111</v>
      </c>
      <c r="R12" s="1568" t="s">
        <v>11</v>
      </c>
      <c r="S12" s="1569">
        <f t="shared" si="0"/>
        <v>100</v>
      </c>
      <c r="T12" s="1568" t="s">
        <v>11</v>
      </c>
      <c r="U12" s="1569">
        <f t="shared" si="1"/>
        <v>100</v>
      </c>
      <c r="V12" s="1568" t="s">
        <v>11</v>
      </c>
      <c r="W12" s="1569">
        <f t="shared" si="2"/>
        <v>100</v>
      </c>
      <c r="X12" s="1570"/>
      <c r="Y12" s="3354"/>
      <c r="Z12" s="1150">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7"/>
      <c r="Q13" s="1151">
        <f t="shared" si="6"/>
        <v>111</v>
      </c>
      <c r="R13" s="1568" t="s">
        <v>11</v>
      </c>
      <c r="S13" s="1569">
        <f t="shared" si="0"/>
        <v>100</v>
      </c>
      <c r="T13" s="1568" t="s">
        <v>11</v>
      </c>
      <c r="U13" s="1569">
        <f t="shared" si="1"/>
        <v>100</v>
      </c>
      <c r="V13" s="1568" t="s">
        <v>11</v>
      </c>
      <c r="W13" s="1569">
        <f t="shared" si="2"/>
        <v>100</v>
      </c>
      <c r="X13" s="1570"/>
      <c r="Y13" s="3354"/>
      <c r="Z13" s="1150">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7"/>
      <c r="Q14" s="1151">
        <f t="shared" si="6"/>
        <v>111</v>
      </c>
      <c r="R14" s="1568" t="s">
        <v>11</v>
      </c>
      <c r="S14" s="1569">
        <f t="shared" si="0"/>
        <v>100</v>
      </c>
      <c r="T14" s="1568" t="s">
        <v>11</v>
      </c>
      <c r="U14" s="1569">
        <f t="shared" si="1"/>
        <v>100</v>
      </c>
      <c r="V14" s="1568" t="s">
        <v>11</v>
      </c>
      <c r="W14" s="1569">
        <f t="shared" si="2"/>
        <v>100</v>
      </c>
      <c r="X14" s="1570"/>
      <c r="Y14" s="3354"/>
      <c r="Z14" s="1150">
        <f t="shared" si="7"/>
        <v>111</v>
      </c>
      <c r="AA14" s="1571">
        <f t="shared" si="3"/>
        <v>1</v>
      </c>
      <c r="AB14" s="1571">
        <f t="shared" si="4"/>
        <v>1</v>
      </c>
      <c r="AC14" s="1571">
        <f t="shared" si="5"/>
        <v>1</v>
      </c>
    </row>
    <row r="15" spans="1:29" ht="128.25">
      <c r="A15" s="2910" t="s">
        <v>2756</v>
      </c>
      <c r="B15" s="166" t="s">
        <v>295</v>
      </c>
      <c r="C15" s="867" t="str">
        <f>估价对象房地状况!C3</f>
        <v>估价对象周边有中惠·团泊湖光耀城、泊湖林奇郡等社区，居住小区规模和社区发展完善程度较好，综合评价居住社区成熟度较好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9" t="s">
        <v>540</v>
      </c>
      <c r="Q15" s="1572" t="str">
        <f t="shared" si="6"/>
        <v>居住社区成熟度</v>
      </c>
      <c r="R15" s="1573" t="s">
        <v>11</v>
      </c>
      <c r="S15" s="1574">
        <f t="shared" si="0"/>
        <v>100</v>
      </c>
      <c r="T15" s="1573" t="s">
        <v>11</v>
      </c>
      <c r="U15" s="1574">
        <f t="shared" si="1"/>
        <v>100</v>
      </c>
      <c r="V15" s="1573" t="s">
        <v>11</v>
      </c>
      <c r="W15" s="1574">
        <f t="shared" si="2"/>
        <v>100</v>
      </c>
      <c r="X15" s="1567"/>
      <c r="Y15" s="3399"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00"/>
      <c r="Q16" s="1572"/>
      <c r="R16" s="1573"/>
      <c r="S16" s="1574"/>
      <c r="T16" s="1573"/>
      <c r="U16" s="1574"/>
      <c r="V16" s="1573"/>
      <c r="W16" s="1574"/>
      <c r="X16" s="1567"/>
      <c r="Y16" s="3400"/>
      <c r="Z16" s="1575"/>
      <c r="AA16" s="1576">
        <v>1</v>
      </c>
      <c r="AB16" s="1576">
        <v>1</v>
      </c>
      <c r="AC16" s="1576">
        <v>1</v>
      </c>
    </row>
    <row r="17" spans="1:29" ht="128.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0"/>
      <c r="Q17" s="1572" t="str">
        <f>B17</f>
        <v>交通便捷度</v>
      </c>
      <c r="R17" s="1573" t="s">
        <v>11</v>
      </c>
      <c r="S17" s="1574">
        <f>F17</f>
        <v>100</v>
      </c>
      <c r="T17" s="1573" t="s">
        <v>11</v>
      </c>
      <c r="U17" s="1574">
        <f>H17</f>
        <v>100</v>
      </c>
      <c r="V17" s="1573" t="s">
        <v>11</v>
      </c>
      <c r="W17" s="1574">
        <f>J17</f>
        <v>100</v>
      </c>
      <c r="X17" s="1567"/>
      <c r="Y17" s="340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00"/>
      <c r="Q18" s="1572"/>
      <c r="R18" s="1573"/>
      <c r="S18" s="1574"/>
      <c r="T18" s="1573"/>
      <c r="U18" s="1574"/>
      <c r="V18" s="1573"/>
      <c r="W18" s="1574"/>
      <c r="X18" s="1567"/>
      <c r="Y18" s="3400"/>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0"/>
      <c r="Q19" s="1572" t="str">
        <f>B19</f>
        <v>公共配套设施</v>
      </c>
      <c r="R19" s="1573" t="s">
        <v>11</v>
      </c>
      <c r="S19" s="1574">
        <f>F19</f>
        <v>100</v>
      </c>
      <c r="T19" s="1573" t="s">
        <v>11</v>
      </c>
      <c r="U19" s="1574">
        <f>H19</f>
        <v>100</v>
      </c>
      <c r="V19" s="1573" t="s">
        <v>11</v>
      </c>
      <c r="W19" s="1574">
        <f>J19</f>
        <v>100</v>
      </c>
      <c r="X19" s="1567"/>
      <c r="Y19" s="340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00"/>
      <c r="Q20" s="1572"/>
      <c r="R20" s="1573"/>
      <c r="S20" s="1574"/>
      <c r="T20" s="1573"/>
      <c r="U20" s="1574"/>
      <c r="V20" s="1573"/>
      <c r="W20" s="1574"/>
      <c r="X20" s="1567"/>
      <c r="Y20" s="3400"/>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0"/>
      <c r="Q21" s="2580" t="str">
        <f>B21</f>
        <v>基础设施水平</v>
      </c>
      <c r="R21" s="1573" t="s">
        <v>11</v>
      </c>
      <c r="S21" s="1574">
        <f>F21</f>
        <v>100</v>
      </c>
      <c r="T21" s="1573" t="s">
        <v>11</v>
      </c>
      <c r="U21" s="1574">
        <f>H21</f>
        <v>100</v>
      </c>
      <c r="V21" s="1573" t="s">
        <v>11</v>
      </c>
      <c r="W21" s="1574">
        <f>J21</f>
        <v>100</v>
      </c>
      <c r="X21" s="2582"/>
      <c r="Y21" s="3400"/>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00"/>
      <c r="Q22" s="2580"/>
      <c r="R22" s="1573"/>
      <c r="S22" s="1574"/>
      <c r="T22" s="1573"/>
      <c r="U22" s="1574"/>
      <c r="V22" s="1573"/>
      <c r="W22" s="1574"/>
      <c r="X22" s="2582"/>
      <c r="Y22" s="3400"/>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0"/>
      <c r="Q23" s="1572" t="str">
        <f>B23</f>
        <v>自然及人文环境</v>
      </c>
      <c r="R23" s="1573" t="s">
        <v>11</v>
      </c>
      <c r="S23" s="1574">
        <f>F23</f>
        <v>100</v>
      </c>
      <c r="T23" s="1573" t="s">
        <v>11</v>
      </c>
      <c r="U23" s="1574">
        <f>H23</f>
        <v>100</v>
      </c>
      <c r="V23" s="1573" t="s">
        <v>11</v>
      </c>
      <c r="W23" s="1574">
        <f>J23</f>
        <v>100</v>
      </c>
      <c r="X23" s="1567"/>
      <c r="Y23" s="340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00"/>
      <c r="Q24" s="1572"/>
      <c r="R24" s="1573"/>
      <c r="S24" s="1574"/>
      <c r="T24" s="1573"/>
      <c r="U24" s="1574"/>
      <c r="V24" s="1573"/>
      <c r="W24" s="1574"/>
      <c r="X24" s="1567"/>
      <c r="Y24" s="3400"/>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0"/>
      <c r="Q25" s="1572" t="str">
        <f t="shared" ref="Q25:Q46" si="11">B25</f>
        <v>楼层-1</v>
      </c>
      <c r="R25" s="1573" t="s">
        <v>11</v>
      </c>
      <c r="S25" s="1574">
        <f>F25</f>
        <v>100</v>
      </c>
      <c r="T25" s="1573" t="s">
        <v>11</v>
      </c>
      <c r="U25" s="1574">
        <f>H25</f>
        <v>100</v>
      </c>
      <c r="V25" s="1573" t="s">
        <v>11</v>
      </c>
      <c r="W25" s="1574">
        <f>J25</f>
        <v>100</v>
      </c>
      <c r="X25" s="1567"/>
      <c r="Y25" s="340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0"/>
      <c r="Q26" s="1572" t="str">
        <f t="shared" si="11"/>
        <v>朝向</v>
      </c>
      <c r="R26" s="1573" t="s">
        <v>11</v>
      </c>
      <c r="S26" s="1574">
        <f>F26</f>
        <v>100</v>
      </c>
      <c r="T26" s="1573" t="s">
        <v>11</v>
      </c>
      <c r="U26" s="1574">
        <f>H26</f>
        <v>100</v>
      </c>
      <c r="V26" s="1573" t="s">
        <v>11</v>
      </c>
      <c r="W26" s="1574">
        <f>J26</f>
        <v>100</v>
      </c>
      <c r="X26" s="1567"/>
      <c r="Y26" s="3400"/>
      <c r="Z26" s="1575" t="str">
        <f>Q26</f>
        <v>朝向</v>
      </c>
      <c r="AA26" s="1576">
        <f t="shared" si="3"/>
        <v>1</v>
      </c>
      <c r="AB26" s="1576">
        <f t="shared" si="4"/>
        <v>1</v>
      </c>
      <c r="AC26" s="1576">
        <f t="shared" si="5"/>
        <v>1</v>
      </c>
    </row>
    <row r="27" spans="1:29" s="1220" customFormat="1" ht="15">
      <c r="A27" s="536"/>
      <c r="B27" s="3210" t="s">
        <v>724</v>
      </c>
      <c r="C27" s="3517" t="s">
        <v>3159</v>
      </c>
      <c r="D27" s="875">
        <v>100</v>
      </c>
      <c r="E27" s="3517" t="s">
        <v>3159</v>
      </c>
      <c r="F27" s="876">
        <f>SUMIF(90:90,E27,91:91)-SUMIF(90:90,C27,91:91)+100</f>
        <v>100</v>
      </c>
      <c r="G27" s="3517" t="s">
        <v>3159</v>
      </c>
      <c r="H27" s="875">
        <f>SUMIF(90:90,G27,91:91)-SUMIF(90:90,C27,91:91)+100</f>
        <v>100</v>
      </c>
      <c r="I27" s="3517" t="s">
        <v>3159</v>
      </c>
      <c r="J27" s="875">
        <f>SUMIF(90:90,I27,91:91)-SUMIF(90:90,C27,91:91)+100</f>
        <v>100</v>
      </c>
      <c r="K27" s="865"/>
      <c r="L27" s="2136"/>
      <c r="M27" s="2137"/>
      <c r="N27" s="2137"/>
      <c r="O27" s="2138"/>
      <c r="P27" s="3400"/>
      <c r="Q27" s="1151" t="str">
        <f t="shared" si="11"/>
        <v>道路级别</v>
      </c>
      <c r="R27" s="1568" t="s">
        <v>11</v>
      </c>
      <c r="S27" s="1569">
        <f>F27</f>
        <v>100</v>
      </c>
      <c r="T27" s="1568" t="s">
        <v>11</v>
      </c>
      <c r="U27" s="1569">
        <f>H27</f>
        <v>100</v>
      </c>
      <c r="V27" s="1568" t="s">
        <v>11</v>
      </c>
      <c r="W27" s="1569">
        <f>J27</f>
        <v>100</v>
      </c>
      <c r="X27" s="1570"/>
      <c r="Y27" s="340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0"/>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0"/>
      <c r="Q29" s="1572">
        <f t="shared" si="11"/>
        <v>111</v>
      </c>
      <c r="R29" s="1573" t="s">
        <v>11</v>
      </c>
      <c r="S29" s="1574">
        <f t="shared" si="12"/>
        <v>100</v>
      </c>
      <c r="T29" s="1573" t="s">
        <v>11</v>
      </c>
      <c r="U29" s="1574">
        <f t="shared" si="13"/>
        <v>100</v>
      </c>
      <c r="V29" s="1573" t="s">
        <v>11</v>
      </c>
      <c r="W29" s="1574">
        <f t="shared" si="14"/>
        <v>100</v>
      </c>
      <c r="X29" s="1567"/>
      <c r="Y29" s="340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0"/>
      <c r="Q30" s="1572">
        <f t="shared" si="11"/>
        <v>111</v>
      </c>
      <c r="R30" s="1573" t="s">
        <v>11</v>
      </c>
      <c r="S30" s="1574">
        <f t="shared" si="12"/>
        <v>100</v>
      </c>
      <c r="T30" s="1573" t="s">
        <v>11</v>
      </c>
      <c r="U30" s="1574">
        <f t="shared" si="13"/>
        <v>100</v>
      </c>
      <c r="V30" s="1573" t="s">
        <v>11</v>
      </c>
      <c r="W30" s="1574">
        <f t="shared" si="14"/>
        <v>100</v>
      </c>
      <c r="X30" s="1567"/>
      <c r="Y30" s="340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0"/>
      <c r="Q31" s="1572">
        <f t="shared" si="11"/>
        <v>111</v>
      </c>
      <c r="R31" s="1573" t="s">
        <v>11</v>
      </c>
      <c r="S31" s="1574">
        <f t="shared" si="12"/>
        <v>100</v>
      </c>
      <c r="T31" s="1573" t="s">
        <v>11</v>
      </c>
      <c r="U31" s="1574">
        <f t="shared" si="13"/>
        <v>100</v>
      </c>
      <c r="V31" s="1573" t="s">
        <v>11</v>
      </c>
      <c r="W31" s="1574">
        <f t="shared" si="14"/>
        <v>100</v>
      </c>
      <c r="X31" s="1567"/>
      <c r="Y31" s="3400"/>
      <c r="Z31" s="1575">
        <f t="shared" si="15"/>
        <v>111</v>
      </c>
      <c r="AA31" s="1576">
        <f t="shared" si="3"/>
        <v>1</v>
      </c>
      <c r="AB31" s="1576">
        <f t="shared" si="4"/>
        <v>1</v>
      </c>
      <c r="AC31" s="1576">
        <f t="shared" si="5"/>
        <v>1</v>
      </c>
    </row>
    <row r="32" spans="1:29" ht="15">
      <c r="A32" s="2908" t="s">
        <v>2757</v>
      </c>
      <c r="B32" s="3209" t="s">
        <v>725</v>
      </c>
      <c r="C32" s="878" t="s">
        <v>2995</v>
      </c>
      <c r="D32" s="597">
        <v>100</v>
      </c>
      <c r="E32" s="879" t="s">
        <v>2995</v>
      </c>
      <c r="F32" s="575">
        <f>SUMIF(100:100,E32,101:101)-SUMIF(100:100,C32,101:101)+100</f>
        <v>100</v>
      </c>
      <c r="G32" s="878" t="s">
        <v>2995</v>
      </c>
      <c r="H32" s="597">
        <f>SUMIF(100:100,G32,101:101)-SUMIF(100:100,C32,101:101)+100</f>
        <v>100</v>
      </c>
      <c r="I32" s="879" t="s">
        <v>2995</v>
      </c>
      <c r="J32" s="540">
        <f>SUMIF(100:100,I32,101:101)-SUMIF(100:100,C32,101:101)+100</f>
        <v>100</v>
      </c>
      <c r="K32" s="864">
        <v>2</v>
      </c>
      <c r="L32" s="2143"/>
      <c r="M32" s="2135"/>
      <c r="N32" s="2135"/>
      <c r="O32" s="2142"/>
      <c r="P32" s="3401" t="s">
        <v>550</v>
      </c>
      <c r="Q32" s="1572" t="str">
        <f t="shared" si="11"/>
        <v>建筑类型</v>
      </c>
      <c r="R32" s="1573" t="s">
        <v>11</v>
      </c>
      <c r="S32" s="1574">
        <f t="shared" si="12"/>
        <v>100</v>
      </c>
      <c r="T32" s="1573" t="s">
        <v>11</v>
      </c>
      <c r="U32" s="1574">
        <f t="shared" si="13"/>
        <v>100</v>
      </c>
      <c r="V32" s="1573" t="s">
        <v>11</v>
      </c>
      <c r="W32" s="1574">
        <f t="shared" si="14"/>
        <v>100</v>
      </c>
      <c r="X32" s="1567"/>
      <c r="Y32" s="3402" t="s">
        <v>550</v>
      </c>
      <c r="Z32" s="1575" t="str">
        <f t="shared" si="15"/>
        <v>建筑类型</v>
      </c>
      <c r="AA32" s="1576">
        <f t="shared" si="3"/>
        <v>1</v>
      </c>
      <c r="AB32" s="1576">
        <f t="shared" si="4"/>
        <v>1</v>
      </c>
      <c r="AC32" s="1576">
        <f t="shared" si="5"/>
        <v>1</v>
      </c>
    </row>
    <row r="33" spans="1:29" s="1339" customFormat="1" ht="15">
      <c r="A33" s="603"/>
      <c r="B33" s="527" t="s">
        <v>726</v>
      </c>
      <c r="C33" s="880">
        <f>'数据-汇总表'!E3</f>
        <v>229142.34999999998</v>
      </c>
      <c r="D33" s="255">
        <v>100</v>
      </c>
      <c r="E33" s="534">
        <v>573390</v>
      </c>
      <c r="F33" s="863">
        <f>LOOKUP(E33,103:103,104:104)-LOOKUP(C33,103:103,104:104)+100</f>
        <v>103</v>
      </c>
      <c r="G33" s="533">
        <v>290000</v>
      </c>
      <c r="H33" s="255">
        <f>LOOKUP(G33,103:103,104:104)-LOOKUP(C33,103:103,104:104)+100</f>
        <v>100</v>
      </c>
      <c r="I33" s="534">
        <v>212000</v>
      </c>
      <c r="J33" s="255">
        <f>LOOKUP(I33,103:103,104:104)-LOOKUP(C33,103:103,104:104)+100</f>
        <v>100</v>
      </c>
      <c r="K33" s="865"/>
      <c r="L33" s="2141"/>
      <c r="M33" s="2172"/>
      <c r="N33" s="2172"/>
      <c r="O33" s="2144"/>
      <c r="P33" s="3402"/>
      <c r="Q33" s="1605" t="str">
        <f t="shared" si="11"/>
        <v>项目建筑规模</v>
      </c>
      <c r="R33" s="1577" t="s">
        <v>11</v>
      </c>
      <c r="S33" s="1578">
        <f t="shared" si="12"/>
        <v>103</v>
      </c>
      <c r="T33" s="1577" t="s">
        <v>11</v>
      </c>
      <c r="U33" s="1578">
        <f t="shared" si="13"/>
        <v>100</v>
      </c>
      <c r="V33" s="1577" t="s">
        <v>11</v>
      </c>
      <c r="W33" s="1578">
        <f t="shared" si="14"/>
        <v>100</v>
      </c>
      <c r="X33" s="1579"/>
      <c r="Y33" s="3402"/>
      <c r="Z33" s="1580" t="str">
        <f t="shared" si="15"/>
        <v>项目建筑规模</v>
      </c>
      <c r="AA33" s="1576">
        <f t="shared" si="3"/>
        <v>0.970873786407767</v>
      </c>
      <c r="AB33" s="1576">
        <f t="shared" si="4"/>
        <v>1</v>
      </c>
      <c r="AC33" s="1576">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2"/>
      <c r="Q34" s="1572" t="str">
        <f t="shared" si="11"/>
        <v>建筑结构</v>
      </c>
      <c r="R34" s="1573" t="s">
        <v>11</v>
      </c>
      <c r="S34" s="1574">
        <f t="shared" si="12"/>
        <v>100</v>
      </c>
      <c r="T34" s="1573" t="s">
        <v>11</v>
      </c>
      <c r="U34" s="1574">
        <f t="shared" si="13"/>
        <v>100</v>
      </c>
      <c r="V34" s="1573" t="s">
        <v>11</v>
      </c>
      <c r="W34" s="1574">
        <f t="shared" si="14"/>
        <v>100</v>
      </c>
      <c r="X34" s="1567"/>
      <c r="Y34" s="3402"/>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2"/>
      <c r="Q35" s="1572" t="str">
        <f t="shared" si="11"/>
        <v>建筑品质</v>
      </c>
      <c r="R35" s="1573" t="s">
        <v>11</v>
      </c>
      <c r="S35" s="1574">
        <f t="shared" si="12"/>
        <v>100</v>
      </c>
      <c r="T35" s="1573" t="s">
        <v>11</v>
      </c>
      <c r="U35" s="1574">
        <f t="shared" si="13"/>
        <v>100</v>
      </c>
      <c r="V35" s="1573" t="s">
        <v>11</v>
      </c>
      <c r="W35" s="1574">
        <f t="shared" si="14"/>
        <v>100</v>
      </c>
      <c r="X35" s="1567"/>
      <c r="Y35" s="3402"/>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2"/>
      <c r="Q36" s="1572" t="str">
        <f t="shared" si="11"/>
        <v>公共部分装修</v>
      </c>
      <c r="R36" s="1573" t="s">
        <v>11</v>
      </c>
      <c r="S36" s="1574">
        <f t="shared" si="12"/>
        <v>100</v>
      </c>
      <c r="T36" s="1573" t="s">
        <v>11</v>
      </c>
      <c r="U36" s="1574">
        <f t="shared" si="13"/>
        <v>100</v>
      </c>
      <c r="V36" s="1573" t="s">
        <v>11</v>
      </c>
      <c r="W36" s="1574">
        <f t="shared" si="14"/>
        <v>100</v>
      </c>
      <c r="X36" s="1567"/>
      <c r="Y36" s="3402"/>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02"/>
      <c r="Q37" s="1151" t="str">
        <f t="shared" si="11"/>
        <v>成新度</v>
      </c>
      <c r="R37" s="1568" t="s">
        <v>11</v>
      </c>
      <c r="S37" s="1569">
        <f t="shared" si="12"/>
        <v>100</v>
      </c>
      <c r="T37" s="1568" t="s">
        <v>11</v>
      </c>
      <c r="U37" s="1569">
        <f t="shared" si="13"/>
        <v>100</v>
      </c>
      <c r="V37" s="1568" t="s">
        <v>11</v>
      </c>
      <c r="W37" s="1569">
        <f t="shared" si="14"/>
        <v>100</v>
      </c>
      <c r="X37" s="1570"/>
      <c r="Y37" s="3402"/>
      <c r="Z37" s="1150"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2" t="s">
        <v>550</v>
      </c>
      <c r="Q38" s="1572" t="str">
        <f t="shared" si="11"/>
        <v>物业管理</v>
      </c>
      <c r="R38" s="1573" t="s">
        <v>11</v>
      </c>
      <c r="S38" s="1574">
        <f t="shared" si="12"/>
        <v>100</v>
      </c>
      <c r="T38" s="1573" t="s">
        <v>11</v>
      </c>
      <c r="U38" s="1574">
        <f t="shared" si="13"/>
        <v>100</v>
      </c>
      <c r="V38" s="1573" t="s">
        <v>11</v>
      </c>
      <c r="W38" s="1574">
        <f t="shared" si="14"/>
        <v>100</v>
      </c>
      <c r="X38" s="1567"/>
      <c r="Y38" s="3402" t="s">
        <v>550</v>
      </c>
      <c r="Z38" s="1575" t="str">
        <f t="shared" si="15"/>
        <v>物业管理</v>
      </c>
      <c r="AA38" s="1576">
        <f t="shared" si="3"/>
        <v>1</v>
      </c>
      <c r="AB38" s="1576">
        <f t="shared" si="4"/>
        <v>1</v>
      </c>
      <c r="AC38" s="1576">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2"/>
      <c r="Q39" s="1572" t="str">
        <f t="shared" si="11"/>
        <v>市政基础设施</v>
      </c>
      <c r="R39" s="1573" t="s">
        <v>11</v>
      </c>
      <c r="S39" s="1574">
        <f t="shared" si="12"/>
        <v>100</v>
      </c>
      <c r="T39" s="1573" t="s">
        <v>11</v>
      </c>
      <c r="U39" s="1574">
        <f t="shared" si="13"/>
        <v>100</v>
      </c>
      <c r="V39" s="1573" t="s">
        <v>11</v>
      </c>
      <c r="W39" s="1574">
        <f t="shared" si="14"/>
        <v>100</v>
      </c>
      <c r="X39" s="1567"/>
      <c r="Y39" s="3402"/>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2"/>
      <c r="Q40" s="1572" t="str">
        <f t="shared" si="11"/>
        <v>房型</v>
      </c>
      <c r="R40" s="1573" t="s">
        <v>11</v>
      </c>
      <c r="S40" s="1574">
        <f t="shared" si="12"/>
        <v>100</v>
      </c>
      <c r="T40" s="1573" t="s">
        <v>11</v>
      </c>
      <c r="U40" s="1574">
        <f t="shared" si="13"/>
        <v>100</v>
      </c>
      <c r="V40" s="1573" t="s">
        <v>11</v>
      </c>
      <c r="W40" s="1574">
        <f t="shared" si="14"/>
        <v>100</v>
      </c>
      <c r="X40" s="1567"/>
      <c r="Y40" s="3402"/>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2"/>
      <c r="Q41" s="1605" t="str">
        <f t="shared" si="11"/>
        <v>单套/主力户型建筑面积</v>
      </c>
      <c r="R41" s="1577" t="s">
        <v>11</v>
      </c>
      <c r="S41" s="1578">
        <f t="shared" si="12"/>
        <v>100</v>
      </c>
      <c r="T41" s="1577" t="s">
        <v>11</v>
      </c>
      <c r="U41" s="1578">
        <f t="shared" si="13"/>
        <v>100</v>
      </c>
      <c r="V41" s="1577" t="s">
        <v>11</v>
      </c>
      <c r="W41" s="1578">
        <f t="shared" si="14"/>
        <v>100</v>
      </c>
      <c r="X41" s="1579"/>
      <c r="Y41" s="3402"/>
      <c r="Z41" s="1580" t="str">
        <f t="shared" si="15"/>
        <v>单套/主力户型建筑面积</v>
      </c>
      <c r="AA41" s="1576">
        <f t="shared" si="3"/>
        <v>1</v>
      </c>
      <c r="AB41" s="1576">
        <f t="shared" si="4"/>
        <v>1</v>
      </c>
      <c r="AC41" s="1576">
        <f t="shared" si="5"/>
        <v>1</v>
      </c>
    </row>
    <row r="42" spans="1:29" ht="15">
      <c r="A42" s="594"/>
      <c r="B42" s="3212"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2"/>
      <c r="Q42" s="1572" t="str">
        <f t="shared" si="11"/>
        <v>内部装修</v>
      </c>
      <c r="R42" s="1573" t="s">
        <v>11</v>
      </c>
      <c r="S42" s="1574">
        <f t="shared" si="12"/>
        <v>100</v>
      </c>
      <c r="T42" s="1573" t="s">
        <v>11</v>
      </c>
      <c r="U42" s="1574">
        <f t="shared" si="13"/>
        <v>100</v>
      </c>
      <c r="V42" s="1573" t="s">
        <v>11</v>
      </c>
      <c r="W42" s="1574">
        <f t="shared" si="14"/>
        <v>100</v>
      </c>
      <c r="X42" s="1567"/>
      <c r="Y42" s="3402"/>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2"/>
      <c r="Q43" s="1572" t="str">
        <f t="shared" si="11"/>
        <v>内部装修维护情况</v>
      </c>
      <c r="R43" s="1573" t="s">
        <v>11</v>
      </c>
      <c r="S43" s="1574">
        <f t="shared" si="12"/>
        <v>100</v>
      </c>
      <c r="T43" s="1573" t="s">
        <v>11</v>
      </c>
      <c r="U43" s="1574">
        <f t="shared" si="13"/>
        <v>100</v>
      </c>
      <c r="V43" s="1573" t="s">
        <v>11</v>
      </c>
      <c r="W43" s="1574">
        <f t="shared" si="14"/>
        <v>100</v>
      </c>
      <c r="X43" s="1567"/>
      <c r="Y43" s="340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2"/>
      <c r="Q44" s="1151">
        <f t="shared" si="11"/>
        <v>111</v>
      </c>
      <c r="R44" s="1568" t="s">
        <v>11</v>
      </c>
      <c r="S44" s="1569">
        <f t="shared" si="12"/>
        <v>100</v>
      </c>
      <c r="T44" s="1568" t="s">
        <v>11</v>
      </c>
      <c r="U44" s="1569">
        <f t="shared" si="13"/>
        <v>100</v>
      </c>
      <c r="V44" s="1568" t="s">
        <v>11</v>
      </c>
      <c r="W44" s="1569">
        <f t="shared" si="14"/>
        <v>100</v>
      </c>
      <c r="X44" s="1570"/>
      <c r="Y44" s="340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2"/>
      <c r="Q45" s="1572">
        <f t="shared" si="11"/>
        <v>111</v>
      </c>
      <c r="R45" s="1573" t="s">
        <v>11</v>
      </c>
      <c r="S45" s="1574">
        <f t="shared" si="12"/>
        <v>100</v>
      </c>
      <c r="T45" s="1573" t="s">
        <v>11</v>
      </c>
      <c r="U45" s="1574">
        <f t="shared" si="13"/>
        <v>100</v>
      </c>
      <c r="V45" s="1573" t="s">
        <v>11</v>
      </c>
      <c r="W45" s="1574">
        <f t="shared" si="14"/>
        <v>100</v>
      </c>
      <c r="X45" s="1567"/>
      <c r="Y45" s="340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0"/>
      <c r="Q46" s="1572">
        <f t="shared" si="11"/>
        <v>111</v>
      </c>
      <c r="R46" s="1573" t="s">
        <v>10</v>
      </c>
      <c r="S46" s="1574">
        <f t="shared" si="12"/>
        <v>100</v>
      </c>
      <c r="T46" s="1573" t="s">
        <v>10</v>
      </c>
      <c r="U46" s="1574">
        <f t="shared" si="13"/>
        <v>100</v>
      </c>
      <c r="V46" s="1573" t="s">
        <v>10</v>
      </c>
      <c r="W46" s="1574">
        <f t="shared" si="14"/>
        <v>100</v>
      </c>
      <c r="X46" s="1567"/>
      <c r="Y46" s="3500"/>
      <c r="Z46" s="1575">
        <f t="shared" si="15"/>
        <v>111</v>
      </c>
      <c r="AA46" s="1576">
        <f t="shared" si="3"/>
        <v>1</v>
      </c>
      <c r="AB46" s="1576">
        <f t="shared" si="4"/>
        <v>1</v>
      </c>
      <c r="AC46" s="1576">
        <f t="shared" si="5"/>
        <v>1</v>
      </c>
    </row>
    <row r="47" spans="1:29" ht="15">
      <c r="A47" s="607" t="s">
        <v>736</v>
      </c>
      <c r="B47" s="887"/>
      <c r="C47" s="2628" t="s">
        <v>9</v>
      </c>
      <c r="D47" s="2629"/>
      <c r="E47" s="2630">
        <v>12000</v>
      </c>
      <c r="F47" s="2631"/>
      <c r="G47" s="2632">
        <v>12000</v>
      </c>
      <c r="H47" s="2633"/>
      <c r="I47" s="2630">
        <v>13000</v>
      </c>
      <c r="J47" s="2633"/>
      <c r="K47" s="1606"/>
      <c r="L47" s="2145"/>
      <c r="M47" s="2146"/>
      <c r="N47" s="2135"/>
      <c r="O47" s="2146"/>
      <c r="P47" s="3397" t="str">
        <f>A47</f>
        <v>成交单价（元/平方米）</v>
      </c>
      <c r="Q47" s="3397"/>
      <c r="R47" s="3499">
        <f>E47</f>
        <v>12000</v>
      </c>
      <c r="S47" s="3499"/>
      <c r="T47" s="3499">
        <f>G47</f>
        <v>12000</v>
      </c>
      <c r="U47" s="3499"/>
      <c r="V47" s="3499">
        <f>I47</f>
        <v>13000</v>
      </c>
      <c r="W47" s="3499"/>
      <c r="X47" s="1559"/>
      <c r="Y47" s="1581"/>
      <c r="Z47" s="1559"/>
      <c r="AA47" s="1559"/>
      <c r="AB47" s="1559"/>
      <c r="AC47" s="1559"/>
    </row>
    <row r="48" spans="1:29" ht="15.75" thickBot="1">
      <c r="A48" s="615" t="s">
        <v>2762</v>
      </c>
      <c r="B48" s="888"/>
      <c r="C48" s="2634">
        <f>R49</f>
        <v>12340</v>
      </c>
      <c r="D48" s="2635"/>
      <c r="E48" s="2636">
        <f>R48</f>
        <v>11768</v>
      </c>
      <c r="F48" s="2636"/>
      <c r="G48" s="2634">
        <f>T48</f>
        <v>12121</v>
      </c>
      <c r="H48" s="2635"/>
      <c r="I48" s="2636">
        <f>V48</f>
        <v>13131</v>
      </c>
      <c r="J48" s="2635"/>
      <c r="K48" s="1607"/>
      <c r="L48" s="2145"/>
      <c r="M48" s="2146"/>
      <c r="N48" s="2146"/>
      <c r="O48" s="2146"/>
      <c r="P48" s="3397" t="str">
        <f>A48</f>
        <v>比较价格（元/平方米）</v>
      </c>
      <c r="Q48" s="3397"/>
      <c r="R48" s="3499">
        <f>IF(F1="售价",ROUND(PRODUCT(R47,AA7:AA46),0),ROUND(PRODUCT(R47,AA7:AA46),1))</f>
        <v>11768</v>
      </c>
      <c r="S48" s="3499"/>
      <c r="T48" s="3499">
        <f>IF(F1="售价",ROUND(PRODUCT(T47,AB7:AB46),0),ROUND(PRODUCT(T47,AB7:AB46),1))</f>
        <v>12121</v>
      </c>
      <c r="U48" s="3499"/>
      <c r="V48" s="3499">
        <f>IF(F1="售价",ROUND(PRODUCT(V47,AC7:AC46),0),ROUND(PRODUCT(V47,AC7:AC46),1))</f>
        <v>13131</v>
      </c>
      <c r="W48" s="3499"/>
      <c r="X48" s="1559"/>
      <c r="Y48" s="1559"/>
      <c r="Z48" s="1559"/>
      <c r="AA48" s="1559"/>
      <c r="AB48" s="1559"/>
      <c r="AC48" s="1559"/>
    </row>
    <row r="49" spans="1:29" ht="15.75" thickBot="1">
      <c r="A49" s="621" t="s">
        <v>2937</v>
      </c>
      <c r="B49" s="622"/>
      <c r="C49" s="2637">
        <f>R49</f>
        <v>12340</v>
      </c>
      <c r="D49" s="2637"/>
      <c r="E49" s="2637"/>
      <c r="F49" s="2637"/>
      <c r="G49" s="2637"/>
      <c r="H49" s="2637"/>
      <c r="I49" s="2637"/>
      <c r="J49" s="2637"/>
      <c r="K49" s="1608"/>
      <c r="L49" s="2145"/>
      <c r="M49" s="2146"/>
      <c r="N49" s="2146"/>
      <c r="O49" s="2146"/>
      <c r="P49" s="3418" t="str">
        <f>A49</f>
        <v>估价对象XX用房的比较价格（楼面单价，元/平方米）</v>
      </c>
      <c r="Q49" s="3419"/>
      <c r="R49" s="3498">
        <f>IF(F1="售价",ROUND(AVERAGE(R48:V48),0),ROUND(AVERAGE(R48:V48),1))</f>
        <v>12340</v>
      </c>
      <c r="S49" s="3498"/>
      <c r="T49" s="3498"/>
      <c r="U49" s="3498"/>
      <c r="V49" s="3498"/>
      <c r="W49" s="349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1.971447994561526E-2</v>
      </c>
      <c r="F52" s="627" t="str">
        <f>IF(OR(E52&gt;=0.3,E52&lt;=-0.3),"超过30%","")</f>
        <v/>
      </c>
      <c r="G52" s="626">
        <f>IF(G47&lt;G48,G48/G47-1,G47/G48-1)</f>
        <v>1.0083333333333444E-2</v>
      </c>
      <c r="H52" s="627" t="str">
        <f>IF(OR(G52&gt;=0.3,G52&lt;=-0.3),"超过30%","")</f>
        <v/>
      </c>
      <c r="I52" s="626">
        <f>IF(I47&lt;I48,I48/I47-1,I47/I48-1)</f>
        <v>1.0076923076923094E-2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2.9996600951733621E-2</v>
      </c>
      <c r="F53" s="627" t="str">
        <f>IF(OR(E53&gt;=0.2,E53&lt;=-0.2),"超过20%","")</f>
        <v/>
      </c>
      <c r="G53" s="626">
        <f>IF(G48&lt;I48,I48/G48-1,G48/I48-1)</f>
        <v>8.332645821301865E-2</v>
      </c>
      <c r="H53" s="627" t="str">
        <f>IF(OR(G53&gt;=0.2,G53&lt;=-0.2),"超过20%","")</f>
        <v/>
      </c>
      <c r="I53" s="626">
        <f>IF(I48&lt;E48,E48/I48-1,I48/E48-1)</f>
        <v>0.11582256968048954</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8.3333333333333259E-2</v>
      </c>
      <c r="H54" s="627" t="str">
        <f>IF(OR(G54&gt;=0.3,G54&lt;=-0.3),"超过30%","")</f>
        <v/>
      </c>
      <c r="I54" s="626">
        <f>IF(I47&lt;E47,E47/I47-1,I47/E47-1)</f>
        <v>8.3333333333333259E-2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516" t="s">
        <v>3154</v>
      </c>
      <c r="D90" s="3516" t="s">
        <v>3155</v>
      </c>
      <c r="E90" s="3516" t="s">
        <v>3156</v>
      </c>
      <c r="F90" s="3516" t="s">
        <v>3157</v>
      </c>
      <c r="G90" s="3516" t="s">
        <v>3159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v>96</v>
      </c>
      <c r="F91" s="692">
        <v>94</v>
      </c>
      <c r="G91" s="692">
        <v>92</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515" t="s">
        <v>3147</v>
      </c>
      <c r="D100" s="3515" t="s">
        <v>3148</v>
      </c>
      <c r="E100" s="3515" t="s">
        <v>3149</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03" t="s">
        <v>522</v>
      </c>
      <c r="D4" s="3404"/>
      <c r="E4" s="3427" t="s">
        <v>523</v>
      </c>
      <c r="F4" s="3428"/>
      <c r="G4" s="3403" t="s">
        <v>524</v>
      </c>
      <c r="H4" s="3404"/>
      <c r="I4" s="3403" t="s">
        <v>525</v>
      </c>
      <c r="J4" s="3404"/>
      <c r="K4" s="514" t="s">
        <v>526</v>
      </c>
      <c r="L4" s="2134"/>
      <c r="M4" s="2135"/>
      <c r="N4" s="2135"/>
      <c r="O4" s="2135"/>
      <c r="P4" s="3405" t="s">
        <v>527</v>
      </c>
      <c r="Q4" s="3406"/>
      <c r="R4" s="3391" t="s">
        <v>523</v>
      </c>
      <c r="S4" s="3392"/>
      <c r="T4" s="3391" t="s">
        <v>524</v>
      </c>
      <c r="U4" s="3392"/>
      <c r="V4" s="3411" t="s">
        <v>525</v>
      </c>
      <c r="W4" s="3411"/>
      <c r="X4" s="1567"/>
      <c r="Y4" s="3391" t="s">
        <v>527</v>
      </c>
      <c r="Z4" s="3392"/>
      <c r="AA4" s="3386" t="s">
        <v>523</v>
      </c>
      <c r="AB4" s="3411" t="s">
        <v>524</v>
      </c>
      <c r="AC4" s="3386" t="s">
        <v>525</v>
      </c>
    </row>
    <row r="5" spans="1:29" ht="15">
      <c r="A5" s="515"/>
      <c r="B5" s="516"/>
      <c r="C5" s="3414" t="s">
        <v>2931</v>
      </c>
      <c r="D5" s="3415"/>
      <c r="E5" s="3429" t="s">
        <v>2932</v>
      </c>
      <c r="F5" s="3430"/>
      <c r="G5" s="3414" t="s">
        <v>2933</v>
      </c>
      <c r="H5" s="3415"/>
      <c r="I5" s="3414" t="s">
        <v>2934</v>
      </c>
      <c r="J5" s="3415"/>
      <c r="K5" s="514"/>
      <c r="L5" s="2134"/>
      <c r="M5" s="2135"/>
      <c r="N5" s="2135"/>
      <c r="O5" s="2135"/>
      <c r="P5" s="3407"/>
      <c r="Q5" s="3408"/>
      <c r="R5" s="3393"/>
      <c r="S5" s="3394"/>
      <c r="T5" s="3393"/>
      <c r="U5" s="3394"/>
      <c r="V5" s="3411"/>
      <c r="W5" s="3411"/>
      <c r="X5" s="1567"/>
      <c r="Y5" s="3393"/>
      <c r="Z5" s="3394"/>
      <c r="AA5" s="3387"/>
      <c r="AB5" s="3411"/>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7"/>
      <c r="Y6" s="3395"/>
      <c r="Z6" s="3396"/>
      <c r="AA6" s="3388"/>
      <c r="AB6" s="3411"/>
      <c r="AC6" s="3388"/>
    </row>
    <row r="7" spans="1:29" s="1220" customFormat="1" ht="15.75" thickBot="1">
      <c r="A7" s="2912"/>
      <c r="B7" s="2919" t="s">
        <v>529</v>
      </c>
      <c r="C7" s="519">
        <f>'数据-取费表'!B2</f>
        <v>43402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9" t="s">
        <v>530</v>
      </c>
      <c r="Q7" s="3398"/>
      <c r="R7" s="1568" t="s">
        <v>8</v>
      </c>
      <c r="S7" s="1569">
        <f t="shared" ref="S7:S15" si="0">F7</f>
        <v>0</v>
      </c>
      <c r="T7" s="1568" t="s">
        <v>8</v>
      </c>
      <c r="U7" s="1569">
        <f t="shared" ref="U7:U15" si="1">H7</f>
        <v>0</v>
      </c>
      <c r="V7" s="1568" t="s">
        <v>8</v>
      </c>
      <c r="W7" s="1569">
        <f t="shared" ref="W7:W15"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9" t="s">
        <v>533</v>
      </c>
      <c r="Q8" s="3390"/>
      <c r="R8" s="1568" t="s">
        <v>8</v>
      </c>
      <c r="S8" s="1569">
        <f t="shared" si="0"/>
        <v>0</v>
      </c>
      <c r="T8" s="1568" t="s">
        <v>8</v>
      </c>
      <c r="U8" s="1569">
        <f t="shared" si="1"/>
        <v>0</v>
      </c>
      <c r="V8" s="1568" t="s">
        <v>8</v>
      </c>
      <c r="W8" s="1569">
        <f t="shared" si="2"/>
        <v>0</v>
      </c>
      <c r="X8" s="1570"/>
      <c r="Y8" s="3389" t="s">
        <v>533</v>
      </c>
      <c r="Z8" s="3390"/>
      <c r="AA8" s="1571" t="e">
        <f t="shared" ref="AA8:AA46" si="3">D8/F8</f>
        <v>#DIV/0!</v>
      </c>
      <c r="AB8" s="1571" t="e">
        <f t="shared" ref="AB8:AB46" si="4">D8/H8</f>
        <v>#DIV/0!</v>
      </c>
      <c r="AC8" s="1571" t="e">
        <f t="shared" ref="AC8:AC46" si="5">D8/J8</f>
        <v>#DIV/0!</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7" t="s">
        <v>535</v>
      </c>
      <c r="Q9" s="1151" t="str">
        <f t="shared" ref="Q9:Q15" si="6">B9</f>
        <v>用途</v>
      </c>
      <c r="R9" s="1568" t="s">
        <v>8</v>
      </c>
      <c r="S9" s="1569">
        <f t="shared" si="0"/>
        <v>100</v>
      </c>
      <c r="T9" s="1568" t="s">
        <v>8</v>
      </c>
      <c r="U9" s="1569">
        <f t="shared" si="1"/>
        <v>100</v>
      </c>
      <c r="V9" s="1568" t="s">
        <v>8</v>
      </c>
      <c r="W9" s="1569">
        <f t="shared" si="2"/>
        <v>100</v>
      </c>
      <c r="X9" s="1570"/>
      <c r="Y9" s="3354"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7"/>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7"/>
      <c r="Q11" s="1151" t="str">
        <f t="shared" si="6"/>
        <v>容积率</v>
      </c>
      <c r="R11" s="1568" t="s">
        <v>8</v>
      </c>
      <c r="S11" s="1569" t="e">
        <f t="shared" si="0"/>
        <v>#N/A</v>
      </c>
      <c r="T11" s="1568" t="s">
        <v>8</v>
      </c>
      <c r="U11" s="1569" t="e">
        <f t="shared" si="1"/>
        <v>#N/A</v>
      </c>
      <c r="V11" s="1568" t="s">
        <v>8</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7"/>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7"/>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7"/>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 t="shared" si="3"/>
        <v>1</v>
      </c>
      <c r="AB14" s="1571">
        <f t="shared" si="4"/>
        <v>1</v>
      </c>
      <c r="AC14" s="1571">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9" t="s">
        <v>540</v>
      </c>
      <c r="Q15" s="1572" t="str">
        <f t="shared" si="6"/>
        <v>商业繁华度</v>
      </c>
      <c r="R15" s="1573" t="s">
        <v>8</v>
      </c>
      <c r="S15" s="1574">
        <f t="shared" si="0"/>
        <v>100</v>
      </c>
      <c r="T15" s="1573" t="s">
        <v>8</v>
      </c>
      <c r="U15" s="1574">
        <f t="shared" si="1"/>
        <v>100</v>
      </c>
      <c r="V15" s="1573" t="s">
        <v>8</v>
      </c>
      <c r="W15" s="1574">
        <f t="shared" si="2"/>
        <v>100</v>
      </c>
      <c r="X15" s="1567"/>
      <c r="Y15" s="3399"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0"/>
      <c r="Q16" s="1572"/>
      <c r="R16" s="1573"/>
      <c r="S16" s="1574"/>
      <c r="T16" s="1573"/>
      <c r="U16" s="1574"/>
      <c r="V16" s="1573"/>
      <c r="W16" s="1574"/>
      <c r="X16" s="1567"/>
      <c r="Y16" s="3400"/>
      <c r="Z16" s="1575"/>
      <c r="AA16" s="1576">
        <v>1</v>
      </c>
      <c r="AB16" s="1576">
        <v>1</v>
      </c>
      <c r="AC16" s="1576">
        <v>1</v>
      </c>
    </row>
    <row r="17" spans="1:29" ht="14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0"/>
      <c r="Q17" s="1572" t="str">
        <f>B17</f>
        <v>交通便捷度</v>
      </c>
      <c r="R17" s="1573" t="s">
        <v>8</v>
      </c>
      <c r="S17" s="1574">
        <f>F17</f>
        <v>100</v>
      </c>
      <c r="T17" s="1573" t="s">
        <v>8</v>
      </c>
      <c r="U17" s="1574">
        <f>H17</f>
        <v>100</v>
      </c>
      <c r="V17" s="1573" t="s">
        <v>8</v>
      </c>
      <c r="W17" s="1574">
        <f>J17</f>
        <v>100</v>
      </c>
      <c r="X17" s="1567"/>
      <c r="Y17" s="340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0"/>
      <c r="Q18" s="1572"/>
      <c r="R18" s="1573"/>
      <c r="S18" s="1574"/>
      <c r="T18" s="1573"/>
      <c r="U18" s="1574"/>
      <c r="V18" s="1573"/>
      <c r="W18" s="1574"/>
      <c r="X18" s="1567"/>
      <c r="Y18" s="3400"/>
      <c r="Z18" s="1575"/>
      <c r="AA18" s="1576">
        <v>1</v>
      </c>
      <c r="AB18" s="1576">
        <v>1</v>
      </c>
      <c r="AC18" s="1576">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0"/>
      <c r="Q19" s="1572" t="str">
        <f>B19</f>
        <v>公共配套设施</v>
      </c>
      <c r="R19" s="1573" t="s">
        <v>8</v>
      </c>
      <c r="S19" s="1574">
        <f>F19</f>
        <v>100</v>
      </c>
      <c r="T19" s="1573" t="s">
        <v>8</v>
      </c>
      <c r="U19" s="1574">
        <f>H19</f>
        <v>100</v>
      </c>
      <c r="V19" s="1573" t="s">
        <v>8</v>
      </c>
      <c r="W19" s="1574">
        <f>J19</f>
        <v>100</v>
      </c>
      <c r="X19" s="1567"/>
      <c r="Y19" s="340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00"/>
      <c r="Q20" s="1572"/>
      <c r="R20" s="1573"/>
      <c r="S20" s="1574"/>
      <c r="T20" s="1573"/>
      <c r="U20" s="1574"/>
      <c r="V20" s="1573"/>
      <c r="W20" s="1574"/>
      <c r="X20" s="1567"/>
      <c r="Y20" s="3400"/>
      <c r="Z20" s="1575"/>
      <c r="AA20" s="1576">
        <v>1</v>
      </c>
      <c r="AB20" s="1576">
        <v>1</v>
      </c>
      <c r="AC20" s="1576">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0"/>
      <c r="Q21" s="2580" t="str">
        <f>B21</f>
        <v>基础设施水平</v>
      </c>
      <c r="R21" s="1573" t="s">
        <v>8</v>
      </c>
      <c r="S21" s="1574">
        <f>F21</f>
        <v>100</v>
      </c>
      <c r="T21" s="1573" t="s">
        <v>8</v>
      </c>
      <c r="U21" s="1574">
        <f>H21</f>
        <v>100</v>
      </c>
      <c r="V21" s="1573" t="s">
        <v>8</v>
      </c>
      <c r="W21" s="1574">
        <f>J21</f>
        <v>100</v>
      </c>
      <c r="X21" s="2582"/>
      <c r="Y21" s="3400"/>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00"/>
      <c r="Q22" s="2580"/>
      <c r="R22" s="1573"/>
      <c r="S22" s="1574"/>
      <c r="T22" s="1573"/>
      <c r="U22" s="1574"/>
      <c r="V22" s="1573"/>
      <c r="W22" s="1574"/>
      <c r="X22" s="2582"/>
      <c r="Y22" s="3400"/>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0"/>
      <c r="Q23" s="1572" t="str">
        <f>B23</f>
        <v>自然及人文环境</v>
      </c>
      <c r="R23" s="1573" t="s">
        <v>8</v>
      </c>
      <c r="S23" s="1574">
        <f>F23</f>
        <v>100</v>
      </c>
      <c r="T23" s="1573" t="s">
        <v>8</v>
      </c>
      <c r="U23" s="1574">
        <f>H23</f>
        <v>100</v>
      </c>
      <c r="V23" s="1573" t="s">
        <v>8</v>
      </c>
      <c r="W23" s="1574">
        <f>J23</f>
        <v>100</v>
      </c>
      <c r="X23" s="1567"/>
      <c r="Y23" s="340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00"/>
      <c r="Q24" s="1572"/>
      <c r="R24" s="1573"/>
      <c r="S24" s="1574"/>
      <c r="T24" s="1573"/>
      <c r="U24" s="1574"/>
      <c r="V24" s="1573"/>
      <c r="W24" s="1574"/>
      <c r="X24" s="1567"/>
      <c r="Y24" s="3400"/>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0"/>
      <c r="Q25" s="1572" t="str">
        <f t="shared" ref="Q25:Q46" si="11">B25</f>
        <v>临街状况</v>
      </c>
      <c r="R25" s="1573" t="s">
        <v>8</v>
      </c>
      <c r="S25" s="1574">
        <f>F25</f>
        <v>100</v>
      </c>
      <c r="T25" s="1573" t="s">
        <v>8</v>
      </c>
      <c r="U25" s="1574">
        <f>H25</f>
        <v>100</v>
      </c>
      <c r="V25" s="1573" t="s">
        <v>8</v>
      </c>
      <c r="W25" s="1574">
        <f>J25</f>
        <v>100</v>
      </c>
      <c r="X25" s="1567"/>
      <c r="Y25" s="3400"/>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0"/>
      <c r="Q26" s="1572" t="str">
        <f t="shared" si="11"/>
        <v>平面位置/可视性</v>
      </c>
      <c r="R26" s="1573" t="s">
        <v>8</v>
      </c>
      <c r="S26" s="1574">
        <f>F26</f>
        <v>100</v>
      </c>
      <c r="T26" s="1573" t="s">
        <v>8</v>
      </c>
      <c r="U26" s="1574">
        <f>H26</f>
        <v>100</v>
      </c>
      <c r="V26" s="1573" t="s">
        <v>8</v>
      </c>
      <c r="W26" s="1574">
        <f>J26</f>
        <v>100</v>
      </c>
      <c r="X26" s="1567"/>
      <c r="Y26" s="3400"/>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0"/>
      <c r="Q27" s="1151" t="str">
        <f t="shared" si="11"/>
        <v>人流量</v>
      </c>
      <c r="R27" s="1568" t="s">
        <v>8</v>
      </c>
      <c r="S27" s="1569">
        <f>F27</f>
        <v>100</v>
      </c>
      <c r="T27" s="1568" t="s">
        <v>8</v>
      </c>
      <c r="U27" s="1569">
        <f>H27</f>
        <v>100</v>
      </c>
      <c r="V27" s="1568" t="s">
        <v>8</v>
      </c>
      <c r="W27" s="1569">
        <f>J27</f>
        <v>100</v>
      </c>
      <c r="X27" s="1570"/>
      <c r="Y27" s="3400"/>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0"/>
      <c r="Q29" s="1572">
        <f t="shared" si="11"/>
        <v>111</v>
      </c>
      <c r="R29" s="1573" t="s">
        <v>8</v>
      </c>
      <c r="S29" s="1574">
        <f t="shared" si="12"/>
        <v>100</v>
      </c>
      <c r="T29" s="1573" t="s">
        <v>8</v>
      </c>
      <c r="U29" s="1574">
        <f t="shared" si="13"/>
        <v>100</v>
      </c>
      <c r="V29" s="1573" t="s">
        <v>8</v>
      </c>
      <c r="W29" s="1574">
        <f t="shared" si="14"/>
        <v>100</v>
      </c>
      <c r="X29" s="1567"/>
      <c r="Y29" s="340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0"/>
      <c r="Q30" s="1572">
        <f t="shared" si="11"/>
        <v>111</v>
      </c>
      <c r="R30" s="1573" t="s">
        <v>8</v>
      </c>
      <c r="S30" s="1574">
        <f t="shared" si="12"/>
        <v>100</v>
      </c>
      <c r="T30" s="1573" t="s">
        <v>8</v>
      </c>
      <c r="U30" s="1574">
        <f t="shared" si="13"/>
        <v>100</v>
      </c>
      <c r="V30" s="1573" t="s">
        <v>8</v>
      </c>
      <c r="W30" s="1574">
        <f t="shared" si="14"/>
        <v>100</v>
      </c>
      <c r="X30" s="1567"/>
      <c r="Y30" s="340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0"/>
      <c r="Q31" s="1572">
        <f t="shared" si="11"/>
        <v>111</v>
      </c>
      <c r="R31" s="1573" t="s">
        <v>8</v>
      </c>
      <c r="S31" s="1574">
        <f t="shared" si="12"/>
        <v>100</v>
      </c>
      <c r="T31" s="1573" t="s">
        <v>8</v>
      </c>
      <c r="U31" s="1574">
        <f t="shared" si="13"/>
        <v>100</v>
      </c>
      <c r="V31" s="1573" t="s">
        <v>8</v>
      </c>
      <c r="W31" s="1574">
        <f t="shared" si="14"/>
        <v>100</v>
      </c>
      <c r="X31" s="1567"/>
      <c r="Y31" s="3400"/>
      <c r="Z31" s="1575">
        <f t="shared" si="15"/>
        <v>111</v>
      </c>
      <c r="AA31" s="1576">
        <f t="shared" si="3"/>
        <v>1</v>
      </c>
      <c r="AB31" s="1576">
        <f t="shared" si="4"/>
        <v>1</v>
      </c>
      <c r="AC31" s="1576">
        <f t="shared" si="5"/>
        <v>1</v>
      </c>
    </row>
    <row r="32" spans="1:29" ht="15">
      <c r="A32" s="2908"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1" t="s">
        <v>550</v>
      </c>
      <c r="Q32" s="1572" t="str">
        <f t="shared" si="11"/>
        <v>商业类型</v>
      </c>
      <c r="R32" s="1573" t="s">
        <v>8</v>
      </c>
      <c r="S32" s="1574">
        <f t="shared" si="12"/>
        <v>100</v>
      </c>
      <c r="T32" s="1573" t="s">
        <v>8</v>
      </c>
      <c r="U32" s="1574">
        <f t="shared" si="13"/>
        <v>100</v>
      </c>
      <c r="V32" s="1573" t="s">
        <v>8</v>
      </c>
      <c r="W32" s="1574">
        <f t="shared" si="14"/>
        <v>100</v>
      </c>
      <c r="X32" s="1567"/>
      <c r="Y32" s="3402"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2"/>
      <c r="Q33" s="1605" t="str">
        <f t="shared" si="11"/>
        <v>项目建筑规模</v>
      </c>
      <c r="R33" s="1577" t="s">
        <v>8</v>
      </c>
      <c r="S33" s="1578" t="e">
        <f t="shared" si="12"/>
        <v>#N/A</v>
      </c>
      <c r="T33" s="1577" t="s">
        <v>8</v>
      </c>
      <c r="U33" s="1578" t="e">
        <f t="shared" si="13"/>
        <v>#N/A</v>
      </c>
      <c r="V33" s="1577" t="s">
        <v>8</v>
      </c>
      <c r="W33" s="1578" t="e">
        <f t="shared" si="14"/>
        <v>#N/A</v>
      </c>
      <c r="X33" s="1579"/>
      <c r="Y33" s="3402"/>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2"/>
      <c r="Q34" s="1572" t="str">
        <f t="shared" si="11"/>
        <v>建筑结构</v>
      </c>
      <c r="R34" s="1573" t="s">
        <v>8</v>
      </c>
      <c r="S34" s="1574">
        <f t="shared" si="12"/>
        <v>100</v>
      </c>
      <c r="T34" s="1573" t="s">
        <v>8</v>
      </c>
      <c r="U34" s="1574">
        <f t="shared" si="13"/>
        <v>100</v>
      </c>
      <c r="V34" s="1573" t="s">
        <v>8</v>
      </c>
      <c r="W34" s="1574">
        <f t="shared" si="14"/>
        <v>100</v>
      </c>
      <c r="X34" s="1567"/>
      <c r="Y34" s="3402"/>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2"/>
      <c r="Q35" s="1572" t="str">
        <f t="shared" si="11"/>
        <v>公共部分装修</v>
      </c>
      <c r="R35" s="1573" t="s">
        <v>8</v>
      </c>
      <c r="S35" s="1574">
        <f t="shared" si="12"/>
        <v>100</v>
      </c>
      <c r="T35" s="1573" t="s">
        <v>8</v>
      </c>
      <c r="U35" s="1574">
        <f t="shared" si="13"/>
        <v>100</v>
      </c>
      <c r="V35" s="1573" t="s">
        <v>8</v>
      </c>
      <c r="W35" s="1574">
        <f t="shared" si="14"/>
        <v>100</v>
      </c>
      <c r="X35" s="1567"/>
      <c r="Y35" s="3402"/>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2"/>
      <c r="Q36" s="1572" t="str">
        <f t="shared" si="11"/>
        <v>成新度</v>
      </c>
      <c r="R36" s="1573" t="s">
        <v>8</v>
      </c>
      <c r="S36" s="1574" t="e">
        <f t="shared" si="12"/>
        <v>#N/A</v>
      </c>
      <c r="T36" s="1573" t="s">
        <v>8</v>
      </c>
      <c r="U36" s="1574" t="e">
        <f t="shared" si="13"/>
        <v>#N/A</v>
      </c>
      <c r="V36" s="1573" t="s">
        <v>8</v>
      </c>
      <c r="W36" s="1574" t="e">
        <f t="shared" si="14"/>
        <v>#N/A</v>
      </c>
      <c r="X36" s="1567"/>
      <c r="Y36" s="3402"/>
      <c r="Z36" s="1575" t="str">
        <f t="shared" si="15"/>
        <v>成新度</v>
      </c>
      <c r="AA36" s="1576" t="e">
        <f t="shared" si="3"/>
        <v>#N/A</v>
      </c>
      <c r="AB36" s="1576" t="e">
        <f t="shared" si="4"/>
        <v>#N/A</v>
      </c>
      <c r="AC36" s="1576" t="e">
        <f t="shared" si="5"/>
        <v>#N/A</v>
      </c>
    </row>
    <row r="37" spans="1:29" s="1220"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2"/>
      <c r="Q37" s="1151" t="str">
        <f t="shared" si="11"/>
        <v>市政基础设施</v>
      </c>
      <c r="R37" s="1568" t="s">
        <v>8</v>
      </c>
      <c r="S37" s="1569">
        <f t="shared" si="12"/>
        <v>100</v>
      </c>
      <c r="T37" s="1568" t="s">
        <v>8</v>
      </c>
      <c r="U37" s="1569">
        <f t="shared" si="13"/>
        <v>100</v>
      </c>
      <c r="V37" s="1568" t="s">
        <v>8</v>
      </c>
      <c r="W37" s="1569">
        <f t="shared" si="14"/>
        <v>100</v>
      </c>
      <c r="X37" s="1570"/>
      <c r="Y37" s="3402"/>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2" t="s">
        <v>766</v>
      </c>
      <c r="Q38" s="1572" t="str">
        <f t="shared" si="11"/>
        <v>业态</v>
      </c>
      <c r="R38" s="1573" t="s">
        <v>8</v>
      </c>
      <c r="S38" s="1574">
        <f t="shared" si="12"/>
        <v>100</v>
      </c>
      <c r="T38" s="1573" t="s">
        <v>8</v>
      </c>
      <c r="U38" s="1574">
        <f t="shared" si="13"/>
        <v>100</v>
      </c>
      <c r="V38" s="1573" t="s">
        <v>8</v>
      </c>
      <c r="W38" s="1574">
        <f t="shared" si="14"/>
        <v>100</v>
      </c>
      <c r="X38" s="1567"/>
      <c r="Y38" s="3402"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c r="Q39" s="1572" t="str">
        <f t="shared" si="11"/>
        <v>层高</v>
      </c>
      <c r="R39" s="1573" t="s">
        <v>8</v>
      </c>
      <c r="S39" s="1574">
        <f t="shared" si="12"/>
        <v>100</v>
      </c>
      <c r="T39" s="1573" t="s">
        <v>8</v>
      </c>
      <c r="U39" s="1574">
        <f t="shared" si="13"/>
        <v>100</v>
      </c>
      <c r="V39" s="1573" t="s">
        <v>8</v>
      </c>
      <c r="W39" s="1574">
        <f t="shared" si="14"/>
        <v>100</v>
      </c>
      <c r="X39" s="1567"/>
      <c r="Y39" s="3402"/>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2"/>
      <c r="Q40" s="1572" t="str">
        <f t="shared" si="11"/>
        <v>单套建筑面积</v>
      </c>
      <c r="R40" s="1573" t="s">
        <v>8</v>
      </c>
      <c r="S40" s="1574">
        <f t="shared" si="12"/>
        <v>100</v>
      </c>
      <c r="T40" s="1573" t="s">
        <v>8</v>
      </c>
      <c r="U40" s="1574">
        <f t="shared" si="13"/>
        <v>100</v>
      </c>
      <c r="V40" s="1573" t="s">
        <v>8</v>
      </c>
      <c r="W40" s="1574">
        <f t="shared" si="14"/>
        <v>100</v>
      </c>
      <c r="X40" s="1567"/>
      <c r="Y40" s="3402"/>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2"/>
      <c r="Q41" s="1605" t="str">
        <f t="shared" si="11"/>
        <v>进深比</v>
      </c>
      <c r="R41" s="1577" t="s">
        <v>8</v>
      </c>
      <c r="S41" s="1578">
        <f t="shared" si="12"/>
        <v>100</v>
      </c>
      <c r="T41" s="1577" t="s">
        <v>8</v>
      </c>
      <c r="U41" s="1578">
        <f t="shared" si="13"/>
        <v>100</v>
      </c>
      <c r="V41" s="1577" t="s">
        <v>8</v>
      </c>
      <c r="W41" s="1578">
        <f t="shared" si="14"/>
        <v>100</v>
      </c>
      <c r="X41" s="1579"/>
      <c r="Y41" s="3402"/>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2"/>
      <c r="Q42" s="1572" t="str">
        <f t="shared" si="11"/>
        <v>内部装修</v>
      </c>
      <c r="R42" s="1573" t="s">
        <v>8</v>
      </c>
      <c r="S42" s="1574">
        <f t="shared" si="12"/>
        <v>100</v>
      </c>
      <c r="T42" s="1573" t="s">
        <v>8</v>
      </c>
      <c r="U42" s="1574">
        <f t="shared" si="13"/>
        <v>100</v>
      </c>
      <c r="V42" s="1573" t="s">
        <v>8</v>
      </c>
      <c r="W42" s="1574">
        <f t="shared" si="14"/>
        <v>100</v>
      </c>
      <c r="X42" s="1567"/>
      <c r="Y42" s="3402"/>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2"/>
      <c r="Q43" s="1572" t="str">
        <f t="shared" si="11"/>
        <v>内部装修维护情况</v>
      </c>
      <c r="R43" s="1573" t="s">
        <v>8</v>
      </c>
      <c r="S43" s="1574">
        <f t="shared" si="12"/>
        <v>100</v>
      </c>
      <c r="T43" s="1573" t="s">
        <v>8</v>
      </c>
      <c r="U43" s="1574">
        <f t="shared" si="13"/>
        <v>100</v>
      </c>
      <c r="V43" s="1573" t="s">
        <v>8</v>
      </c>
      <c r="W43" s="1574">
        <f t="shared" si="14"/>
        <v>100</v>
      </c>
      <c r="X43" s="1567"/>
      <c r="Y43" s="340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2"/>
      <c r="Q44" s="1151">
        <f t="shared" si="11"/>
        <v>111</v>
      </c>
      <c r="R44" s="1568" t="s">
        <v>8</v>
      </c>
      <c r="S44" s="1569">
        <f t="shared" si="12"/>
        <v>100</v>
      </c>
      <c r="T44" s="1568" t="s">
        <v>8</v>
      </c>
      <c r="U44" s="1569">
        <f t="shared" si="13"/>
        <v>100</v>
      </c>
      <c r="V44" s="1568" t="s">
        <v>8</v>
      </c>
      <c r="W44" s="1569">
        <f t="shared" si="14"/>
        <v>100</v>
      </c>
      <c r="X44" s="1570"/>
      <c r="Y44" s="340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2"/>
      <c r="Q45" s="1572">
        <f t="shared" si="11"/>
        <v>111</v>
      </c>
      <c r="R45" s="1573" t="s">
        <v>8</v>
      </c>
      <c r="S45" s="1574">
        <f t="shared" si="12"/>
        <v>100</v>
      </c>
      <c r="T45" s="1573" t="s">
        <v>8</v>
      </c>
      <c r="U45" s="1574">
        <f t="shared" si="13"/>
        <v>100</v>
      </c>
      <c r="V45" s="1573" t="s">
        <v>8</v>
      </c>
      <c r="W45" s="1574">
        <f t="shared" si="14"/>
        <v>100</v>
      </c>
      <c r="X45" s="1567"/>
      <c r="Y45" s="340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0"/>
      <c r="Q46" s="1572">
        <f t="shared" si="11"/>
        <v>111</v>
      </c>
      <c r="R46" s="1573" t="s">
        <v>8</v>
      </c>
      <c r="S46" s="1574">
        <f t="shared" si="12"/>
        <v>100</v>
      </c>
      <c r="T46" s="1573" t="s">
        <v>8</v>
      </c>
      <c r="U46" s="1574">
        <f t="shared" si="13"/>
        <v>100</v>
      </c>
      <c r="V46" s="1573" t="s">
        <v>8</v>
      </c>
      <c r="W46" s="1574">
        <f t="shared" si="14"/>
        <v>100</v>
      </c>
      <c r="X46" s="1567"/>
      <c r="Y46" s="3500"/>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397" t="str">
        <f>A47</f>
        <v>成交单价（元/平方米）</v>
      </c>
      <c r="Q47" s="3397"/>
      <c r="R47" s="3499">
        <f>E47</f>
        <v>0</v>
      </c>
      <c r="S47" s="3499"/>
      <c r="T47" s="3499">
        <f>G47</f>
        <v>0</v>
      </c>
      <c r="U47" s="3499"/>
      <c r="V47" s="3499">
        <f>I47</f>
        <v>0</v>
      </c>
      <c r="W47" s="3499"/>
      <c r="X47" s="1559"/>
      <c r="Y47" s="1581"/>
      <c r="Z47" s="1559"/>
      <c r="AA47" s="1559"/>
      <c r="AB47" s="1559"/>
      <c r="AC47" s="1559"/>
    </row>
    <row r="48" spans="1:29" ht="15.75" thickBot="1">
      <c r="A48" s="615" t="s">
        <v>2762</v>
      </c>
      <c r="B48" s="888"/>
      <c r="C48" s="2634" t="e">
        <f>R49</f>
        <v>#DIV/0!</v>
      </c>
      <c r="D48" s="2635"/>
      <c r="E48" s="2636" t="e">
        <f>R48</f>
        <v>#DIV/0!</v>
      </c>
      <c r="F48" s="2636"/>
      <c r="G48" s="2634" t="e">
        <f>T48</f>
        <v>#DIV/0!</v>
      </c>
      <c r="H48" s="2635"/>
      <c r="I48" s="2636" t="e">
        <f>V48</f>
        <v>#DIV/0!</v>
      </c>
      <c r="J48" s="2635"/>
      <c r="K48" s="1612"/>
      <c r="L48" s="2145"/>
      <c r="M48" s="2146"/>
      <c r="N48" s="2135"/>
      <c r="O48" s="2146"/>
      <c r="P48" s="3397" t="str">
        <f>A48</f>
        <v>比较价格（元/平方米）</v>
      </c>
      <c r="Q48" s="3397"/>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59"/>
      <c r="Y48" s="1559"/>
      <c r="Z48" s="1559"/>
      <c r="AA48" s="1559"/>
      <c r="AB48" s="1559"/>
      <c r="AC48" s="1559"/>
    </row>
    <row r="49" spans="1:29" ht="15.75" thickBot="1">
      <c r="A49" s="621" t="s">
        <v>2937</v>
      </c>
      <c r="B49" s="622"/>
      <c r="C49" s="2637" t="e">
        <f>R49</f>
        <v>#DIV/0!</v>
      </c>
      <c r="D49" s="2637"/>
      <c r="E49" s="2637"/>
      <c r="F49" s="2637"/>
      <c r="G49" s="2637"/>
      <c r="H49" s="2637"/>
      <c r="I49" s="2637"/>
      <c r="J49" s="2637"/>
      <c r="K49" s="1613"/>
      <c r="L49" s="2145"/>
      <c r="M49" s="2146"/>
      <c r="N49" s="2135"/>
      <c r="O49" s="2146"/>
      <c r="P49" s="3418" t="str">
        <f>A49</f>
        <v>估价对象XX用房的比较价格（楼面单价，元/平方米）</v>
      </c>
      <c r="Q49" s="3419"/>
      <c r="R49" s="3498" t="e">
        <f>IF(F1="售价",ROUND(AVERAGE(R48:V48),0),ROUND(AVERAGE(R48:V48),1))</f>
        <v>#DIV/0!</v>
      </c>
      <c r="S49" s="3498"/>
      <c r="T49" s="3498"/>
      <c r="U49" s="3498"/>
      <c r="V49" s="3498"/>
      <c r="W49" s="349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03" t="s">
        <v>522</v>
      </c>
      <c r="D4" s="3404"/>
      <c r="E4" s="3427" t="s">
        <v>523</v>
      </c>
      <c r="F4" s="3428"/>
      <c r="G4" s="3403" t="s">
        <v>524</v>
      </c>
      <c r="H4" s="3404"/>
      <c r="I4" s="3403" t="s">
        <v>525</v>
      </c>
      <c r="J4" s="3404"/>
      <c r="K4" s="514" t="s">
        <v>526</v>
      </c>
      <c r="L4" s="2134"/>
      <c r="M4" s="2135"/>
      <c r="N4" s="2135"/>
      <c r="O4" s="2135"/>
      <c r="P4" s="3501" t="s">
        <v>527</v>
      </c>
      <c r="Q4" s="3406"/>
      <c r="R4" s="3391" t="s">
        <v>523</v>
      </c>
      <c r="S4" s="3392"/>
      <c r="T4" s="3391" t="s">
        <v>524</v>
      </c>
      <c r="U4" s="3392"/>
      <c r="V4" s="3411" t="s">
        <v>525</v>
      </c>
      <c r="W4" s="3411"/>
      <c r="X4" s="1567"/>
      <c r="Y4" s="3391" t="s">
        <v>527</v>
      </c>
      <c r="Z4" s="3392"/>
      <c r="AA4" s="3386" t="s">
        <v>523</v>
      </c>
      <c r="AB4" s="3386" t="s">
        <v>524</v>
      </c>
      <c r="AC4" s="3386" t="s">
        <v>525</v>
      </c>
    </row>
    <row r="5" spans="1:29" ht="15">
      <c r="A5" s="515"/>
      <c r="B5" s="516"/>
      <c r="C5" s="3414" t="s">
        <v>2931</v>
      </c>
      <c r="D5" s="3415"/>
      <c r="E5" s="3429" t="s">
        <v>2932</v>
      </c>
      <c r="F5" s="3430"/>
      <c r="G5" s="3414" t="s">
        <v>2933</v>
      </c>
      <c r="H5" s="3415"/>
      <c r="I5" s="3414" t="s">
        <v>2934</v>
      </c>
      <c r="J5" s="3415"/>
      <c r="K5" s="514"/>
      <c r="L5" s="2134"/>
      <c r="M5" s="2135"/>
      <c r="N5" s="2135"/>
      <c r="O5" s="2135"/>
      <c r="P5" s="3502"/>
      <c r="Q5" s="3408"/>
      <c r="R5" s="3393"/>
      <c r="S5" s="3394"/>
      <c r="T5" s="3393"/>
      <c r="U5" s="3394"/>
      <c r="V5" s="3411"/>
      <c r="W5" s="3411"/>
      <c r="X5" s="1567"/>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503"/>
      <c r="Q6" s="3410"/>
      <c r="R6" s="3393"/>
      <c r="S6" s="3394"/>
      <c r="T6" s="3395"/>
      <c r="U6" s="3396"/>
      <c r="V6" s="3411"/>
      <c r="W6" s="3411"/>
      <c r="X6" s="1567"/>
      <c r="Y6" s="3395"/>
      <c r="Z6" s="3396"/>
      <c r="AA6" s="3388"/>
      <c r="AB6" s="3388"/>
      <c r="AC6" s="3388"/>
    </row>
    <row r="7" spans="1:29" s="1220" customFormat="1" ht="15.75" thickBot="1">
      <c r="A7" s="2912"/>
      <c r="B7" s="2919" t="s">
        <v>529</v>
      </c>
      <c r="C7" s="519">
        <f>'数据-取费表'!B2</f>
        <v>43402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8" t="s">
        <v>530</v>
      </c>
      <c r="Q7" s="3398"/>
      <c r="R7" s="1568" t="s">
        <v>8</v>
      </c>
      <c r="S7" s="1569">
        <f t="shared" ref="S7:S15" si="0">F7</f>
        <v>0</v>
      </c>
      <c r="T7" s="1568" t="s">
        <v>8</v>
      </c>
      <c r="U7" s="1569">
        <f t="shared" ref="U7:U15" si="1">H7</f>
        <v>0</v>
      </c>
      <c r="V7" s="1568" t="s">
        <v>8</v>
      </c>
      <c r="W7" s="1569">
        <f t="shared" ref="W7:W15"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8" t="s">
        <v>533</v>
      </c>
      <c r="Q8" s="3390"/>
      <c r="R8" s="1568" t="s">
        <v>8</v>
      </c>
      <c r="S8" s="1569">
        <f t="shared" si="0"/>
        <v>0</v>
      </c>
      <c r="T8" s="1568" t="s">
        <v>8</v>
      </c>
      <c r="U8" s="1569">
        <f t="shared" si="1"/>
        <v>0</v>
      </c>
      <c r="V8" s="1568" t="s">
        <v>8</v>
      </c>
      <c r="W8" s="1569">
        <f t="shared" si="2"/>
        <v>0</v>
      </c>
      <c r="X8" s="1570"/>
      <c r="Y8" s="3389" t="s">
        <v>533</v>
      </c>
      <c r="Z8" s="3390"/>
      <c r="AA8" s="1571" t="e">
        <f t="shared" ref="AA8:AA47" si="3">D8/F8</f>
        <v>#DIV/0!</v>
      </c>
      <c r="AB8" s="1571" t="e">
        <f t="shared" ref="AB8:AB47" si="4">D8/H8</f>
        <v>#DIV/0!</v>
      </c>
      <c r="AC8" s="1571"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7" t="s">
        <v>535</v>
      </c>
      <c r="Q9" s="1151" t="str">
        <f t="shared" ref="Q9:Q15" si="6">B9</f>
        <v>用途</v>
      </c>
      <c r="R9" s="1568" t="s">
        <v>8</v>
      </c>
      <c r="S9" s="1569">
        <f t="shared" si="0"/>
        <v>100</v>
      </c>
      <c r="T9" s="1568" t="s">
        <v>8</v>
      </c>
      <c r="U9" s="1569">
        <f t="shared" si="1"/>
        <v>100</v>
      </c>
      <c r="V9" s="1568" t="s">
        <v>8</v>
      </c>
      <c r="W9" s="1569">
        <f t="shared" si="2"/>
        <v>100</v>
      </c>
      <c r="X9" s="1570"/>
      <c r="Y9" s="3354"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7"/>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7"/>
      <c r="Q11" s="1151" t="str">
        <f t="shared" si="6"/>
        <v>容积率</v>
      </c>
      <c r="R11" s="1568" t="s">
        <v>8</v>
      </c>
      <c r="S11" s="1569" t="e">
        <f t="shared" si="0"/>
        <v>#N/A</v>
      </c>
      <c r="T11" s="1568" t="s">
        <v>8</v>
      </c>
      <c r="U11" s="1569" t="e">
        <f t="shared" si="1"/>
        <v>#N/A</v>
      </c>
      <c r="V11" s="1568" t="s">
        <v>8</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7"/>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7"/>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7"/>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 t="shared" si="3"/>
        <v>1</v>
      </c>
      <c r="AB14" s="1571">
        <f t="shared" si="4"/>
        <v>1</v>
      </c>
      <c r="AC14" s="1571">
        <f t="shared" si="5"/>
        <v>1</v>
      </c>
    </row>
    <row r="15" spans="1:29" ht="71.25">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9" t="s">
        <v>540</v>
      </c>
      <c r="Q15" s="1572" t="str">
        <f t="shared" si="6"/>
        <v>办公集聚程度</v>
      </c>
      <c r="R15" s="1573" t="s">
        <v>8</v>
      </c>
      <c r="S15" s="1574">
        <f t="shared" si="0"/>
        <v>100</v>
      </c>
      <c r="T15" s="1573" t="s">
        <v>8</v>
      </c>
      <c r="U15" s="1574">
        <f t="shared" si="1"/>
        <v>100</v>
      </c>
      <c r="V15" s="1573" t="s">
        <v>8</v>
      </c>
      <c r="W15" s="1574">
        <f t="shared" si="2"/>
        <v>100</v>
      </c>
      <c r="X15" s="1567"/>
      <c r="Y15" s="339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00"/>
      <c r="Q16" s="1572"/>
      <c r="R16" s="1573"/>
      <c r="S16" s="1574"/>
      <c r="T16" s="1573"/>
      <c r="U16" s="1574"/>
      <c r="V16" s="1573"/>
      <c r="W16" s="1574"/>
      <c r="X16" s="1567"/>
      <c r="Y16" s="3400"/>
      <c r="Z16" s="1575"/>
      <c r="AA16" s="1576">
        <v>1</v>
      </c>
      <c r="AB16" s="1576">
        <v>1</v>
      </c>
      <c r="AC16" s="1576">
        <v>1</v>
      </c>
    </row>
    <row r="17" spans="1:29" ht="142.5">
      <c r="A17" s="532"/>
      <c r="B17" s="560" t="s">
        <v>296</v>
      </c>
      <c r="C17" s="573" t="str">
        <f>估价对象房地状况!C6</f>
        <v>估价对象临中央大道，有山深线等道路、公共交通通达情况较好，有156路、710路等公交线路、停车便捷程度较好，综合评价交通便捷度较好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0"/>
      <c r="Q17" s="1572" t="str">
        <f>B17</f>
        <v>交通便捷度</v>
      </c>
      <c r="R17" s="1573" t="s">
        <v>8</v>
      </c>
      <c r="S17" s="1574">
        <f>F17</f>
        <v>100</v>
      </c>
      <c r="T17" s="1573" t="s">
        <v>8</v>
      </c>
      <c r="U17" s="1574">
        <f>H17</f>
        <v>100</v>
      </c>
      <c r="V17" s="1573" t="s">
        <v>8</v>
      </c>
      <c r="W17" s="1574">
        <f>J17</f>
        <v>100</v>
      </c>
      <c r="X17" s="1567"/>
      <c r="Y17" s="340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00"/>
      <c r="Q18" s="1572"/>
      <c r="R18" s="1573"/>
      <c r="S18" s="1574"/>
      <c r="T18" s="1573"/>
      <c r="U18" s="1574"/>
      <c r="V18" s="1573"/>
      <c r="W18" s="1574"/>
      <c r="X18" s="1567"/>
      <c r="Y18" s="3400"/>
      <c r="Z18" s="1575"/>
      <c r="AA18" s="1576">
        <v>1</v>
      </c>
      <c r="AB18" s="1576">
        <v>1</v>
      </c>
      <c r="AC18" s="1576">
        <v>1</v>
      </c>
    </row>
    <row r="19" spans="1:29" ht="42.75">
      <c r="A19" s="532"/>
      <c r="B19" s="2604"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0"/>
      <c r="Q19" s="1572" t="str">
        <f>B19</f>
        <v>公共配套设施</v>
      </c>
      <c r="R19" s="1573" t="s">
        <v>8</v>
      </c>
      <c r="S19" s="1574">
        <f>F19</f>
        <v>100</v>
      </c>
      <c r="T19" s="1573" t="s">
        <v>8</v>
      </c>
      <c r="U19" s="1574">
        <f>H19</f>
        <v>100</v>
      </c>
      <c r="V19" s="1573" t="s">
        <v>8</v>
      </c>
      <c r="W19" s="1574">
        <f>J19</f>
        <v>100</v>
      </c>
      <c r="X19" s="1567"/>
      <c r="Y19" s="340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00"/>
      <c r="Q20" s="1572"/>
      <c r="R20" s="1573"/>
      <c r="S20" s="1574"/>
      <c r="T20" s="1573"/>
      <c r="U20" s="1574"/>
      <c r="V20" s="1573"/>
      <c r="W20" s="1574"/>
      <c r="X20" s="1567"/>
      <c r="Y20" s="3400"/>
      <c r="Z20" s="1575"/>
      <c r="AA20" s="1576">
        <v>1</v>
      </c>
      <c r="AB20" s="1576">
        <v>1</v>
      </c>
      <c r="AC20" s="1576">
        <v>1</v>
      </c>
    </row>
    <row r="21" spans="1:29" ht="28.5">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0"/>
      <c r="Q21" s="2580" t="str">
        <f>B21</f>
        <v>基础设施水平</v>
      </c>
      <c r="R21" s="1573" t="s">
        <v>8</v>
      </c>
      <c r="S21" s="1574">
        <f>F21</f>
        <v>100</v>
      </c>
      <c r="T21" s="1573" t="s">
        <v>8</v>
      </c>
      <c r="U21" s="1574">
        <f>H21</f>
        <v>100</v>
      </c>
      <c r="V21" s="1573" t="s">
        <v>8</v>
      </c>
      <c r="W21" s="1574">
        <f>J21</f>
        <v>100</v>
      </c>
      <c r="X21" s="2582"/>
      <c r="Y21" s="3400"/>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00"/>
      <c r="Q22" s="2580"/>
      <c r="R22" s="1573"/>
      <c r="S22" s="1574"/>
      <c r="T22" s="1573"/>
      <c r="U22" s="1574"/>
      <c r="V22" s="1573"/>
      <c r="W22" s="1574"/>
      <c r="X22" s="2582"/>
      <c r="Y22" s="3400"/>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0"/>
      <c r="Q23" s="1572" t="str">
        <f>B23</f>
        <v>环境质量</v>
      </c>
      <c r="R23" s="1573" t="s">
        <v>8</v>
      </c>
      <c r="S23" s="1574">
        <f>F23</f>
        <v>100</v>
      </c>
      <c r="T23" s="1573" t="s">
        <v>8</v>
      </c>
      <c r="U23" s="1574">
        <f>H23</f>
        <v>100</v>
      </c>
      <c r="V23" s="1573" t="s">
        <v>8</v>
      </c>
      <c r="W23" s="1574">
        <f>J23</f>
        <v>100</v>
      </c>
      <c r="X23" s="1567"/>
      <c r="Y23" s="340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00"/>
      <c r="Q24" s="1572"/>
      <c r="R24" s="1573"/>
      <c r="S24" s="1574"/>
      <c r="T24" s="1573"/>
      <c r="U24" s="1574"/>
      <c r="V24" s="1573"/>
      <c r="W24" s="1574"/>
      <c r="X24" s="1567"/>
      <c r="Y24" s="3400"/>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0"/>
      <c r="Q25" s="1572" t="str">
        <f>B25</f>
        <v>毗邻道路的类型与等级</v>
      </c>
      <c r="R25" s="1573" t="s">
        <v>8</v>
      </c>
      <c r="S25" s="1574">
        <f>F25</f>
        <v>100</v>
      </c>
      <c r="T25" s="1573" t="s">
        <v>8</v>
      </c>
      <c r="U25" s="1574">
        <f>H25</f>
        <v>100</v>
      </c>
      <c r="V25" s="1573" t="s">
        <v>8</v>
      </c>
      <c r="W25" s="1574">
        <f>J25</f>
        <v>100</v>
      </c>
      <c r="X25" s="1567"/>
      <c r="Y25" s="340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00"/>
      <c r="Q26" s="1572"/>
      <c r="R26" s="1573"/>
      <c r="S26" s="1574"/>
      <c r="T26" s="1573"/>
      <c r="U26" s="1574"/>
      <c r="V26" s="1573"/>
      <c r="W26" s="1574"/>
      <c r="X26" s="1567"/>
      <c r="Y26" s="340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0"/>
      <c r="Q27" s="1572" t="str">
        <f t="shared" ref="Q27:Q47" si="11">B27</f>
        <v>楼层</v>
      </c>
      <c r="R27" s="1573" t="s">
        <v>8</v>
      </c>
      <c r="S27" s="1574">
        <f>F27</f>
        <v>100</v>
      </c>
      <c r="T27" s="1573" t="s">
        <v>8</v>
      </c>
      <c r="U27" s="1574">
        <f>H27</f>
        <v>100</v>
      </c>
      <c r="V27" s="1573" t="s">
        <v>8</v>
      </c>
      <c r="W27" s="1574">
        <f>J27</f>
        <v>100</v>
      </c>
      <c r="X27" s="1567"/>
      <c r="Y27" s="3400"/>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0"/>
      <c r="Q28" s="1151" t="str">
        <f t="shared" si="11"/>
        <v>朝向</v>
      </c>
      <c r="R28" s="1568" t="s">
        <v>8</v>
      </c>
      <c r="S28" s="1569">
        <f>F28</f>
        <v>100</v>
      </c>
      <c r="T28" s="1568" t="s">
        <v>8</v>
      </c>
      <c r="U28" s="1569">
        <f>H28</f>
        <v>100</v>
      </c>
      <c r="V28" s="1568" t="s">
        <v>8</v>
      </c>
      <c r="W28" s="1569">
        <f>J28</f>
        <v>100</v>
      </c>
      <c r="X28" s="1570"/>
      <c r="Y28" s="340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0"/>
      <c r="Q29" s="1572">
        <f t="shared" si="11"/>
        <v>111</v>
      </c>
      <c r="R29" s="1573" t="s">
        <v>8</v>
      </c>
      <c r="S29" s="1574">
        <f t="shared" ref="S29:S47" si="12">F29</f>
        <v>100</v>
      </c>
      <c r="T29" s="1573" t="s">
        <v>8</v>
      </c>
      <c r="U29" s="1574">
        <f t="shared" ref="U29:U47" si="13">H29</f>
        <v>100</v>
      </c>
      <c r="V29" s="1573" t="s">
        <v>8</v>
      </c>
      <c r="W29" s="1574">
        <f t="shared" ref="W29:W47" si="14">J29</f>
        <v>100</v>
      </c>
      <c r="X29" s="1567"/>
      <c r="Y29" s="340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0"/>
      <c r="Q30" s="1572">
        <f t="shared" si="11"/>
        <v>111</v>
      </c>
      <c r="R30" s="1573" t="s">
        <v>8</v>
      </c>
      <c r="S30" s="1574">
        <f t="shared" si="12"/>
        <v>100</v>
      </c>
      <c r="T30" s="1573" t="s">
        <v>8</v>
      </c>
      <c r="U30" s="1574">
        <f t="shared" si="13"/>
        <v>100</v>
      </c>
      <c r="V30" s="1573" t="s">
        <v>8</v>
      </c>
      <c r="W30" s="1574">
        <f t="shared" si="14"/>
        <v>100</v>
      </c>
      <c r="X30" s="1567"/>
      <c r="Y30" s="340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0"/>
      <c r="Q31" s="1572">
        <f t="shared" si="11"/>
        <v>111</v>
      </c>
      <c r="R31" s="1573" t="s">
        <v>8</v>
      </c>
      <c r="S31" s="1574">
        <f t="shared" si="12"/>
        <v>100</v>
      </c>
      <c r="T31" s="1573" t="s">
        <v>8</v>
      </c>
      <c r="U31" s="1574">
        <f t="shared" si="13"/>
        <v>100</v>
      </c>
      <c r="V31" s="1573" t="s">
        <v>8</v>
      </c>
      <c r="W31" s="1574">
        <f t="shared" si="14"/>
        <v>100</v>
      </c>
      <c r="X31" s="1567"/>
      <c r="Y31" s="340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0"/>
      <c r="Q32" s="1572">
        <f t="shared" si="11"/>
        <v>111</v>
      </c>
      <c r="R32" s="1573" t="s">
        <v>8</v>
      </c>
      <c r="S32" s="1574">
        <f t="shared" si="12"/>
        <v>100</v>
      </c>
      <c r="T32" s="1573" t="s">
        <v>8</v>
      </c>
      <c r="U32" s="1574">
        <f t="shared" si="13"/>
        <v>100</v>
      </c>
      <c r="V32" s="1573" t="s">
        <v>8</v>
      </c>
      <c r="W32" s="1574">
        <f t="shared" si="14"/>
        <v>100</v>
      </c>
      <c r="X32" s="1567"/>
      <c r="Y32" s="3400"/>
      <c r="Z32" s="1575">
        <f t="shared" si="15"/>
        <v>111</v>
      </c>
      <c r="AA32" s="1576">
        <f t="shared" si="3"/>
        <v>1</v>
      </c>
      <c r="AB32" s="1576">
        <f t="shared" si="4"/>
        <v>1</v>
      </c>
      <c r="AC32" s="1576">
        <f t="shared" si="5"/>
        <v>1</v>
      </c>
    </row>
    <row r="33" spans="1:29" ht="15">
      <c r="A33" s="2908"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1" t="s">
        <v>550</v>
      </c>
      <c r="Q33" s="1572" t="str">
        <f t="shared" si="11"/>
        <v>建筑类型</v>
      </c>
      <c r="R33" s="1573" t="s">
        <v>8</v>
      </c>
      <c r="S33" s="1574">
        <f t="shared" si="12"/>
        <v>100</v>
      </c>
      <c r="T33" s="1573" t="s">
        <v>8</v>
      </c>
      <c r="U33" s="1574">
        <f t="shared" si="13"/>
        <v>100</v>
      </c>
      <c r="V33" s="1573" t="s">
        <v>8</v>
      </c>
      <c r="W33" s="1574">
        <f t="shared" si="14"/>
        <v>100</v>
      </c>
      <c r="X33" s="1567"/>
      <c r="Y33" s="3402"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2"/>
      <c r="Q34" s="1605" t="str">
        <f t="shared" si="11"/>
        <v>项目建筑规模</v>
      </c>
      <c r="R34" s="1577" t="s">
        <v>8</v>
      </c>
      <c r="S34" s="1578" t="e">
        <f t="shared" si="12"/>
        <v>#N/A</v>
      </c>
      <c r="T34" s="1577" t="s">
        <v>8</v>
      </c>
      <c r="U34" s="1578" t="e">
        <f t="shared" si="13"/>
        <v>#N/A</v>
      </c>
      <c r="V34" s="1577" t="s">
        <v>8</v>
      </c>
      <c r="W34" s="1578" t="e">
        <f t="shared" si="14"/>
        <v>#N/A</v>
      </c>
      <c r="X34" s="1579"/>
      <c r="Y34" s="340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2"/>
      <c r="Q35" s="1572" t="str">
        <f t="shared" si="11"/>
        <v>建筑结构</v>
      </c>
      <c r="R35" s="1573" t="s">
        <v>8</v>
      </c>
      <c r="S35" s="1574">
        <f t="shared" si="12"/>
        <v>100</v>
      </c>
      <c r="T35" s="1573" t="s">
        <v>8</v>
      </c>
      <c r="U35" s="1574">
        <f t="shared" si="13"/>
        <v>100</v>
      </c>
      <c r="V35" s="1573" t="s">
        <v>8</v>
      </c>
      <c r="W35" s="1574">
        <f t="shared" si="14"/>
        <v>100</v>
      </c>
      <c r="X35" s="1567"/>
      <c r="Y35" s="340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2"/>
      <c r="Q36" s="1572" t="str">
        <f t="shared" si="11"/>
        <v>公共部分装修</v>
      </c>
      <c r="R36" s="1573" t="s">
        <v>8</v>
      </c>
      <c r="S36" s="1574">
        <f t="shared" si="12"/>
        <v>100</v>
      </c>
      <c r="T36" s="1573" t="s">
        <v>8</v>
      </c>
      <c r="U36" s="1574">
        <f t="shared" si="13"/>
        <v>100</v>
      </c>
      <c r="V36" s="1573" t="s">
        <v>8</v>
      </c>
      <c r="W36" s="1574">
        <f t="shared" si="14"/>
        <v>100</v>
      </c>
      <c r="X36" s="1567"/>
      <c r="Y36" s="3402"/>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2"/>
      <c r="Q37" s="1572" t="str">
        <f t="shared" si="11"/>
        <v>成新度</v>
      </c>
      <c r="R37" s="1573" t="s">
        <v>8</v>
      </c>
      <c r="S37" s="1574" t="e">
        <f t="shared" si="12"/>
        <v>#N/A</v>
      </c>
      <c r="T37" s="1573" t="s">
        <v>8</v>
      </c>
      <c r="U37" s="1574" t="e">
        <f t="shared" si="13"/>
        <v>#N/A</v>
      </c>
      <c r="V37" s="1573" t="s">
        <v>8</v>
      </c>
      <c r="W37" s="1574" t="e">
        <f t="shared" si="14"/>
        <v>#N/A</v>
      </c>
      <c r="X37" s="1567"/>
      <c r="Y37" s="3402"/>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2"/>
      <c r="Q38" s="1151" t="str">
        <f t="shared" si="11"/>
        <v>写字楼等级</v>
      </c>
      <c r="R38" s="1568" t="s">
        <v>8</v>
      </c>
      <c r="S38" s="1569">
        <f t="shared" si="12"/>
        <v>100</v>
      </c>
      <c r="T38" s="1568" t="s">
        <v>8</v>
      </c>
      <c r="U38" s="1569">
        <f t="shared" si="13"/>
        <v>100</v>
      </c>
      <c r="V38" s="1568" t="s">
        <v>8</v>
      </c>
      <c r="W38" s="1569">
        <f t="shared" si="14"/>
        <v>100</v>
      </c>
      <c r="X38" s="1570"/>
      <c r="Y38" s="3402"/>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2" t="s">
        <v>550</v>
      </c>
      <c r="Q39" s="1572" t="str">
        <f t="shared" si="11"/>
        <v>物业管理</v>
      </c>
      <c r="R39" s="1573" t="s">
        <v>8</v>
      </c>
      <c r="S39" s="1574">
        <f t="shared" si="12"/>
        <v>100</v>
      </c>
      <c r="T39" s="1573" t="s">
        <v>8</v>
      </c>
      <c r="U39" s="1574">
        <f t="shared" si="13"/>
        <v>100</v>
      </c>
      <c r="V39" s="1573" t="s">
        <v>8</v>
      </c>
      <c r="W39" s="1574">
        <f t="shared" si="14"/>
        <v>100</v>
      </c>
      <c r="X39" s="1567"/>
      <c r="Y39" s="3402" t="s">
        <v>550</v>
      </c>
      <c r="Z39" s="1575" t="str">
        <f t="shared" si="15"/>
        <v>物业管理</v>
      </c>
      <c r="AA39" s="1576">
        <f t="shared" si="3"/>
        <v>1</v>
      </c>
      <c r="AB39" s="1576">
        <f t="shared" si="4"/>
        <v>1</v>
      </c>
      <c r="AC39" s="1576">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2"/>
      <c r="Q40" s="1572" t="str">
        <f t="shared" si="11"/>
        <v>市政基础设施</v>
      </c>
      <c r="R40" s="1573" t="s">
        <v>8</v>
      </c>
      <c r="S40" s="1574">
        <f t="shared" si="12"/>
        <v>100</v>
      </c>
      <c r="T40" s="1573" t="s">
        <v>8</v>
      </c>
      <c r="U40" s="1574">
        <f t="shared" si="13"/>
        <v>100</v>
      </c>
      <c r="V40" s="1573" t="s">
        <v>8</v>
      </c>
      <c r="W40" s="1574">
        <f t="shared" si="14"/>
        <v>100</v>
      </c>
      <c r="X40" s="1567"/>
      <c r="Y40" s="340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2"/>
      <c r="Q41" s="1572" t="str">
        <f t="shared" si="11"/>
        <v>层高</v>
      </c>
      <c r="R41" s="1573" t="s">
        <v>8</v>
      </c>
      <c r="S41" s="1574">
        <f t="shared" si="12"/>
        <v>100</v>
      </c>
      <c r="T41" s="1573" t="s">
        <v>8</v>
      </c>
      <c r="U41" s="1574">
        <f t="shared" si="13"/>
        <v>100</v>
      </c>
      <c r="V41" s="1573" t="s">
        <v>8</v>
      </c>
      <c r="W41" s="1574">
        <f t="shared" si="14"/>
        <v>100</v>
      </c>
      <c r="X41" s="1567"/>
      <c r="Y41" s="3402"/>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2"/>
      <c r="Q42" s="1605" t="str">
        <f t="shared" si="11"/>
        <v>单套建筑面积</v>
      </c>
      <c r="R42" s="1577" t="s">
        <v>8</v>
      </c>
      <c r="S42" s="1578">
        <f t="shared" si="12"/>
        <v>100</v>
      </c>
      <c r="T42" s="1577" t="s">
        <v>8</v>
      </c>
      <c r="U42" s="1578">
        <f t="shared" si="13"/>
        <v>100</v>
      </c>
      <c r="V42" s="1577" t="s">
        <v>8</v>
      </c>
      <c r="W42" s="1578">
        <f t="shared" si="14"/>
        <v>100</v>
      </c>
      <c r="X42" s="1579"/>
      <c r="Y42" s="340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2"/>
      <c r="Q43" s="1572" t="str">
        <f t="shared" si="11"/>
        <v>内部装修</v>
      </c>
      <c r="R43" s="1573" t="s">
        <v>8</v>
      </c>
      <c r="S43" s="1574">
        <f t="shared" si="12"/>
        <v>100</v>
      </c>
      <c r="T43" s="1573" t="s">
        <v>8</v>
      </c>
      <c r="U43" s="1574">
        <f t="shared" si="13"/>
        <v>100</v>
      </c>
      <c r="V43" s="1573" t="s">
        <v>8</v>
      </c>
      <c r="W43" s="1574">
        <f t="shared" si="14"/>
        <v>100</v>
      </c>
      <c r="X43" s="1567"/>
      <c r="Y43" s="340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2"/>
      <c r="Q44" s="1572" t="str">
        <f t="shared" si="11"/>
        <v>内部装修维护情况</v>
      </c>
      <c r="R44" s="1573" t="s">
        <v>8</v>
      </c>
      <c r="S44" s="1574">
        <f t="shared" si="12"/>
        <v>100</v>
      </c>
      <c r="T44" s="1573" t="s">
        <v>8</v>
      </c>
      <c r="U44" s="1574">
        <f t="shared" si="13"/>
        <v>100</v>
      </c>
      <c r="V44" s="1573" t="s">
        <v>8</v>
      </c>
      <c r="W44" s="1574">
        <f t="shared" si="14"/>
        <v>100</v>
      </c>
      <c r="X44" s="1567"/>
      <c r="Y44" s="340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2"/>
      <c r="Q45" s="1151">
        <f t="shared" si="11"/>
        <v>111</v>
      </c>
      <c r="R45" s="1568" t="s">
        <v>8</v>
      </c>
      <c r="S45" s="1569">
        <f t="shared" si="12"/>
        <v>100</v>
      </c>
      <c r="T45" s="1568" t="s">
        <v>8</v>
      </c>
      <c r="U45" s="1569">
        <f t="shared" si="13"/>
        <v>100</v>
      </c>
      <c r="V45" s="1568" t="s">
        <v>8</v>
      </c>
      <c r="W45" s="1569">
        <f t="shared" si="14"/>
        <v>100</v>
      </c>
      <c r="X45" s="1570"/>
      <c r="Y45" s="340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2"/>
      <c r="Q46" s="1572">
        <f t="shared" si="11"/>
        <v>111</v>
      </c>
      <c r="R46" s="1573" t="s">
        <v>8</v>
      </c>
      <c r="S46" s="1574">
        <f t="shared" si="12"/>
        <v>100</v>
      </c>
      <c r="T46" s="1573" t="s">
        <v>8</v>
      </c>
      <c r="U46" s="1574">
        <f t="shared" si="13"/>
        <v>100</v>
      </c>
      <c r="V46" s="1573" t="s">
        <v>8</v>
      </c>
      <c r="W46" s="1574">
        <f t="shared" si="14"/>
        <v>100</v>
      </c>
      <c r="X46" s="1567"/>
      <c r="Y46" s="340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0"/>
      <c r="Q47" s="1572">
        <f t="shared" si="11"/>
        <v>111</v>
      </c>
      <c r="R47" s="1573" t="s">
        <v>8</v>
      </c>
      <c r="S47" s="1574">
        <f t="shared" si="12"/>
        <v>100</v>
      </c>
      <c r="T47" s="1573" t="s">
        <v>8</v>
      </c>
      <c r="U47" s="1574">
        <f t="shared" si="13"/>
        <v>100</v>
      </c>
      <c r="V47" s="1573" t="s">
        <v>8</v>
      </c>
      <c r="W47" s="1574">
        <f t="shared" si="14"/>
        <v>100</v>
      </c>
      <c r="X47" s="1567"/>
      <c r="Y47" s="3500"/>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19" t="str">
        <f>A48</f>
        <v>成交单价（元/平方米）</v>
      </c>
      <c r="Q48" s="3397"/>
      <c r="R48" s="3499">
        <f>E48</f>
        <v>0</v>
      </c>
      <c r="S48" s="3499"/>
      <c r="T48" s="3499">
        <f>G48</f>
        <v>0</v>
      </c>
      <c r="U48" s="3499"/>
      <c r="V48" s="3499">
        <f>I48</f>
        <v>0</v>
      </c>
      <c r="W48" s="3499"/>
      <c r="X48" s="1559"/>
      <c r="Y48" s="1581"/>
      <c r="Z48" s="1559"/>
      <c r="AA48" s="1559"/>
      <c r="AB48" s="1559"/>
      <c r="AC48" s="1559"/>
    </row>
    <row r="49" spans="1:29" ht="15.75" thickBot="1">
      <c r="A49" s="615" t="s">
        <v>2762</v>
      </c>
      <c r="B49" s="888"/>
      <c r="C49" s="2634" t="e">
        <f>R50</f>
        <v>#DIV/0!</v>
      </c>
      <c r="D49" s="2635"/>
      <c r="E49" s="2636" t="e">
        <f>R49</f>
        <v>#DIV/0!</v>
      </c>
      <c r="F49" s="2636"/>
      <c r="G49" s="2634" t="e">
        <f>T49</f>
        <v>#DIV/0!</v>
      </c>
      <c r="H49" s="2635"/>
      <c r="I49" s="2636" t="e">
        <f>V49</f>
        <v>#DIV/0!</v>
      </c>
      <c r="J49" s="2635"/>
      <c r="K49" s="1612"/>
      <c r="L49" s="2145"/>
      <c r="M49" s="2135"/>
      <c r="N49" s="2135"/>
      <c r="O49" s="2135"/>
      <c r="P49" s="3419" t="str">
        <f>A49</f>
        <v>比较价格（元/平方米）</v>
      </c>
      <c r="Q49" s="3397"/>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59"/>
      <c r="Y49" s="1559"/>
      <c r="Z49" s="1559"/>
      <c r="AA49" s="1559"/>
      <c r="AB49" s="1559"/>
      <c r="AC49" s="1559"/>
    </row>
    <row r="50" spans="1:29" ht="15.75" thickBot="1">
      <c r="A50" s="621" t="s">
        <v>2937</v>
      </c>
      <c r="B50" s="622"/>
      <c r="C50" s="2637" t="e">
        <f>R50</f>
        <v>#DIV/0!</v>
      </c>
      <c r="D50" s="2637"/>
      <c r="E50" s="2637"/>
      <c r="F50" s="2637"/>
      <c r="G50" s="2637"/>
      <c r="H50" s="2637"/>
      <c r="I50" s="2637"/>
      <c r="J50" s="2637"/>
      <c r="K50" s="1613"/>
      <c r="L50" s="2145"/>
      <c r="M50" s="2135"/>
      <c r="N50" s="2135"/>
      <c r="O50" s="2135"/>
      <c r="P50" s="3504" t="str">
        <f>A50</f>
        <v>估价对象XX用房的比较价格（楼面单价，元/平方米）</v>
      </c>
      <c r="Q50" s="3419"/>
      <c r="R50" s="3498" t="e">
        <f>IF(F1="售价",ROUND(AVERAGE(R49:V49),0),ROUND(AVERAGE(R49:V49),1))</f>
        <v>#DIV/0!</v>
      </c>
      <c r="S50" s="3498"/>
      <c r="T50" s="3498"/>
      <c r="U50" s="3498"/>
      <c r="V50" s="3498"/>
      <c r="W50" s="3498"/>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03" t="s">
        <v>522</v>
      </c>
      <c r="D4" s="3404"/>
      <c r="E4" s="3427" t="s">
        <v>523</v>
      </c>
      <c r="F4" s="3428"/>
      <c r="G4" s="3403" t="s">
        <v>524</v>
      </c>
      <c r="H4" s="3404"/>
      <c r="I4" s="3403" t="s">
        <v>525</v>
      </c>
      <c r="J4" s="3404"/>
      <c r="K4" s="514" t="s">
        <v>526</v>
      </c>
      <c r="L4" s="2134"/>
      <c r="M4" s="2135"/>
      <c r="N4" s="2135"/>
      <c r="O4" s="2135"/>
      <c r="P4" s="3405" t="s">
        <v>527</v>
      </c>
      <c r="Q4" s="3406"/>
      <c r="R4" s="3391" t="s">
        <v>523</v>
      </c>
      <c r="S4" s="3392"/>
      <c r="T4" s="3391" t="s">
        <v>524</v>
      </c>
      <c r="U4" s="3392"/>
      <c r="V4" s="3411" t="s">
        <v>525</v>
      </c>
      <c r="W4" s="3411"/>
      <c r="X4" s="1567"/>
      <c r="Y4" s="3391" t="s">
        <v>527</v>
      </c>
      <c r="Z4" s="3392"/>
      <c r="AA4" s="3386" t="s">
        <v>523</v>
      </c>
      <c r="AB4" s="3387" t="s">
        <v>524</v>
      </c>
      <c r="AC4" s="3386" t="s">
        <v>525</v>
      </c>
    </row>
    <row r="5" spans="1:29" ht="15">
      <c r="A5" s="515"/>
      <c r="B5" s="516"/>
      <c r="C5" s="3414" t="s">
        <v>2931</v>
      </c>
      <c r="D5" s="3415"/>
      <c r="E5" s="3429" t="s">
        <v>2932</v>
      </c>
      <c r="F5" s="3430"/>
      <c r="G5" s="3414" t="s">
        <v>2933</v>
      </c>
      <c r="H5" s="3415"/>
      <c r="I5" s="3414" t="s">
        <v>2934</v>
      </c>
      <c r="J5" s="3415"/>
      <c r="K5" s="514"/>
      <c r="L5" s="2134"/>
      <c r="M5" s="2135"/>
      <c r="N5" s="2135"/>
      <c r="O5" s="2135"/>
      <c r="P5" s="3407"/>
      <c r="Q5" s="3408"/>
      <c r="R5" s="3393"/>
      <c r="S5" s="3394"/>
      <c r="T5" s="3393"/>
      <c r="U5" s="3394"/>
      <c r="V5" s="3411"/>
      <c r="W5" s="3411"/>
      <c r="X5" s="1567"/>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7"/>
      <c r="Y6" s="3395"/>
      <c r="Z6" s="3396"/>
      <c r="AA6" s="3388"/>
      <c r="AB6" s="3388"/>
      <c r="AC6" s="3388"/>
    </row>
    <row r="7" spans="1:29" s="1220" customFormat="1" ht="15.75" thickBot="1">
      <c r="A7" s="2912"/>
      <c r="B7" s="2919" t="s">
        <v>529</v>
      </c>
      <c r="C7" s="519">
        <f>'数据-取费表'!B2</f>
        <v>43402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9" t="s">
        <v>530</v>
      </c>
      <c r="Q7" s="3398"/>
      <c r="R7" s="1568" t="s">
        <v>8</v>
      </c>
      <c r="S7" s="1569">
        <f t="shared" ref="S7:S15" si="0">F7</f>
        <v>0</v>
      </c>
      <c r="T7" s="1568" t="s">
        <v>8</v>
      </c>
      <c r="U7" s="1569">
        <f t="shared" ref="U7:U15" si="1">H7</f>
        <v>0</v>
      </c>
      <c r="V7" s="1568" t="s">
        <v>8</v>
      </c>
      <c r="W7" s="1569">
        <f t="shared" ref="W7:W15"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9" t="s">
        <v>533</v>
      </c>
      <c r="Q8" s="3390"/>
      <c r="R8" s="1568" t="s">
        <v>8</v>
      </c>
      <c r="S8" s="1569">
        <f t="shared" si="0"/>
        <v>0</v>
      </c>
      <c r="T8" s="1568" t="s">
        <v>8</v>
      </c>
      <c r="U8" s="1569">
        <f t="shared" si="1"/>
        <v>0</v>
      </c>
      <c r="V8" s="1568" t="s">
        <v>8</v>
      </c>
      <c r="W8" s="1569">
        <f t="shared" si="2"/>
        <v>0</v>
      </c>
      <c r="X8" s="1570"/>
      <c r="Y8" s="3389" t="s">
        <v>533</v>
      </c>
      <c r="Z8" s="3390"/>
      <c r="AA8" s="1571" t="e">
        <f t="shared" ref="AA8:AA40" si="3">D8/F8</f>
        <v>#DIV/0!</v>
      </c>
      <c r="AB8" s="1571" t="e">
        <f t="shared" ref="AB8:AB40" si="4">D8/H8</f>
        <v>#DIV/0!</v>
      </c>
      <c r="AC8" s="1571"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7" t="s">
        <v>535</v>
      </c>
      <c r="Q9" s="1151" t="str">
        <f t="shared" ref="Q9:Q15" si="6">B9</f>
        <v>用途</v>
      </c>
      <c r="R9" s="1568" t="s">
        <v>8</v>
      </c>
      <c r="S9" s="1569">
        <f t="shared" si="0"/>
        <v>100</v>
      </c>
      <c r="T9" s="1568" t="s">
        <v>8</v>
      </c>
      <c r="U9" s="1569">
        <f t="shared" si="1"/>
        <v>100</v>
      </c>
      <c r="V9" s="1568" t="s">
        <v>8</v>
      </c>
      <c r="W9" s="1569">
        <f t="shared" si="2"/>
        <v>100</v>
      </c>
      <c r="X9" s="1570"/>
      <c r="Y9" s="3354" t="s">
        <v>536</v>
      </c>
      <c r="Z9" s="1150" t="str">
        <f t="shared" ref="Z9:Z15" si="7">Q9</f>
        <v>用途</v>
      </c>
      <c r="AA9" s="1571">
        <f t="shared" si="3"/>
        <v>1</v>
      </c>
      <c r="AB9" s="1571">
        <f t="shared" si="4"/>
        <v>1</v>
      </c>
      <c r="AC9" s="1571">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7"/>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7"/>
      <c r="Q11" s="1151" t="str">
        <f t="shared" si="6"/>
        <v>容积率</v>
      </c>
      <c r="R11" s="1568" t="s">
        <v>8</v>
      </c>
      <c r="S11" s="1569" t="e">
        <f t="shared" si="0"/>
        <v>#N/A</v>
      </c>
      <c r="T11" s="1568" t="s">
        <v>8</v>
      </c>
      <c r="U11" s="1569" t="e">
        <f t="shared" si="1"/>
        <v>#N/A</v>
      </c>
      <c r="V11" s="1568" t="s">
        <v>8</v>
      </c>
      <c r="W11" s="1569" t="e">
        <f t="shared" si="2"/>
        <v>#N/A</v>
      </c>
      <c r="X11" s="1570"/>
      <c r="Y11" s="3354"/>
      <c r="Z11" s="1150" t="str">
        <f t="shared" si="7"/>
        <v>容积率</v>
      </c>
      <c r="AA11" s="1571" t="e">
        <f t="shared" si="3"/>
        <v>#N/A</v>
      </c>
      <c r="AB11" s="1571" t="e">
        <f t="shared" si="4"/>
        <v>#N/A</v>
      </c>
      <c r="AC11" s="1571"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7"/>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7"/>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7"/>
      <c r="Q14" s="1151">
        <f t="shared" si="6"/>
        <v>111</v>
      </c>
      <c r="R14" s="1568" t="s">
        <v>8</v>
      </c>
      <c r="S14" s="1569">
        <f t="shared" si="0"/>
        <v>100</v>
      </c>
      <c r="T14" s="1568" t="s">
        <v>8</v>
      </c>
      <c r="U14" s="1569">
        <f t="shared" si="1"/>
        <v>100</v>
      </c>
      <c r="V14" s="1568" t="s">
        <v>8</v>
      </c>
      <c r="W14" s="1569">
        <f t="shared" si="2"/>
        <v>100</v>
      </c>
      <c r="X14" s="1570"/>
      <c r="Y14" s="3354"/>
      <c r="Z14" s="1150">
        <f t="shared" si="7"/>
        <v>111</v>
      </c>
      <c r="AA14" s="1571">
        <f t="shared" si="3"/>
        <v>1</v>
      </c>
      <c r="AB14" s="1571">
        <f t="shared" si="4"/>
        <v>1</v>
      </c>
      <c r="AC14" s="1571">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9" t="s">
        <v>540</v>
      </c>
      <c r="Q15" s="1572" t="str">
        <f t="shared" si="6"/>
        <v>产业集聚程度</v>
      </c>
      <c r="R15" s="1573" t="s">
        <v>8</v>
      </c>
      <c r="S15" s="1574">
        <f t="shared" si="0"/>
        <v>100</v>
      </c>
      <c r="T15" s="1573" t="s">
        <v>8</v>
      </c>
      <c r="U15" s="1574">
        <f t="shared" si="1"/>
        <v>100</v>
      </c>
      <c r="V15" s="1573" t="s">
        <v>8</v>
      </c>
      <c r="W15" s="1574">
        <f t="shared" si="2"/>
        <v>100</v>
      </c>
      <c r="X15" s="1567"/>
      <c r="Y15" s="339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00"/>
      <c r="Q16" s="1572"/>
      <c r="R16" s="1573"/>
      <c r="S16" s="1574"/>
      <c r="T16" s="1573"/>
      <c r="U16" s="1574"/>
      <c r="V16" s="1573"/>
      <c r="W16" s="1574"/>
      <c r="X16" s="1567"/>
      <c r="Y16" s="340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0"/>
      <c r="Q17" s="1572" t="str">
        <f>B17</f>
        <v>交通便捷度</v>
      </c>
      <c r="R17" s="1573" t="s">
        <v>8</v>
      </c>
      <c r="S17" s="1574">
        <f>F17</f>
        <v>100</v>
      </c>
      <c r="T17" s="1573" t="s">
        <v>8</v>
      </c>
      <c r="U17" s="1574">
        <f>H17</f>
        <v>100</v>
      </c>
      <c r="V17" s="1573" t="s">
        <v>8</v>
      </c>
      <c r="W17" s="1574">
        <f>J17</f>
        <v>100</v>
      </c>
      <c r="X17" s="1567"/>
      <c r="Y17" s="340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00"/>
      <c r="Q18" s="1572"/>
      <c r="R18" s="1573"/>
      <c r="S18" s="1574"/>
      <c r="T18" s="1573"/>
      <c r="U18" s="1574"/>
      <c r="V18" s="1573"/>
      <c r="W18" s="1574"/>
      <c r="X18" s="1567"/>
      <c r="Y18" s="3400"/>
      <c r="Z18" s="1575"/>
      <c r="AA18" s="1576">
        <v>1</v>
      </c>
      <c r="AB18" s="1576">
        <v>1</v>
      </c>
      <c r="AC18" s="1576">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0"/>
      <c r="Q19" s="1572" t="str">
        <f>B19</f>
        <v>公共配套设施</v>
      </c>
      <c r="R19" s="1573" t="s">
        <v>8</v>
      </c>
      <c r="S19" s="1574">
        <f>F19</f>
        <v>100</v>
      </c>
      <c r="T19" s="1573" t="s">
        <v>8</v>
      </c>
      <c r="U19" s="1574">
        <f>H19</f>
        <v>100</v>
      </c>
      <c r="V19" s="1573" t="s">
        <v>8</v>
      </c>
      <c r="W19" s="1574">
        <f>J19</f>
        <v>100</v>
      </c>
      <c r="X19" s="1567"/>
      <c r="Y19" s="340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00"/>
      <c r="Q20" s="1572"/>
      <c r="R20" s="1573"/>
      <c r="S20" s="1574"/>
      <c r="T20" s="1573"/>
      <c r="U20" s="1574"/>
      <c r="V20" s="1573"/>
      <c r="W20" s="1574"/>
      <c r="X20" s="1567"/>
      <c r="Y20" s="3400"/>
      <c r="Z20" s="1575"/>
      <c r="AA20" s="1576">
        <v>1</v>
      </c>
      <c r="AB20" s="1576">
        <v>1</v>
      </c>
      <c r="AC20" s="1576">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0"/>
      <c r="Q21" s="2580" t="str">
        <f>B21</f>
        <v>基础设施水平</v>
      </c>
      <c r="R21" s="1573" t="s">
        <v>8</v>
      </c>
      <c r="S21" s="1574">
        <f>F21</f>
        <v>100</v>
      </c>
      <c r="T21" s="1573" t="s">
        <v>8</v>
      </c>
      <c r="U21" s="1574">
        <f>H21</f>
        <v>100</v>
      </c>
      <c r="V21" s="1573" t="s">
        <v>8</v>
      </c>
      <c r="W21" s="1574">
        <f>J21</f>
        <v>100</v>
      </c>
      <c r="X21" s="2582"/>
      <c r="Y21" s="3400"/>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00"/>
      <c r="Q22" s="2580"/>
      <c r="R22" s="1573"/>
      <c r="S22" s="1574"/>
      <c r="T22" s="1573"/>
      <c r="U22" s="1574"/>
      <c r="V22" s="1573"/>
      <c r="W22" s="1574"/>
      <c r="X22" s="2582"/>
      <c r="Y22" s="3400"/>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0"/>
      <c r="Q23" s="1572" t="str">
        <f>B23</f>
        <v>环境质量</v>
      </c>
      <c r="R23" s="1573" t="s">
        <v>8</v>
      </c>
      <c r="S23" s="1574">
        <f>F23</f>
        <v>100</v>
      </c>
      <c r="T23" s="1573" t="s">
        <v>8</v>
      </c>
      <c r="U23" s="1574">
        <f>H23</f>
        <v>100</v>
      </c>
      <c r="V23" s="1573" t="s">
        <v>8</v>
      </c>
      <c r="W23" s="1574">
        <f>J23</f>
        <v>100</v>
      </c>
      <c r="X23" s="1567"/>
      <c r="Y23" s="340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00"/>
      <c r="Q24" s="1572"/>
      <c r="R24" s="1573"/>
      <c r="S24" s="1574"/>
      <c r="T24" s="1573"/>
      <c r="U24" s="1574"/>
      <c r="V24" s="1573"/>
      <c r="W24" s="1574"/>
      <c r="X24" s="1567"/>
      <c r="Y24" s="340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0"/>
      <c r="Q25" s="1572">
        <f>B25</f>
        <v>111</v>
      </c>
      <c r="R25" s="1573" t="s">
        <v>8</v>
      </c>
      <c r="S25" s="1574">
        <f>F25</f>
        <v>100</v>
      </c>
      <c r="T25" s="1573" t="s">
        <v>8</v>
      </c>
      <c r="U25" s="1574">
        <f>H25</f>
        <v>100</v>
      </c>
      <c r="V25" s="1573" t="s">
        <v>8</v>
      </c>
      <c r="W25" s="1574">
        <f>J25</f>
        <v>100</v>
      </c>
      <c r="X25" s="1567"/>
      <c r="Y25" s="340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0"/>
      <c r="Q26" s="1572">
        <f t="shared" ref="Q26:Q40" si="11">B26</f>
        <v>111</v>
      </c>
      <c r="R26" s="1573" t="s">
        <v>8</v>
      </c>
      <c r="S26" s="1574">
        <f>F26</f>
        <v>100</v>
      </c>
      <c r="T26" s="1573" t="s">
        <v>8</v>
      </c>
      <c r="U26" s="1574">
        <f>H26</f>
        <v>100</v>
      </c>
      <c r="V26" s="1573" t="s">
        <v>8</v>
      </c>
      <c r="W26" s="1574">
        <f>J26</f>
        <v>100</v>
      </c>
      <c r="X26" s="1567"/>
      <c r="Y26" s="340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0"/>
      <c r="Q27" s="1151">
        <f t="shared" si="11"/>
        <v>111</v>
      </c>
      <c r="R27" s="1568" t="s">
        <v>8</v>
      </c>
      <c r="S27" s="1569">
        <f>F27</f>
        <v>100</v>
      </c>
      <c r="T27" s="1568" t="s">
        <v>8</v>
      </c>
      <c r="U27" s="1569">
        <f>H27</f>
        <v>100</v>
      </c>
      <c r="V27" s="1568" t="s">
        <v>8</v>
      </c>
      <c r="W27" s="1569">
        <f>J27</f>
        <v>100</v>
      </c>
      <c r="X27" s="1570"/>
      <c r="Y27" s="340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0"/>
      <c r="Q28" s="1572">
        <f t="shared" si="11"/>
        <v>111</v>
      </c>
      <c r="R28" s="1573" t="s">
        <v>8</v>
      </c>
      <c r="S28" s="1574">
        <f t="shared" ref="S28:S40" si="12">F28</f>
        <v>100</v>
      </c>
      <c r="T28" s="1573" t="s">
        <v>8</v>
      </c>
      <c r="U28" s="1574">
        <f t="shared" ref="U28:U40" si="13">H28</f>
        <v>100</v>
      </c>
      <c r="V28" s="1573" t="s">
        <v>8</v>
      </c>
      <c r="W28" s="1574">
        <f t="shared" ref="W28:W40" si="14">J28</f>
        <v>100</v>
      </c>
      <c r="X28" s="1567"/>
      <c r="Y28" s="3400"/>
      <c r="Z28" s="1575">
        <f t="shared" ref="Z28:Z40" si="15">Q28</f>
        <v>111</v>
      </c>
      <c r="AA28" s="1576">
        <f t="shared" si="3"/>
        <v>1</v>
      </c>
      <c r="AB28" s="1576">
        <f t="shared" si="4"/>
        <v>1</v>
      </c>
      <c r="AC28" s="1576">
        <f t="shared" si="5"/>
        <v>1</v>
      </c>
    </row>
    <row r="29" spans="1:29" ht="15">
      <c r="A29" s="2908"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1" t="s">
        <v>550</v>
      </c>
      <c r="Q29" s="1572" t="str">
        <f t="shared" si="11"/>
        <v>建筑类型</v>
      </c>
      <c r="R29" s="1573" t="s">
        <v>8</v>
      </c>
      <c r="S29" s="1574">
        <f t="shared" si="12"/>
        <v>100</v>
      </c>
      <c r="T29" s="1573" t="s">
        <v>8</v>
      </c>
      <c r="U29" s="1574">
        <f t="shared" si="13"/>
        <v>100</v>
      </c>
      <c r="V29" s="1573" t="s">
        <v>8</v>
      </c>
      <c r="W29" s="1574">
        <f t="shared" si="14"/>
        <v>100</v>
      </c>
      <c r="X29" s="1567"/>
      <c r="Y29" s="3402"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2"/>
      <c r="Q30" s="1605" t="str">
        <f t="shared" si="11"/>
        <v>项目建筑规模</v>
      </c>
      <c r="R30" s="1577" t="s">
        <v>8</v>
      </c>
      <c r="S30" s="1578" t="e">
        <f t="shared" si="12"/>
        <v>#N/A</v>
      </c>
      <c r="T30" s="1577" t="s">
        <v>8</v>
      </c>
      <c r="U30" s="1578" t="e">
        <f t="shared" si="13"/>
        <v>#N/A</v>
      </c>
      <c r="V30" s="1577" t="s">
        <v>8</v>
      </c>
      <c r="W30" s="1578" t="e">
        <f t="shared" si="14"/>
        <v>#N/A</v>
      </c>
      <c r="X30" s="1579"/>
      <c r="Y30" s="340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2"/>
      <c r="Q31" s="1572" t="str">
        <f t="shared" si="11"/>
        <v>建筑结构</v>
      </c>
      <c r="R31" s="1573" t="s">
        <v>8</v>
      </c>
      <c r="S31" s="1574">
        <f t="shared" si="12"/>
        <v>100</v>
      </c>
      <c r="T31" s="1573" t="s">
        <v>8</v>
      </c>
      <c r="U31" s="1574">
        <f t="shared" si="13"/>
        <v>100</v>
      </c>
      <c r="V31" s="1573" t="s">
        <v>8</v>
      </c>
      <c r="W31" s="1574">
        <f t="shared" si="14"/>
        <v>100</v>
      </c>
      <c r="X31" s="1567"/>
      <c r="Y31" s="340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2"/>
      <c r="Q32" s="1572" t="str">
        <f t="shared" si="11"/>
        <v>公共部分装修</v>
      </c>
      <c r="R32" s="1573" t="s">
        <v>8</v>
      </c>
      <c r="S32" s="1574">
        <f t="shared" si="12"/>
        <v>100</v>
      </c>
      <c r="T32" s="1573" t="s">
        <v>8</v>
      </c>
      <c r="U32" s="1574">
        <f t="shared" si="13"/>
        <v>100</v>
      </c>
      <c r="V32" s="1573" t="s">
        <v>8</v>
      </c>
      <c r="W32" s="1574">
        <f t="shared" si="14"/>
        <v>100</v>
      </c>
      <c r="X32" s="1567"/>
      <c r="Y32" s="3402"/>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2"/>
      <c r="Q33" s="1572" t="str">
        <f t="shared" si="11"/>
        <v>成新度</v>
      </c>
      <c r="R33" s="1573" t="s">
        <v>8</v>
      </c>
      <c r="S33" s="1574" t="e">
        <f t="shared" si="12"/>
        <v>#N/A</v>
      </c>
      <c r="T33" s="1573" t="s">
        <v>8</v>
      </c>
      <c r="U33" s="1574" t="e">
        <f t="shared" si="13"/>
        <v>#N/A</v>
      </c>
      <c r="V33" s="1573" t="s">
        <v>8</v>
      </c>
      <c r="W33" s="1574" t="e">
        <f t="shared" si="14"/>
        <v>#N/A</v>
      </c>
      <c r="X33" s="1567"/>
      <c r="Y33" s="3402"/>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2"/>
      <c r="Q34" s="1151" t="str">
        <f t="shared" si="11"/>
        <v>物业管理</v>
      </c>
      <c r="R34" s="1568" t="s">
        <v>8</v>
      </c>
      <c r="S34" s="1569">
        <f t="shared" si="12"/>
        <v>100</v>
      </c>
      <c r="T34" s="1568" t="s">
        <v>8</v>
      </c>
      <c r="U34" s="1569">
        <f t="shared" si="13"/>
        <v>100</v>
      </c>
      <c r="V34" s="1568" t="s">
        <v>8</v>
      </c>
      <c r="W34" s="1569">
        <f t="shared" si="14"/>
        <v>100</v>
      </c>
      <c r="X34" s="1570"/>
      <c r="Y34" s="3402"/>
      <c r="Z34" s="1150"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2" t="s">
        <v>550</v>
      </c>
      <c r="Q35" s="1572" t="str">
        <f t="shared" si="11"/>
        <v>市政基础设施</v>
      </c>
      <c r="R35" s="1573" t="s">
        <v>8</v>
      </c>
      <c r="S35" s="1574">
        <f t="shared" si="12"/>
        <v>100</v>
      </c>
      <c r="T35" s="1573" t="s">
        <v>8</v>
      </c>
      <c r="U35" s="1574">
        <f t="shared" si="13"/>
        <v>100</v>
      </c>
      <c r="V35" s="1573" t="s">
        <v>8</v>
      </c>
      <c r="W35" s="1574">
        <f t="shared" si="14"/>
        <v>100</v>
      </c>
      <c r="X35" s="1567"/>
      <c r="Y35" s="340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2"/>
      <c r="Q36" s="1572" t="str">
        <f t="shared" si="11"/>
        <v>内部装修</v>
      </c>
      <c r="R36" s="1573" t="s">
        <v>8</v>
      </c>
      <c r="S36" s="1574">
        <f t="shared" si="12"/>
        <v>100</v>
      </c>
      <c r="T36" s="1573" t="s">
        <v>8</v>
      </c>
      <c r="U36" s="1574">
        <f t="shared" si="13"/>
        <v>100</v>
      </c>
      <c r="V36" s="1573" t="s">
        <v>8</v>
      </c>
      <c r="W36" s="1574">
        <f t="shared" si="14"/>
        <v>100</v>
      </c>
      <c r="X36" s="1567"/>
      <c r="Y36" s="340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2"/>
      <c r="Q37" s="1572" t="str">
        <f t="shared" si="11"/>
        <v>内部装修状况</v>
      </c>
      <c r="R37" s="1573" t="s">
        <v>8</v>
      </c>
      <c r="S37" s="1574">
        <f t="shared" si="12"/>
        <v>100</v>
      </c>
      <c r="T37" s="1573" t="s">
        <v>8</v>
      </c>
      <c r="U37" s="1574">
        <f t="shared" si="13"/>
        <v>100</v>
      </c>
      <c r="V37" s="1573" t="s">
        <v>8</v>
      </c>
      <c r="W37" s="1574">
        <f t="shared" si="14"/>
        <v>100</v>
      </c>
      <c r="X37" s="1567"/>
      <c r="Y37" s="340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2"/>
      <c r="Q38" s="1605">
        <f t="shared" si="11"/>
        <v>111</v>
      </c>
      <c r="R38" s="1577" t="s">
        <v>8</v>
      </c>
      <c r="S38" s="1578">
        <f t="shared" si="12"/>
        <v>100</v>
      </c>
      <c r="T38" s="1577" t="s">
        <v>8</v>
      </c>
      <c r="U38" s="1578">
        <f t="shared" si="13"/>
        <v>100</v>
      </c>
      <c r="V38" s="1577" t="s">
        <v>8</v>
      </c>
      <c r="W38" s="1578">
        <f t="shared" si="14"/>
        <v>100</v>
      </c>
      <c r="X38" s="1579"/>
      <c r="Y38" s="340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2"/>
      <c r="Q39" s="1572">
        <f t="shared" si="11"/>
        <v>111</v>
      </c>
      <c r="R39" s="1573" t="s">
        <v>8</v>
      </c>
      <c r="S39" s="1574">
        <f t="shared" si="12"/>
        <v>100</v>
      </c>
      <c r="T39" s="1573" t="s">
        <v>8</v>
      </c>
      <c r="U39" s="1574">
        <f t="shared" si="13"/>
        <v>100</v>
      </c>
      <c r="V39" s="1573" t="s">
        <v>8</v>
      </c>
      <c r="W39" s="1574">
        <f t="shared" si="14"/>
        <v>100</v>
      </c>
      <c r="X39" s="1567"/>
      <c r="Y39" s="340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0"/>
      <c r="Q40" s="1572">
        <f t="shared" si="11"/>
        <v>111</v>
      </c>
      <c r="R40" s="1573" t="s">
        <v>8</v>
      </c>
      <c r="S40" s="1574">
        <f t="shared" si="12"/>
        <v>100</v>
      </c>
      <c r="T40" s="1573" t="s">
        <v>8</v>
      </c>
      <c r="U40" s="1574">
        <f t="shared" si="13"/>
        <v>100</v>
      </c>
      <c r="V40" s="1573" t="s">
        <v>8</v>
      </c>
      <c r="W40" s="1574">
        <f t="shared" si="14"/>
        <v>100</v>
      </c>
      <c r="X40" s="1567"/>
      <c r="Y40" s="3500"/>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397" t="str">
        <f>A41</f>
        <v>成交单价（元/平方米）</v>
      </c>
      <c r="Q41" s="3397"/>
      <c r="R41" s="3499">
        <f>E41</f>
        <v>0</v>
      </c>
      <c r="S41" s="3499"/>
      <c r="T41" s="3499">
        <f>G41</f>
        <v>0</v>
      </c>
      <c r="U41" s="3499"/>
      <c r="V41" s="3499">
        <f>I41</f>
        <v>0</v>
      </c>
      <c r="W41" s="3499"/>
      <c r="X41" s="1559"/>
      <c r="Y41" s="1581"/>
      <c r="Z41" s="1559"/>
      <c r="AA41" s="1559"/>
      <c r="AB41" s="1559"/>
      <c r="AC41" s="1559"/>
    </row>
    <row r="42" spans="1:29" ht="15.75" thickBot="1">
      <c r="A42" s="615" t="s">
        <v>2762</v>
      </c>
      <c r="B42" s="888"/>
      <c r="C42" s="2634" t="e">
        <f>R43</f>
        <v>#DIV/0!</v>
      </c>
      <c r="D42" s="2635"/>
      <c r="E42" s="2636" t="e">
        <f>R42</f>
        <v>#DIV/0!</v>
      </c>
      <c r="F42" s="2636"/>
      <c r="G42" s="2634" t="e">
        <f>T42</f>
        <v>#DIV/0!</v>
      </c>
      <c r="H42" s="2635"/>
      <c r="I42" s="2636" t="e">
        <f>V42</f>
        <v>#DIV/0!</v>
      </c>
      <c r="J42" s="2635"/>
      <c r="K42" s="1612"/>
      <c r="L42" s="2145"/>
      <c r="M42" s="2146"/>
      <c r="N42" s="2135"/>
      <c r="O42" s="2146"/>
      <c r="P42" s="3397" t="str">
        <f>A42</f>
        <v>比较价格（元/平方米）</v>
      </c>
      <c r="Q42" s="3397"/>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59"/>
      <c r="Y42" s="1559"/>
      <c r="Z42" s="1559"/>
      <c r="AA42" s="1559"/>
      <c r="AB42" s="1559"/>
      <c r="AC42" s="1559"/>
    </row>
    <row r="43" spans="1:29" ht="15.75" thickBot="1">
      <c r="A43" s="621" t="s">
        <v>2937</v>
      </c>
      <c r="B43" s="622"/>
      <c r="C43" s="2637" t="e">
        <f>R43</f>
        <v>#DIV/0!</v>
      </c>
      <c r="D43" s="2637"/>
      <c r="E43" s="2637"/>
      <c r="F43" s="2637"/>
      <c r="G43" s="2637"/>
      <c r="H43" s="2637"/>
      <c r="I43" s="2637"/>
      <c r="J43" s="2637"/>
      <c r="K43" s="1613"/>
      <c r="L43" s="2145"/>
      <c r="M43" s="2146"/>
      <c r="N43" s="2146"/>
      <c r="O43" s="2146"/>
      <c r="P43" s="3418" t="str">
        <f>A43</f>
        <v>估价对象XX用房的比较价格（楼面单价，元/平方米）</v>
      </c>
      <c r="Q43" s="3419"/>
      <c r="R43" s="3498" t="e">
        <f>IF(F1="售价",ROUND(AVERAGE(R42:V42),0),ROUND(AVERAGE(R42:V42),1))</f>
        <v>#DIV/0!</v>
      </c>
      <c r="S43" s="3498"/>
      <c r="T43" s="3498"/>
      <c r="U43" s="3498"/>
      <c r="V43" s="3498"/>
      <c r="W43" s="3498"/>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9" zoomScale="80" zoomScaleNormal="80" workbookViewId="0">
      <selection activeCell="F96" sqref="F9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2997</v>
      </c>
      <c r="E1" s="2627"/>
      <c r="F1" s="2808" t="s">
        <v>3123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62367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14964</v>
      </c>
      <c r="C3" s="852" t="s">
        <v>722</v>
      </c>
      <c r="D3" s="851">
        <f>SUMIF('数据-汇总表'!$C19:$C33,D1,'数据-汇总表'!$E19:$E33)</f>
        <v>41678.300000000003</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3" t="s">
        <v>522</v>
      </c>
      <c r="D4" s="3404"/>
      <c r="E4" s="3427" t="s">
        <v>523</v>
      </c>
      <c r="F4" s="3428"/>
      <c r="G4" s="3403" t="s">
        <v>524</v>
      </c>
      <c r="H4" s="3404"/>
      <c r="I4" s="3403" t="s">
        <v>525</v>
      </c>
      <c r="J4" s="3404"/>
      <c r="K4" s="853" t="s">
        <v>526</v>
      </c>
      <c r="L4" s="2134"/>
      <c r="M4" s="2135"/>
      <c r="N4" s="2135"/>
      <c r="O4" s="2135"/>
      <c r="P4" s="3405" t="s">
        <v>527</v>
      </c>
      <c r="Q4" s="3406"/>
      <c r="R4" s="3391" t="s">
        <v>523</v>
      </c>
      <c r="S4" s="3392"/>
      <c r="T4" s="3391" t="s">
        <v>524</v>
      </c>
      <c r="U4" s="3392"/>
      <c r="V4" s="3411" t="s">
        <v>525</v>
      </c>
      <c r="W4" s="3411"/>
      <c r="X4" s="3180"/>
      <c r="Y4" s="3391" t="s">
        <v>527</v>
      </c>
      <c r="Z4" s="3392"/>
      <c r="AA4" s="3386" t="s">
        <v>523</v>
      </c>
      <c r="AB4" s="3386" t="s">
        <v>524</v>
      </c>
      <c r="AC4" s="3386" t="s">
        <v>525</v>
      </c>
    </row>
    <row r="5" spans="1:29" ht="15">
      <c r="A5" s="515"/>
      <c r="B5" s="516"/>
      <c r="C5" s="3414" t="s">
        <v>2931</v>
      </c>
      <c r="D5" s="3415"/>
      <c r="E5" s="3505" t="s">
        <v>3130</v>
      </c>
      <c r="F5" s="3506"/>
      <c r="G5" s="3495" t="s">
        <v>3131</v>
      </c>
      <c r="H5" s="3496"/>
      <c r="I5" s="3497" t="s">
        <v>3143</v>
      </c>
      <c r="J5" s="3415"/>
      <c r="K5" s="854"/>
      <c r="L5" s="2134"/>
      <c r="M5" s="2135"/>
      <c r="N5" s="2135"/>
      <c r="O5" s="2135"/>
      <c r="P5" s="3407"/>
      <c r="Q5" s="3408"/>
      <c r="R5" s="3393"/>
      <c r="S5" s="3394"/>
      <c r="T5" s="3393"/>
      <c r="U5" s="3394"/>
      <c r="V5" s="3411"/>
      <c r="W5" s="3411"/>
      <c r="X5" s="3180"/>
      <c r="Y5" s="3393"/>
      <c r="Z5" s="3394"/>
      <c r="AA5" s="3387"/>
      <c r="AB5" s="3387"/>
      <c r="AC5" s="3387"/>
    </row>
    <row r="6" spans="1:29" ht="15.75" thickBot="1">
      <c r="A6" s="517"/>
      <c r="B6" s="518"/>
      <c r="C6" s="3412" t="s">
        <v>2935</v>
      </c>
      <c r="D6" s="3413"/>
      <c r="E6" s="3431" t="s">
        <v>2935</v>
      </c>
      <c r="F6" s="3432"/>
      <c r="G6" s="3412" t="s">
        <v>2935</v>
      </c>
      <c r="H6" s="3413"/>
      <c r="I6" s="3412" t="s">
        <v>2935</v>
      </c>
      <c r="J6" s="3413"/>
      <c r="K6" s="854" t="s">
        <v>528</v>
      </c>
      <c r="L6" s="2134"/>
      <c r="M6" s="2135"/>
      <c r="N6" s="2135"/>
      <c r="O6" s="2135"/>
      <c r="P6" s="3409"/>
      <c r="Q6" s="3410"/>
      <c r="R6" s="3393"/>
      <c r="S6" s="3394"/>
      <c r="T6" s="3395"/>
      <c r="U6" s="3396"/>
      <c r="V6" s="3411"/>
      <c r="W6" s="3411"/>
      <c r="X6" s="3180"/>
      <c r="Y6" s="3395"/>
      <c r="Z6" s="3396"/>
      <c r="AA6" s="3388"/>
      <c r="AB6" s="3388"/>
      <c r="AC6" s="3388"/>
    </row>
    <row r="7" spans="1:29" s="1220" customFormat="1" ht="15.75" thickBot="1">
      <c r="A7" s="2912"/>
      <c r="B7" s="2919" t="s">
        <v>529</v>
      </c>
      <c r="C7" s="519">
        <f>'数据-取费表'!B2</f>
        <v>43402</v>
      </c>
      <c r="D7" s="520">
        <v>100</v>
      </c>
      <c r="E7" s="521">
        <v>43344</v>
      </c>
      <c r="F7" s="522">
        <f>SUMIF(58:58,YEAR(E7)&amp;"-"&amp;MONTH(E7),59:59)</f>
        <v>99</v>
      </c>
      <c r="G7" s="523">
        <v>43344</v>
      </c>
      <c r="H7" s="520">
        <f>SUMIF(58:58,YEAR(G7)&amp;"-"&amp;MONTH(G7),59:59)</f>
        <v>99</v>
      </c>
      <c r="I7" s="523">
        <v>43344</v>
      </c>
      <c r="J7" s="520">
        <f>SUMIF(58:58,YEAR(I7)&amp;"-"&amp;MONTH(I7),59:59)</f>
        <v>99</v>
      </c>
      <c r="K7" s="855"/>
      <c r="L7" s="2136"/>
      <c r="M7" s="2137"/>
      <c r="N7" s="2137"/>
      <c r="O7" s="2137"/>
      <c r="P7" s="3389" t="s">
        <v>530</v>
      </c>
      <c r="Q7" s="3398"/>
      <c r="R7" s="1568" t="s">
        <v>13</v>
      </c>
      <c r="S7" s="1569">
        <f t="shared" ref="S7:S15" si="0">F7</f>
        <v>99</v>
      </c>
      <c r="T7" s="1568" t="s">
        <v>13</v>
      </c>
      <c r="U7" s="1569">
        <f t="shared" ref="U7:U15" si="1">H7</f>
        <v>99</v>
      </c>
      <c r="V7" s="1568" t="s">
        <v>13</v>
      </c>
      <c r="W7" s="1569">
        <f t="shared" ref="W7:W15" si="2">J7</f>
        <v>99</v>
      </c>
      <c r="X7" s="1570"/>
      <c r="Y7" s="3389" t="s">
        <v>530</v>
      </c>
      <c r="Z7" s="3390"/>
      <c r="AA7" s="1571">
        <f>D7/F7</f>
        <v>1.0101010101010102</v>
      </c>
      <c r="AB7" s="1571">
        <f>D7/H7</f>
        <v>1.0101010101010102</v>
      </c>
      <c r="AC7" s="1571">
        <f>D7/J7</f>
        <v>1.0101010101010102</v>
      </c>
    </row>
    <row r="8" spans="1:29" s="1220" customFormat="1" ht="15.75" thickBot="1">
      <c r="A8" s="2913"/>
      <c r="B8" s="2920" t="s">
        <v>531</v>
      </c>
      <c r="C8" s="525" t="s">
        <v>576</v>
      </c>
      <c r="D8" s="520">
        <v>100</v>
      </c>
      <c r="E8" s="3196" t="s">
        <v>3124</v>
      </c>
      <c r="F8" s="522">
        <f>SUMIF(61:61,E8,62:62)-SUMIF(61:61,C8,62:62)+100</f>
        <v>100</v>
      </c>
      <c r="G8" s="3189" t="s">
        <v>3124</v>
      </c>
      <c r="H8" s="520">
        <f>SUMIF(61:61,G8,62:62)-SUMIF(61:61,C8,62:62)+100</f>
        <v>100</v>
      </c>
      <c r="I8" s="3196" t="s">
        <v>3124</v>
      </c>
      <c r="J8" s="520">
        <f>SUMIF(61:61,I8,62:62)-SUMIF(61:61,C8,62:62)+100</f>
        <v>100</v>
      </c>
      <c r="K8" s="855"/>
      <c r="L8" s="2136"/>
      <c r="M8" s="2137"/>
      <c r="N8" s="2137"/>
      <c r="O8" s="2137"/>
      <c r="P8" s="3389" t="s">
        <v>533</v>
      </c>
      <c r="Q8" s="3390"/>
      <c r="R8" s="1568" t="s">
        <v>13</v>
      </c>
      <c r="S8" s="1569">
        <f t="shared" si="0"/>
        <v>100</v>
      </c>
      <c r="T8" s="1568" t="s">
        <v>13</v>
      </c>
      <c r="U8" s="1569">
        <f t="shared" si="1"/>
        <v>100</v>
      </c>
      <c r="V8" s="1568" t="s">
        <v>13</v>
      </c>
      <c r="W8" s="1569">
        <f t="shared" si="2"/>
        <v>100</v>
      </c>
      <c r="X8" s="1570"/>
      <c r="Y8" s="3389" t="s">
        <v>533</v>
      </c>
      <c r="Z8" s="3390"/>
      <c r="AA8" s="1571">
        <f t="shared" ref="AA8:AA46" si="3">D8/F8</f>
        <v>1</v>
      </c>
      <c r="AB8" s="1571">
        <f t="shared" ref="AB8:AB46" si="4">D8/H8</f>
        <v>1</v>
      </c>
      <c r="AC8" s="1571">
        <f t="shared" ref="AC8:AC46" si="5">D8/J8</f>
        <v>1</v>
      </c>
    </row>
    <row r="9" spans="1:29" s="1220" customFormat="1" ht="15">
      <c r="A9" s="2914"/>
      <c r="B9" s="2921" t="s">
        <v>2758</v>
      </c>
      <c r="C9" s="3197" t="s">
        <v>3125</v>
      </c>
      <c r="D9" s="254">
        <v>100</v>
      </c>
      <c r="E9" s="3198" t="s">
        <v>3125</v>
      </c>
      <c r="F9" s="859">
        <f>SUMIF(63:63,E9,64:64)-SUMIF(63:63,C9,64:64)+100</f>
        <v>100</v>
      </c>
      <c r="G9" s="3199" t="s">
        <v>3125</v>
      </c>
      <c r="H9" s="254">
        <f>SUMIF(63:63,G9,64:64)-SUMIF(63:63,C9,64:64)+100</f>
        <v>100</v>
      </c>
      <c r="I9" s="3199" t="s">
        <v>3125</v>
      </c>
      <c r="J9" s="254">
        <f>SUMIF(63:63,I9,64:64)-SUMIF(63:63,C9,64:64)+100</f>
        <v>100</v>
      </c>
      <c r="K9" s="855"/>
      <c r="L9" s="2136"/>
      <c r="M9" s="2137"/>
      <c r="N9" s="2137"/>
      <c r="O9" s="2138"/>
      <c r="P9" s="3397" t="s">
        <v>535</v>
      </c>
      <c r="Q9" s="3179" t="str">
        <f t="shared" ref="Q9:Q15" si="6">B9</f>
        <v>用途</v>
      </c>
      <c r="R9" s="1568" t="s">
        <v>8</v>
      </c>
      <c r="S9" s="1569">
        <f t="shared" si="0"/>
        <v>100</v>
      </c>
      <c r="T9" s="1568" t="s">
        <v>8</v>
      </c>
      <c r="U9" s="1569">
        <f t="shared" si="1"/>
        <v>100</v>
      </c>
      <c r="V9" s="1568" t="s">
        <v>8</v>
      </c>
      <c r="W9" s="1569">
        <f t="shared" si="2"/>
        <v>100</v>
      </c>
      <c r="X9" s="1570"/>
      <c r="Y9" s="3354" t="s">
        <v>536</v>
      </c>
      <c r="Z9" s="3178" t="str">
        <f t="shared" ref="Z9:Z15" si="7">Q9</f>
        <v>用途</v>
      </c>
      <c r="AA9" s="1571">
        <f t="shared" si="3"/>
        <v>1</v>
      </c>
      <c r="AB9" s="1571">
        <f t="shared" si="4"/>
        <v>1</v>
      </c>
      <c r="AC9" s="1571">
        <f t="shared" si="5"/>
        <v>1</v>
      </c>
    </row>
    <row r="10" spans="1:29" s="1338" customFormat="1" ht="27">
      <c r="A10" s="2915"/>
      <c r="B10" s="2920" t="s">
        <v>2759</v>
      </c>
      <c r="C10" s="861" t="s">
        <v>3126</v>
      </c>
      <c r="D10" s="255">
        <v>100</v>
      </c>
      <c r="E10" s="862" t="s">
        <v>3126</v>
      </c>
      <c r="F10" s="863">
        <f>SUMIF(65:65,E10,66:66)-SUMIF(65:65,C10,66:66)+100</f>
        <v>100</v>
      </c>
      <c r="G10" s="861" t="s">
        <v>3126</v>
      </c>
      <c r="H10" s="255">
        <f>SUMIF(65:65,G10,66:66)-SUMIF(65:65,C10,66:66)+100</f>
        <v>100</v>
      </c>
      <c r="I10" s="861" t="s">
        <v>3126</v>
      </c>
      <c r="J10" s="255">
        <f>SUMIF(65:65,I10,66:66)-SUMIF(65:65,C10,66:66)+100</f>
        <v>100</v>
      </c>
      <c r="K10" s="864"/>
      <c r="L10" s="2139"/>
      <c r="M10" s="2179"/>
      <c r="N10" s="2179"/>
      <c r="O10" s="2140"/>
      <c r="P10" s="3397"/>
      <c r="Q10" s="3179" t="str">
        <f t="shared" si="6"/>
        <v>土地使用年限（年）</v>
      </c>
      <c r="R10" s="1568" t="s">
        <v>8</v>
      </c>
      <c r="S10" s="1569">
        <f t="shared" si="0"/>
        <v>100</v>
      </c>
      <c r="T10" s="1568" t="s">
        <v>8</v>
      </c>
      <c r="U10" s="1569">
        <f t="shared" si="1"/>
        <v>100</v>
      </c>
      <c r="V10" s="1568" t="s">
        <v>8</v>
      </c>
      <c r="W10" s="1569">
        <f t="shared" si="2"/>
        <v>100</v>
      </c>
      <c r="X10" s="1570"/>
      <c r="Y10" s="3354"/>
      <c r="Z10" s="3178" t="str">
        <f t="shared" si="7"/>
        <v>土地使用年限（年）</v>
      </c>
      <c r="AA10" s="1571">
        <f t="shared" si="3"/>
        <v>1</v>
      </c>
      <c r="AB10" s="1571">
        <f t="shared" si="4"/>
        <v>1</v>
      </c>
      <c r="AC10" s="1571">
        <f t="shared" si="5"/>
        <v>1</v>
      </c>
    </row>
    <row r="11" spans="1:29" ht="15">
      <c r="A11" s="2916"/>
      <c r="B11" s="2920" t="s">
        <v>2760</v>
      </c>
      <c r="C11" s="533">
        <f>'数据-汇总表'!I6</f>
        <v>1.49</v>
      </c>
      <c r="D11" s="255">
        <v>100</v>
      </c>
      <c r="E11" s="534">
        <v>1.2</v>
      </c>
      <c r="F11" s="863">
        <f>LOOKUP(E11,68:68,69:69)-LOOKUP(C11,68:68,69:69)+100</f>
        <v>100</v>
      </c>
      <c r="G11" s="533">
        <v>0.99</v>
      </c>
      <c r="H11" s="255">
        <f>LOOKUP(G11,68:68,69:69)-LOOKUP(C11,68:68,69:69)+100</f>
        <v>102</v>
      </c>
      <c r="I11" s="533">
        <v>0.68</v>
      </c>
      <c r="J11" s="255">
        <f>LOOKUP(I11,68:68,69:69)-LOOKUP(C11,68:68,69:69)+100</f>
        <v>102</v>
      </c>
      <c r="K11" s="864">
        <v>2</v>
      </c>
      <c r="L11" s="2141"/>
      <c r="M11" s="2135"/>
      <c r="N11" s="2135"/>
      <c r="O11" s="2142"/>
      <c r="P11" s="3397"/>
      <c r="Q11" s="3179" t="str">
        <f t="shared" si="6"/>
        <v>容积率</v>
      </c>
      <c r="R11" s="1568" t="s">
        <v>11</v>
      </c>
      <c r="S11" s="1569">
        <f t="shared" si="0"/>
        <v>100</v>
      </c>
      <c r="T11" s="1568" t="s">
        <v>11</v>
      </c>
      <c r="U11" s="1569">
        <f t="shared" si="1"/>
        <v>102</v>
      </c>
      <c r="V11" s="1568" t="s">
        <v>11</v>
      </c>
      <c r="W11" s="1569">
        <f t="shared" si="2"/>
        <v>102</v>
      </c>
      <c r="X11" s="1570"/>
      <c r="Y11" s="3354"/>
      <c r="Z11" s="3178" t="str">
        <f t="shared" si="7"/>
        <v>容积率</v>
      </c>
      <c r="AA11" s="1571">
        <f t="shared" si="3"/>
        <v>1</v>
      </c>
      <c r="AB11" s="1571">
        <f t="shared" si="4"/>
        <v>0.98039215686274506</v>
      </c>
      <c r="AC11" s="1571">
        <f t="shared" si="5"/>
        <v>0.98039215686274506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7"/>
      <c r="Q12" s="3179">
        <f t="shared" si="6"/>
        <v>111</v>
      </c>
      <c r="R12" s="1568" t="s">
        <v>11</v>
      </c>
      <c r="S12" s="1569">
        <f t="shared" si="0"/>
        <v>100</v>
      </c>
      <c r="T12" s="1568" t="s">
        <v>11</v>
      </c>
      <c r="U12" s="1569">
        <f t="shared" si="1"/>
        <v>100</v>
      </c>
      <c r="V12" s="1568" t="s">
        <v>11</v>
      </c>
      <c r="W12" s="1569">
        <f t="shared" si="2"/>
        <v>100</v>
      </c>
      <c r="X12" s="1570"/>
      <c r="Y12" s="3354"/>
      <c r="Z12" s="3178">
        <f t="shared" si="7"/>
        <v>111</v>
      </c>
      <c r="AA12" s="1571">
        <f>D12/F12</f>
        <v>1</v>
      </c>
      <c r="AB12" s="1571">
        <f>D12/H12</f>
        <v>1</v>
      </c>
      <c r="AC12" s="1571">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7"/>
      <c r="Q13" s="3179">
        <f t="shared" si="6"/>
        <v>111</v>
      </c>
      <c r="R13" s="1568" t="s">
        <v>11</v>
      </c>
      <c r="S13" s="1569">
        <f t="shared" si="0"/>
        <v>100</v>
      </c>
      <c r="T13" s="1568" t="s">
        <v>11</v>
      </c>
      <c r="U13" s="1569">
        <f t="shared" si="1"/>
        <v>100</v>
      </c>
      <c r="V13" s="1568" t="s">
        <v>11</v>
      </c>
      <c r="W13" s="1569">
        <f t="shared" si="2"/>
        <v>100</v>
      </c>
      <c r="X13" s="1570"/>
      <c r="Y13" s="3354"/>
      <c r="Z13" s="3178">
        <f t="shared" si="7"/>
        <v>111</v>
      </c>
      <c r="AA13" s="1571">
        <f t="shared" si="3"/>
        <v>1</v>
      </c>
      <c r="AB13" s="1571">
        <f t="shared" si="4"/>
        <v>1</v>
      </c>
      <c r="AC13" s="1571">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7"/>
      <c r="Q14" s="3179">
        <f t="shared" si="6"/>
        <v>111</v>
      </c>
      <c r="R14" s="1568" t="s">
        <v>11</v>
      </c>
      <c r="S14" s="1569">
        <f t="shared" si="0"/>
        <v>100</v>
      </c>
      <c r="T14" s="1568" t="s">
        <v>11</v>
      </c>
      <c r="U14" s="1569">
        <f t="shared" si="1"/>
        <v>100</v>
      </c>
      <c r="V14" s="1568" t="s">
        <v>11</v>
      </c>
      <c r="W14" s="1569">
        <f t="shared" si="2"/>
        <v>100</v>
      </c>
      <c r="X14" s="1570"/>
      <c r="Y14" s="3354"/>
      <c r="Z14" s="3178">
        <f t="shared" si="7"/>
        <v>111</v>
      </c>
      <c r="AA14" s="1571">
        <f t="shared" si="3"/>
        <v>1</v>
      </c>
      <c r="AB14" s="1571">
        <f t="shared" si="4"/>
        <v>1</v>
      </c>
      <c r="AC14" s="1571">
        <f t="shared" si="5"/>
        <v>1</v>
      </c>
    </row>
    <row r="15" spans="1:29" ht="128.25">
      <c r="A15" s="2910" t="s">
        <v>2756</v>
      </c>
      <c r="B15" s="166" t="s">
        <v>295</v>
      </c>
      <c r="C15" s="867" t="str">
        <f>估价对象房地状况!C3</f>
        <v>估价对象周边有中惠·团泊湖光耀城、泊湖林奇郡等社区，居住小区规模和社区发展完善程度较好，综合评价居住社区成熟度较好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9" t="s">
        <v>540</v>
      </c>
      <c r="Q15" s="3181" t="str">
        <f t="shared" si="6"/>
        <v>居住社区成熟度</v>
      </c>
      <c r="R15" s="1573" t="s">
        <v>11</v>
      </c>
      <c r="S15" s="1574">
        <f t="shared" si="0"/>
        <v>100</v>
      </c>
      <c r="T15" s="1573" t="s">
        <v>11</v>
      </c>
      <c r="U15" s="1574">
        <f t="shared" si="1"/>
        <v>100</v>
      </c>
      <c r="V15" s="1573" t="s">
        <v>11</v>
      </c>
      <c r="W15" s="1574">
        <f t="shared" si="2"/>
        <v>100</v>
      </c>
      <c r="X15" s="3180"/>
      <c r="Y15" s="3399" t="s">
        <v>540</v>
      </c>
      <c r="Z15" s="3182" t="str">
        <f t="shared" si="7"/>
        <v>居住社区成熟度</v>
      </c>
      <c r="AA15" s="3183">
        <f t="shared" si="3"/>
        <v>1</v>
      </c>
      <c r="AB15" s="3183">
        <f t="shared" si="4"/>
        <v>1</v>
      </c>
      <c r="AC15" s="3183">
        <f t="shared" si="5"/>
        <v>1</v>
      </c>
    </row>
    <row r="16" spans="1:29" ht="15">
      <c r="A16" s="532"/>
      <c r="B16" s="869"/>
      <c r="C16" s="576"/>
      <c r="D16" s="555"/>
      <c r="E16" s="556"/>
      <c r="F16" s="557"/>
      <c r="G16" s="558"/>
      <c r="H16" s="559"/>
      <c r="I16" s="556"/>
      <c r="J16" s="555"/>
      <c r="K16" s="870"/>
      <c r="L16" s="2143"/>
      <c r="M16" s="2135"/>
      <c r="N16" s="2135"/>
      <c r="O16" s="2142"/>
      <c r="P16" s="3400"/>
      <c r="Q16" s="3181"/>
      <c r="R16" s="1573"/>
      <c r="S16" s="1574"/>
      <c r="T16" s="1573"/>
      <c r="U16" s="1574"/>
      <c r="V16" s="1573"/>
      <c r="W16" s="1574"/>
      <c r="X16" s="3180"/>
      <c r="Y16" s="3400"/>
      <c r="Z16" s="3182"/>
      <c r="AA16" s="3183">
        <v>1</v>
      </c>
      <c r="AB16" s="3183">
        <v>1</v>
      </c>
      <c r="AC16" s="3183">
        <v>1</v>
      </c>
    </row>
    <row r="17" spans="1:29" ht="128.25">
      <c r="A17" s="532"/>
      <c r="B17" s="871" t="s">
        <v>296</v>
      </c>
      <c r="C17" s="872" t="str">
        <f>估价对象房地状况!C6</f>
        <v>估价对象临中央大道，有山深线等道路、公共交通通达情况较好，有156路、710路等公交线路、停车便捷程度较好，综合评价交通便捷度较好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0"/>
      <c r="Q17" s="3181" t="str">
        <f>B17</f>
        <v>交通便捷度</v>
      </c>
      <c r="R17" s="1573" t="s">
        <v>11</v>
      </c>
      <c r="S17" s="1574">
        <f>F17</f>
        <v>100</v>
      </c>
      <c r="T17" s="1573" t="s">
        <v>11</v>
      </c>
      <c r="U17" s="1574">
        <f>H17</f>
        <v>100</v>
      </c>
      <c r="V17" s="1573" t="s">
        <v>11</v>
      </c>
      <c r="W17" s="1574">
        <f>J17</f>
        <v>100</v>
      </c>
      <c r="X17" s="3180"/>
      <c r="Y17" s="3400"/>
      <c r="Z17" s="3182" t="str">
        <f>Q17</f>
        <v>交通便捷度</v>
      </c>
      <c r="AA17" s="3183">
        <f t="shared" si="3"/>
        <v>1</v>
      </c>
      <c r="AB17" s="3183">
        <f t="shared" si="4"/>
        <v>1</v>
      </c>
      <c r="AC17" s="3183">
        <f t="shared" si="5"/>
        <v>1</v>
      </c>
    </row>
    <row r="18" spans="1:29" ht="15">
      <c r="A18" s="532"/>
      <c r="B18" s="595"/>
      <c r="C18" s="873"/>
      <c r="D18" s="559"/>
      <c r="E18" s="568"/>
      <c r="F18" s="563"/>
      <c r="G18" s="569"/>
      <c r="H18" s="555"/>
      <c r="I18" s="568"/>
      <c r="J18" s="555"/>
      <c r="K18" s="870"/>
      <c r="L18" s="2143"/>
      <c r="M18" s="2135"/>
      <c r="N18" s="2135"/>
      <c r="O18" s="2142"/>
      <c r="P18" s="3400"/>
      <c r="Q18" s="3181"/>
      <c r="R18" s="1573"/>
      <c r="S18" s="1574"/>
      <c r="T18" s="1573"/>
      <c r="U18" s="1574"/>
      <c r="V18" s="1573"/>
      <c r="W18" s="1574"/>
      <c r="X18" s="3180"/>
      <c r="Y18" s="3400"/>
      <c r="Z18" s="3182"/>
      <c r="AA18" s="3183">
        <v>1</v>
      </c>
      <c r="AB18" s="3183">
        <v>1</v>
      </c>
      <c r="AC18" s="3183">
        <v>1</v>
      </c>
    </row>
    <row r="19" spans="1:29" ht="42.75">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0"/>
      <c r="Q19" s="3181" t="str">
        <f>B19</f>
        <v>公共配套设施</v>
      </c>
      <c r="R19" s="1573" t="s">
        <v>11</v>
      </c>
      <c r="S19" s="1574">
        <f>F19</f>
        <v>100</v>
      </c>
      <c r="T19" s="1573" t="s">
        <v>11</v>
      </c>
      <c r="U19" s="1574">
        <f>H19</f>
        <v>100</v>
      </c>
      <c r="V19" s="1573" t="s">
        <v>11</v>
      </c>
      <c r="W19" s="1574">
        <f>J19</f>
        <v>100</v>
      </c>
      <c r="X19" s="3180"/>
      <c r="Y19" s="3400"/>
      <c r="Z19" s="3182" t="str">
        <f>Q19</f>
        <v>公共配套设施</v>
      </c>
      <c r="AA19" s="3183">
        <f t="shared" si="3"/>
        <v>1</v>
      </c>
      <c r="AB19" s="3183">
        <f t="shared" si="4"/>
        <v>1</v>
      </c>
      <c r="AC19" s="3183">
        <f t="shared" si="5"/>
        <v>1</v>
      </c>
    </row>
    <row r="20" spans="1:29" ht="15">
      <c r="A20" s="532"/>
      <c r="B20" s="595"/>
      <c r="C20" s="576"/>
      <c r="D20" s="555"/>
      <c r="E20" s="556"/>
      <c r="F20" s="557"/>
      <c r="G20" s="558"/>
      <c r="H20" s="555"/>
      <c r="I20" s="556"/>
      <c r="J20" s="555"/>
      <c r="K20" s="870"/>
      <c r="L20" s="2143"/>
      <c r="M20" s="2135"/>
      <c r="N20" s="2135"/>
      <c r="O20" s="2142"/>
      <c r="P20" s="3400"/>
      <c r="Q20" s="3181"/>
      <c r="R20" s="1573"/>
      <c r="S20" s="1574"/>
      <c r="T20" s="1573"/>
      <c r="U20" s="1574"/>
      <c r="V20" s="1573"/>
      <c r="W20" s="1574"/>
      <c r="X20" s="3180"/>
      <c r="Y20" s="3400"/>
      <c r="Z20" s="3182"/>
      <c r="AA20" s="3183">
        <v>1</v>
      </c>
      <c r="AB20" s="3183">
        <v>1</v>
      </c>
      <c r="AC20" s="3183">
        <v>1</v>
      </c>
    </row>
    <row r="21" spans="1:29" ht="28.5">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0"/>
      <c r="Q21" s="3181" t="str">
        <f>B21</f>
        <v>基础设施水平</v>
      </c>
      <c r="R21" s="1573" t="s">
        <v>11</v>
      </c>
      <c r="S21" s="1574">
        <f>F21</f>
        <v>100</v>
      </c>
      <c r="T21" s="1573" t="s">
        <v>11</v>
      </c>
      <c r="U21" s="1574">
        <f>H21</f>
        <v>100</v>
      </c>
      <c r="V21" s="1573" t="s">
        <v>11</v>
      </c>
      <c r="W21" s="1574">
        <f>J21</f>
        <v>100</v>
      </c>
      <c r="X21" s="3180"/>
      <c r="Y21" s="3400"/>
      <c r="Z21" s="3182" t="str">
        <f>Q21</f>
        <v>基础设施水平</v>
      </c>
      <c r="AA21" s="3183">
        <f t="shared" ref="AA21" si="8">D21/F21</f>
        <v>1</v>
      </c>
      <c r="AB21" s="3183">
        <f t="shared" ref="AB21" si="9">D21/H21</f>
        <v>1</v>
      </c>
      <c r="AC21" s="3183">
        <f t="shared" ref="AC21" si="10">D21/J21</f>
        <v>1</v>
      </c>
    </row>
    <row r="22" spans="1:29" ht="15">
      <c r="A22" s="532"/>
      <c r="B22" s="922"/>
      <c r="C22" s="873"/>
      <c r="D22" s="555"/>
      <c r="E22" s="576"/>
      <c r="F22" s="557"/>
      <c r="G22" s="576"/>
      <c r="H22" s="555"/>
      <c r="I22" s="576"/>
      <c r="J22" s="555"/>
      <c r="K22" s="2600"/>
      <c r="L22" s="2143"/>
      <c r="M22" s="2135"/>
      <c r="N22" s="2135"/>
      <c r="O22" s="2142"/>
      <c r="P22" s="3400"/>
      <c r="Q22" s="3181"/>
      <c r="R22" s="1573"/>
      <c r="S22" s="1574"/>
      <c r="T22" s="1573"/>
      <c r="U22" s="1574"/>
      <c r="V22" s="1573"/>
      <c r="W22" s="1574"/>
      <c r="X22" s="3180"/>
      <c r="Y22" s="3400"/>
      <c r="Z22" s="3182"/>
      <c r="AA22" s="3183">
        <v>1</v>
      </c>
      <c r="AB22" s="3183">
        <v>1</v>
      </c>
      <c r="AC22" s="318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0"/>
      <c r="Q23" s="3181" t="str">
        <f>B23</f>
        <v>自然及人文环境</v>
      </c>
      <c r="R23" s="1573" t="s">
        <v>11</v>
      </c>
      <c r="S23" s="1574">
        <f>F23</f>
        <v>100</v>
      </c>
      <c r="T23" s="1573" t="s">
        <v>11</v>
      </c>
      <c r="U23" s="1574">
        <f>H23</f>
        <v>100</v>
      </c>
      <c r="V23" s="1573" t="s">
        <v>11</v>
      </c>
      <c r="W23" s="1574">
        <f>J23</f>
        <v>100</v>
      </c>
      <c r="X23" s="3180"/>
      <c r="Y23" s="3400"/>
      <c r="Z23" s="3182" t="str">
        <f>Q23</f>
        <v>自然及人文环境</v>
      </c>
      <c r="AA23" s="3183">
        <f t="shared" si="3"/>
        <v>1</v>
      </c>
      <c r="AB23" s="3183">
        <f t="shared" si="4"/>
        <v>1</v>
      </c>
      <c r="AC23" s="3183">
        <f t="shared" si="5"/>
        <v>1</v>
      </c>
    </row>
    <row r="24" spans="1:29" ht="15">
      <c r="A24" s="532"/>
      <c r="B24" s="595"/>
      <c r="C24" s="576"/>
      <c r="D24" s="555"/>
      <c r="E24" s="556"/>
      <c r="F24" s="557"/>
      <c r="G24" s="558"/>
      <c r="H24" s="555"/>
      <c r="I24" s="556"/>
      <c r="J24" s="555"/>
      <c r="K24" s="870"/>
      <c r="L24" s="2143"/>
      <c r="M24" s="2135"/>
      <c r="N24" s="2135"/>
      <c r="O24" s="2142"/>
      <c r="P24" s="3400"/>
      <c r="Q24" s="3181"/>
      <c r="R24" s="1573"/>
      <c r="S24" s="1574"/>
      <c r="T24" s="1573"/>
      <c r="U24" s="1574"/>
      <c r="V24" s="1573"/>
      <c r="W24" s="1574"/>
      <c r="X24" s="3180"/>
      <c r="Y24" s="3400"/>
      <c r="Z24" s="3182"/>
      <c r="AA24" s="3183">
        <v>1</v>
      </c>
      <c r="AB24" s="3183">
        <v>1</v>
      </c>
      <c r="AC24" s="3183">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0"/>
      <c r="Q25" s="3181" t="str">
        <f t="shared" ref="Q25:Q46" si="11">B25</f>
        <v>楼层-1</v>
      </c>
      <c r="R25" s="1573" t="s">
        <v>11</v>
      </c>
      <c r="S25" s="1574">
        <f>F25</f>
        <v>100</v>
      </c>
      <c r="T25" s="1573" t="s">
        <v>11</v>
      </c>
      <c r="U25" s="1574">
        <f>H25</f>
        <v>100</v>
      </c>
      <c r="V25" s="1573" t="s">
        <v>11</v>
      </c>
      <c r="W25" s="1574">
        <f>J25</f>
        <v>100</v>
      </c>
      <c r="X25" s="3180"/>
      <c r="Y25" s="3400"/>
      <c r="Z25" s="3182" t="str">
        <f>Q25</f>
        <v>楼层-1</v>
      </c>
      <c r="AA25" s="3183">
        <f t="shared" si="3"/>
        <v>1</v>
      </c>
      <c r="AB25" s="3183">
        <f t="shared" si="4"/>
        <v>1</v>
      </c>
      <c r="AC25" s="318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0"/>
      <c r="Q26" s="3181" t="str">
        <f t="shared" si="11"/>
        <v>朝向</v>
      </c>
      <c r="R26" s="1573" t="s">
        <v>11</v>
      </c>
      <c r="S26" s="1574">
        <f>F26</f>
        <v>100</v>
      </c>
      <c r="T26" s="1573" t="s">
        <v>11</v>
      </c>
      <c r="U26" s="1574">
        <f>H26</f>
        <v>100</v>
      </c>
      <c r="V26" s="1573" t="s">
        <v>11</v>
      </c>
      <c r="W26" s="1574">
        <f>J26</f>
        <v>100</v>
      </c>
      <c r="X26" s="3180"/>
      <c r="Y26" s="3400"/>
      <c r="Z26" s="3182" t="str">
        <f>Q26</f>
        <v>朝向</v>
      </c>
      <c r="AA26" s="3183">
        <f t="shared" si="3"/>
        <v>1</v>
      </c>
      <c r="AB26" s="3183">
        <f t="shared" si="4"/>
        <v>1</v>
      </c>
      <c r="AC26" s="3183">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0"/>
      <c r="Q27" s="3179" t="str">
        <f t="shared" si="11"/>
        <v>道路级别</v>
      </c>
      <c r="R27" s="1568" t="s">
        <v>11</v>
      </c>
      <c r="S27" s="1569">
        <f>F27</f>
        <v>100</v>
      </c>
      <c r="T27" s="1568" t="s">
        <v>11</v>
      </c>
      <c r="U27" s="1569">
        <f>H27</f>
        <v>100</v>
      </c>
      <c r="V27" s="1568" t="s">
        <v>11</v>
      </c>
      <c r="W27" s="1569">
        <f>J27</f>
        <v>100</v>
      </c>
      <c r="X27" s="1570"/>
      <c r="Y27" s="3400"/>
      <c r="Z27" s="3178" t="str">
        <f>Q27</f>
        <v>道路级别</v>
      </c>
      <c r="AA27" s="3183">
        <f>D27/F27</f>
        <v>1</v>
      </c>
      <c r="AB27" s="3183">
        <f>D27/H27</f>
        <v>1</v>
      </c>
      <c r="AC27" s="318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0"/>
      <c r="Q28" s="3181">
        <f t="shared" si="11"/>
        <v>111</v>
      </c>
      <c r="R28" s="1573" t="s">
        <v>11</v>
      </c>
      <c r="S28" s="1574">
        <f t="shared" ref="S28:S46" si="12">F28</f>
        <v>100</v>
      </c>
      <c r="T28" s="1573" t="s">
        <v>11</v>
      </c>
      <c r="U28" s="1574">
        <f t="shared" ref="U28:U46" si="13">H28</f>
        <v>100</v>
      </c>
      <c r="V28" s="1573" t="s">
        <v>11</v>
      </c>
      <c r="W28" s="1574">
        <f t="shared" ref="W28:W46" si="14">J28</f>
        <v>100</v>
      </c>
      <c r="X28" s="3180"/>
      <c r="Y28" s="3400"/>
      <c r="Z28" s="3182">
        <f t="shared" ref="Z28:Z46" si="15">Q28</f>
        <v>111</v>
      </c>
      <c r="AA28" s="3183">
        <f t="shared" si="3"/>
        <v>1</v>
      </c>
      <c r="AB28" s="3183">
        <f t="shared" si="4"/>
        <v>1</v>
      </c>
      <c r="AC28" s="318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0"/>
      <c r="Q29" s="3181">
        <f t="shared" si="11"/>
        <v>111</v>
      </c>
      <c r="R29" s="1573" t="s">
        <v>11</v>
      </c>
      <c r="S29" s="1574">
        <f t="shared" si="12"/>
        <v>100</v>
      </c>
      <c r="T29" s="1573" t="s">
        <v>11</v>
      </c>
      <c r="U29" s="1574">
        <f t="shared" si="13"/>
        <v>100</v>
      </c>
      <c r="V29" s="1573" t="s">
        <v>11</v>
      </c>
      <c r="W29" s="1574">
        <f t="shared" si="14"/>
        <v>100</v>
      </c>
      <c r="X29" s="3180"/>
      <c r="Y29" s="3400"/>
      <c r="Z29" s="3182">
        <f t="shared" si="15"/>
        <v>111</v>
      </c>
      <c r="AA29" s="3183">
        <f t="shared" si="3"/>
        <v>1</v>
      </c>
      <c r="AB29" s="3183">
        <f t="shared" si="4"/>
        <v>1</v>
      </c>
      <c r="AC29" s="318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0"/>
      <c r="Q30" s="3181">
        <f t="shared" si="11"/>
        <v>111</v>
      </c>
      <c r="R30" s="1573" t="s">
        <v>11</v>
      </c>
      <c r="S30" s="1574">
        <f t="shared" si="12"/>
        <v>100</v>
      </c>
      <c r="T30" s="1573" t="s">
        <v>11</v>
      </c>
      <c r="U30" s="1574">
        <f t="shared" si="13"/>
        <v>100</v>
      </c>
      <c r="V30" s="1573" t="s">
        <v>11</v>
      </c>
      <c r="W30" s="1574">
        <f t="shared" si="14"/>
        <v>100</v>
      </c>
      <c r="X30" s="3180"/>
      <c r="Y30" s="3400"/>
      <c r="Z30" s="3182">
        <f t="shared" si="15"/>
        <v>111</v>
      </c>
      <c r="AA30" s="3183">
        <f t="shared" si="3"/>
        <v>1</v>
      </c>
      <c r="AB30" s="3183">
        <f t="shared" si="4"/>
        <v>1</v>
      </c>
      <c r="AC30" s="318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0"/>
      <c r="Q31" s="3181">
        <f t="shared" si="11"/>
        <v>111</v>
      </c>
      <c r="R31" s="1573" t="s">
        <v>11</v>
      </c>
      <c r="S31" s="1574">
        <f t="shared" si="12"/>
        <v>100</v>
      </c>
      <c r="T31" s="1573" t="s">
        <v>11</v>
      </c>
      <c r="U31" s="1574">
        <f t="shared" si="13"/>
        <v>100</v>
      </c>
      <c r="V31" s="1573" t="s">
        <v>11</v>
      </c>
      <c r="W31" s="1574">
        <f t="shared" si="14"/>
        <v>100</v>
      </c>
      <c r="X31" s="3180"/>
      <c r="Y31" s="3400"/>
      <c r="Z31" s="3182">
        <f t="shared" si="15"/>
        <v>111</v>
      </c>
      <c r="AA31" s="3183">
        <f t="shared" si="3"/>
        <v>1</v>
      </c>
      <c r="AB31" s="3183">
        <f t="shared" si="4"/>
        <v>1</v>
      </c>
      <c r="AC31" s="3183">
        <f t="shared" si="5"/>
        <v>1</v>
      </c>
    </row>
    <row r="32" spans="1:29" ht="15">
      <c r="A32" s="2908" t="s">
        <v>2757</v>
      </c>
      <c r="B32" s="3209" t="s">
        <v>725</v>
      </c>
      <c r="C32" s="878" t="s">
        <v>3146</v>
      </c>
      <c r="D32" s="597">
        <v>100</v>
      </c>
      <c r="E32" s="879" t="s">
        <v>3146</v>
      </c>
      <c r="F32" s="575">
        <f>SUMIF(100:100,E32,101:101)-SUMIF(100:100,C32,101:101)+100</f>
        <v>100</v>
      </c>
      <c r="G32" s="878" t="s">
        <v>3146</v>
      </c>
      <c r="H32" s="597">
        <f>SUMIF(100:100,G32,101:101)-SUMIF(100:100,C32,101:101)+100</f>
        <v>100</v>
      </c>
      <c r="I32" s="879" t="s">
        <v>3146</v>
      </c>
      <c r="J32" s="540">
        <f>SUMIF(100:100,I32,101:101)-SUMIF(100:100,C32,101:101)+100</f>
        <v>100</v>
      </c>
      <c r="K32" s="864">
        <v>2</v>
      </c>
      <c r="L32" s="2143"/>
      <c r="M32" s="2135"/>
      <c r="N32" s="2135"/>
      <c r="O32" s="2142"/>
      <c r="P32" s="3401" t="s">
        <v>550</v>
      </c>
      <c r="Q32" s="3181" t="str">
        <f t="shared" si="11"/>
        <v>建筑类型</v>
      </c>
      <c r="R32" s="1573" t="s">
        <v>11</v>
      </c>
      <c r="S32" s="1574">
        <f t="shared" si="12"/>
        <v>100</v>
      </c>
      <c r="T32" s="1573" t="s">
        <v>11</v>
      </c>
      <c r="U32" s="1574">
        <f t="shared" si="13"/>
        <v>100</v>
      </c>
      <c r="V32" s="1573" t="s">
        <v>11</v>
      </c>
      <c r="W32" s="1574">
        <f t="shared" si="14"/>
        <v>100</v>
      </c>
      <c r="X32" s="3180"/>
      <c r="Y32" s="3402" t="s">
        <v>550</v>
      </c>
      <c r="Z32" s="3182" t="str">
        <f t="shared" si="15"/>
        <v>建筑类型</v>
      </c>
      <c r="AA32" s="3183">
        <f t="shared" si="3"/>
        <v>1</v>
      </c>
      <c r="AB32" s="3183">
        <f t="shared" si="4"/>
        <v>1</v>
      </c>
      <c r="AC32" s="3183">
        <f t="shared" si="5"/>
        <v>1</v>
      </c>
    </row>
    <row r="33" spans="1:29" s="1339" customFormat="1" ht="15">
      <c r="A33" s="603"/>
      <c r="B33" s="527" t="s">
        <v>726</v>
      </c>
      <c r="C33" s="880">
        <f>'数据-汇总表'!E3</f>
        <v>229142.34999999998</v>
      </c>
      <c r="D33" s="255">
        <v>100</v>
      </c>
      <c r="E33" s="534">
        <v>408000</v>
      </c>
      <c r="F33" s="863">
        <f>LOOKUP(E33,103:103,104:104)-LOOKUP(C33,103:103,104:104)+100</f>
        <v>102</v>
      </c>
      <c r="G33" s="533">
        <v>174368.14</v>
      </c>
      <c r="H33" s="255">
        <f>LOOKUP(G33,103:103,104:104)-LOOKUP(C33,103:103,104:104)+100</f>
        <v>99</v>
      </c>
      <c r="I33" s="534">
        <v>400000</v>
      </c>
      <c r="J33" s="255">
        <f>LOOKUP(I33,103:103,104:104)-LOOKUP(C33,103:103,104:104)+100</f>
        <v>102</v>
      </c>
      <c r="K33" s="865"/>
      <c r="L33" s="2141"/>
      <c r="M33" s="2172"/>
      <c r="N33" s="2172"/>
      <c r="O33" s="2144"/>
      <c r="P33" s="3402"/>
      <c r="Q33" s="1605" t="str">
        <f t="shared" si="11"/>
        <v>项目建筑规模</v>
      </c>
      <c r="R33" s="1577" t="s">
        <v>11</v>
      </c>
      <c r="S33" s="1578">
        <f t="shared" si="12"/>
        <v>102</v>
      </c>
      <c r="T33" s="1577" t="s">
        <v>11</v>
      </c>
      <c r="U33" s="1578">
        <f t="shared" si="13"/>
        <v>99</v>
      </c>
      <c r="V33" s="1577" t="s">
        <v>11</v>
      </c>
      <c r="W33" s="1578">
        <f t="shared" si="14"/>
        <v>102</v>
      </c>
      <c r="X33" s="1579"/>
      <c r="Y33" s="3402"/>
      <c r="Z33" s="1580" t="str">
        <f t="shared" si="15"/>
        <v>项目建筑规模</v>
      </c>
      <c r="AA33" s="3183">
        <f t="shared" si="3"/>
        <v>0.98039215686274506</v>
      </c>
      <c r="AB33" s="3183">
        <f t="shared" si="4"/>
        <v>1.0101010101010102</v>
      </c>
      <c r="AC33" s="3183">
        <f t="shared" si="5"/>
        <v>0.98039215686274506</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2"/>
      <c r="Q34" s="3181" t="str">
        <f t="shared" si="11"/>
        <v>建筑结构</v>
      </c>
      <c r="R34" s="1573" t="s">
        <v>11</v>
      </c>
      <c r="S34" s="1574">
        <f t="shared" si="12"/>
        <v>100</v>
      </c>
      <c r="T34" s="1573" t="s">
        <v>11</v>
      </c>
      <c r="U34" s="1574">
        <f t="shared" si="13"/>
        <v>100</v>
      </c>
      <c r="V34" s="1573" t="s">
        <v>11</v>
      </c>
      <c r="W34" s="1574">
        <f t="shared" si="14"/>
        <v>100</v>
      </c>
      <c r="X34" s="3180"/>
      <c r="Y34" s="3402"/>
      <c r="Z34" s="3182" t="str">
        <f t="shared" si="15"/>
        <v>建筑结构</v>
      </c>
      <c r="AA34" s="3183">
        <f t="shared" si="3"/>
        <v>1</v>
      </c>
      <c r="AB34" s="3183">
        <f t="shared" si="4"/>
        <v>1</v>
      </c>
      <c r="AC34" s="318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2"/>
      <c r="Q35" s="3181" t="str">
        <f t="shared" si="11"/>
        <v>建筑品质</v>
      </c>
      <c r="R35" s="1573" t="s">
        <v>11</v>
      </c>
      <c r="S35" s="1574">
        <f t="shared" si="12"/>
        <v>100</v>
      </c>
      <c r="T35" s="1573" t="s">
        <v>11</v>
      </c>
      <c r="U35" s="1574">
        <f t="shared" si="13"/>
        <v>100</v>
      </c>
      <c r="V35" s="1573" t="s">
        <v>11</v>
      </c>
      <c r="W35" s="1574">
        <f t="shared" si="14"/>
        <v>100</v>
      </c>
      <c r="X35" s="3180"/>
      <c r="Y35" s="3402"/>
      <c r="Z35" s="3182" t="str">
        <f t="shared" si="15"/>
        <v>建筑品质</v>
      </c>
      <c r="AA35" s="3183">
        <f t="shared" si="3"/>
        <v>1</v>
      </c>
      <c r="AB35" s="3183">
        <f t="shared" si="4"/>
        <v>1</v>
      </c>
      <c r="AC35" s="318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2"/>
      <c r="Q36" s="3181" t="str">
        <f t="shared" si="11"/>
        <v>公共部分装修</v>
      </c>
      <c r="R36" s="1573" t="s">
        <v>11</v>
      </c>
      <c r="S36" s="1574">
        <f t="shared" si="12"/>
        <v>100</v>
      </c>
      <c r="T36" s="1573" t="s">
        <v>11</v>
      </c>
      <c r="U36" s="1574">
        <f t="shared" si="13"/>
        <v>100</v>
      </c>
      <c r="V36" s="1573" t="s">
        <v>11</v>
      </c>
      <c r="W36" s="1574">
        <f t="shared" si="14"/>
        <v>100</v>
      </c>
      <c r="X36" s="3180"/>
      <c r="Y36" s="3402"/>
      <c r="Z36" s="3182" t="str">
        <f t="shared" si="15"/>
        <v>公共部分装修</v>
      </c>
      <c r="AA36" s="3183">
        <f t="shared" si="3"/>
        <v>1</v>
      </c>
      <c r="AB36" s="3183">
        <f t="shared" si="4"/>
        <v>1</v>
      </c>
      <c r="AC36" s="3183">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02"/>
      <c r="Q37" s="3179" t="str">
        <f t="shared" si="11"/>
        <v>成新度</v>
      </c>
      <c r="R37" s="1568" t="s">
        <v>11</v>
      </c>
      <c r="S37" s="1569">
        <f t="shared" si="12"/>
        <v>100</v>
      </c>
      <c r="T37" s="1568" t="s">
        <v>11</v>
      </c>
      <c r="U37" s="1569">
        <f t="shared" si="13"/>
        <v>100</v>
      </c>
      <c r="V37" s="1568" t="s">
        <v>11</v>
      </c>
      <c r="W37" s="1569">
        <f t="shared" si="14"/>
        <v>100</v>
      </c>
      <c r="X37" s="1570"/>
      <c r="Y37" s="3402"/>
      <c r="Z37" s="3178"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2" t="s">
        <v>550</v>
      </c>
      <c r="Q38" s="3181" t="str">
        <f t="shared" si="11"/>
        <v>物业管理</v>
      </c>
      <c r="R38" s="1573" t="s">
        <v>11</v>
      </c>
      <c r="S38" s="1574">
        <f t="shared" si="12"/>
        <v>100</v>
      </c>
      <c r="T38" s="1573" t="s">
        <v>11</v>
      </c>
      <c r="U38" s="1574">
        <f t="shared" si="13"/>
        <v>100</v>
      </c>
      <c r="V38" s="1573" t="s">
        <v>11</v>
      </c>
      <c r="W38" s="1574">
        <f t="shared" si="14"/>
        <v>100</v>
      </c>
      <c r="X38" s="3180"/>
      <c r="Y38" s="3402" t="s">
        <v>550</v>
      </c>
      <c r="Z38" s="3182" t="str">
        <f t="shared" si="15"/>
        <v>物业管理</v>
      </c>
      <c r="AA38" s="3183">
        <f t="shared" si="3"/>
        <v>1</v>
      </c>
      <c r="AB38" s="3183">
        <f t="shared" si="4"/>
        <v>1</v>
      </c>
      <c r="AC38" s="3183">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2"/>
      <c r="Q39" s="3181" t="str">
        <f t="shared" si="11"/>
        <v>市政基础设施</v>
      </c>
      <c r="R39" s="1573" t="s">
        <v>11</v>
      </c>
      <c r="S39" s="1574">
        <f t="shared" si="12"/>
        <v>100</v>
      </c>
      <c r="T39" s="1573" t="s">
        <v>11</v>
      </c>
      <c r="U39" s="1574">
        <f t="shared" si="13"/>
        <v>100</v>
      </c>
      <c r="V39" s="1573" t="s">
        <v>11</v>
      </c>
      <c r="W39" s="1574">
        <f t="shared" si="14"/>
        <v>100</v>
      </c>
      <c r="X39" s="3180"/>
      <c r="Y39" s="3402"/>
      <c r="Z39" s="3182" t="str">
        <f t="shared" si="15"/>
        <v>市政基础设施</v>
      </c>
      <c r="AA39" s="3183">
        <f t="shared" si="3"/>
        <v>1</v>
      </c>
      <c r="AB39" s="3183">
        <f t="shared" si="4"/>
        <v>1</v>
      </c>
      <c r="AC39" s="318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2"/>
      <c r="Q40" s="3181" t="str">
        <f t="shared" si="11"/>
        <v>房型</v>
      </c>
      <c r="R40" s="1573" t="s">
        <v>11</v>
      </c>
      <c r="S40" s="1574">
        <f t="shared" si="12"/>
        <v>100</v>
      </c>
      <c r="T40" s="1573" t="s">
        <v>11</v>
      </c>
      <c r="U40" s="1574">
        <f t="shared" si="13"/>
        <v>100</v>
      </c>
      <c r="V40" s="1573" t="s">
        <v>11</v>
      </c>
      <c r="W40" s="1574">
        <f t="shared" si="14"/>
        <v>100</v>
      </c>
      <c r="X40" s="3180"/>
      <c r="Y40" s="3402"/>
      <c r="Z40" s="3182" t="str">
        <f t="shared" si="15"/>
        <v>房型</v>
      </c>
      <c r="AA40" s="3183">
        <f t="shared" si="3"/>
        <v>1</v>
      </c>
      <c r="AB40" s="3183">
        <f t="shared" si="4"/>
        <v>1</v>
      </c>
      <c r="AC40" s="3183">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2"/>
      <c r="Q41" s="1605" t="str">
        <f t="shared" si="11"/>
        <v>单套/主力户型建筑面积</v>
      </c>
      <c r="R41" s="1577" t="s">
        <v>11</v>
      </c>
      <c r="S41" s="1578">
        <f t="shared" si="12"/>
        <v>100</v>
      </c>
      <c r="T41" s="1577" t="s">
        <v>11</v>
      </c>
      <c r="U41" s="1578">
        <f t="shared" si="13"/>
        <v>100</v>
      </c>
      <c r="V41" s="1577" t="s">
        <v>11</v>
      </c>
      <c r="W41" s="1578">
        <f t="shared" si="14"/>
        <v>100</v>
      </c>
      <c r="X41" s="1579"/>
      <c r="Y41" s="3402"/>
      <c r="Z41" s="1580" t="str">
        <f t="shared" si="15"/>
        <v>单套/主力户型建筑面积</v>
      </c>
      <c r="AA41" s="3183">
        <f t="shared" si="3"/>
        <v>1</v>
      </c>
      <c r="AB41" s="3183">
        <f t="shared" si="4"/>
        <v>1</v>
      </c>
      <c r="AC41" s="318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2"/>
      <c r="Q42" s="3181" t="str">
        <f t="shared" si="11"/>
        <v>内部装修</v>
      </c>
      <c r="R42" s="1573" t="s">
        <v>11</v>
      </c>
      <c r="S42" s="1574">
        <f t="shared" si="12"/>
        <v>100</v>
      </c>
      <c r="T42" s="1573" t="s">
        <v>11</v>
      </c>
      <c r="U42" s="1574">
        <f t="shared" si="13"/>
        <v>100</v>
      </c>
      <c r="V42" s="1573" t="s">
        <v>11</v>
      </c>
      <c r="W42" s="1574">
        <f t="shared" si="14"/>
        <v>100</v>
      </c>
      <c r="X42" s="3180"/>
      <c r="Y42" s="3402"/>
      <c r="Z42" s="3182" t="str">
        <f t="shared" si="15"/>
        <v>内部装修</v>
      </c>
      <c r="AA42" s="3183">
        <f t="shared" si="3"/>
        <v>1</v>
      </c>
      <c r="AB42" s="3183">
        <f t="shared" si="4"/>
        <v>1</v>
      </c>
      <c r="AC42" s="318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2"/>
      <c r="Q43" s="3181" t="str">
        <f t="shared" si="11"/>
        <v>内部装修维护情况</v>
      </c>
      <c r="R43" s="1573" t="s">
        <v>11</v>
      </c>
      <c r="S43" s="1574">
        <f t="shared" si="12"/>
        <v>100</v>
      </c>
      <c r="T43" s="1573" t="s">
        <v>11</v>
      </c>
      <c r="U43" s="1574">
        <f t="shared" si="13"/>
        <v>100</v>
      </c>
      <c r="V43" s="1573" t="s">
        <v>11</v>
      </c>
      <c r="W43" s="1574">
        <f t="shared" si="14"/>
        <v>100</v>
      </c>
      <c r="X43" s="3180"/>
      <c r="Y43" s="3402"/>
      <c r="Z43" s="3182" t="str">
        <f t="shared" si="15"/>
        <v>内部装修维护情况</v>
      </c>
      <c r="AA43" s="3183">
        <f t="shared" si="3"/>
        <v>1</v>
      </c>
      <c r="AB43" s="3183">
        <f t="shared" si="4"/>
        <v>1</v>
      </c>
      <c r="AC43" s="3183">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2"/>
      <c r="Q44" s="3179">
        <f t="shared" si="11"/>
        <v>111</v>
      </c>
      <c r="R44" s="1568" t="s">
        <v>11</v>
      </c>
      <c r="S44" s="1569">
        <f t="shared" si="12"/>
        <v>100</v>
      </c>
      <c r="T44" s="1568" t="s">
        <v>11</v>
      </c>
      <c r="U44" s="1569">
        <f t="shared" si="13"/>
        <v>100</v>
      </c>
      <c r="V44" s="1568" t="s">
        <v>11</v>
      </c>
      <c r="W44" s="1569">
        <f t="shared" si="14"/>
        <v>100</v>
      </c>
      <c r="X44" s="1570"/>
      <c r="Y44" s="3402"/>
      <c r="Z44" s="3178">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2"/>
      <c r="Q45" s="3181">
        <f t="shared" si="11"/>
        <v>111</v>
      </c>
      <c r="R45" s="1573" t="s">
        <v>11</v>
      </c>
      <c r="S45" s="1574">
        <f t="shared" si="12"/>
        <v>100</v>
      </c>
      <c r="T45" s="1573" t="s">
        <v>11</v>
      </c>
      <c r="U45" s="1574">
        <f t="shared" si="13"/>
        <v>100</v>
      </c>
      <c r="V45" s="1573" t="s">
        <v>11</v>
      </c>
      <c r="W45" s="1574">
        <f t="shared" si="14"/>
        <v>100</v>
      </c>
      <c r="X45" s="3180"/>
      <c r="Y45" s="3402"/>
      <c r="Z45" s="3182">
        <f t="shared" si="15"/>
        <v>111</v>
      </c>
      <c r="AA45" s="3183">
        <f t="shared" si="3"/>
        <v>1</v>
      </c>
      <c r="AB45" s="3183">
        <f t="shared" si="4"/>
        <v>1</v>
      </c>
      <c r="AC45" s="318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0"/>
      <c r="Q46" s="3181">
        <f t="shared" si="11"/>
        <v>111</v>
      </c>
      <c r="R46" s="1573" t="s">
        <v>10</v>
      </c>
      <c r="S46" s="1574">
        <f t="shared" si="12"/>
        <v>100</v>
      </c>
      <c r="T46" s="1573" t="s">
        <v>10</v>
      </c>
      <c r="U46" s="1574">
        <f t="shared" si="13"/>
        <v>100</v>
      </c>
      <c r="V46" s="1573" t="s">
        <v>10</v>
      </c>
      <c r="W46" s="1574">
        <f t="shared" si="14"/>
        <v>100</v>
      </c>
      <c r="X46" s="3180"/>
      <c r="Y46" s="3500"/>
      <c r="Z46" s="3182">
        <f t="shared" si="15"/>
        <v>111</v>
      </c>
      <c r="AA46" s="3183">
        <f t="shared" si="3"/>
        <v>1</v>
      </c>
      <c r="AB46" s="3183">
        <f t="shared" si="4"/>
        <v>1</v>
      </c>
      <c r="AC46" s="3183">
        <f t="shared" si="5"/>
        <v>1</v>
      </c>
    </row>
    <row r="47" spans="1:29" ht="15">
      <c r="A47" s="607" t="s">
        <v>736</v>
      </c>
      <c r="B47" s="887"/>
      <c r="C47" s="2628" t="s">
        <v>9</v>
      </c>
      <c r="D47" s="2629"/>
      <c r="E47" s="2630">
        <v>14500</v>
      </c>
      <c r="F47" s="2631"/>
      <c r="G47" s="2632">
        <v>15480</v>
      </c>
      <c r="H47" s="2633"/>
      <c r="I47" s="2630">
        <v>15500</v>
      </c>
      <c r="J47" s="2633"/>
      <c r="K47" s="1606"/>
      <c r="L47" s="2145"/>
      <c r="M47" s="2146"/>
      <c r="N47" s="2135"/>
      <c r="O47" s="2146"/>
      <c r="P47" s="3397" t="str">
        <f>A47</f>
        <v>成交单价（元/平方米）</v>
      </c>
      <c r="Q47" s="3397"/>
      <c r="R47" s="3499">
        <f>E47</f>
        <v>14500</v>
      </c>
      <c r="S47" s="3499"/>
      <c r="T47" s="3499">
        <f>G47</f>
        <v>15480</v>
      </c>
      <c r="U47" s="3499"/>
      <c r="V47" s="3499">
        <f>I47</f>
        <v>15500</v>
      </c>
      <c r="W47" s="3499"/>
      <c r="X47" s="1559"/>
      <c r="Y47" s="1581"/>
      <c r="Z47" s="1559"/>
      <c r="AA47" s="1559"/>
      <c r="AB47" s="1559"/>
      <c r="AC47" s="1559"/>
    </row>
    <row r="48" spans="1:29" ht="15.75" thickBot="1">
      <c r="A48" s="615" t="s">
        <v>2762</v>
      </c>
      <c r="B48" s="888"/>
      <c r="C48" s="2634">
        <f>R49</f>
        <v>14964</v>
      </c>
      <c r="D48" s="2635"/>
      <c r="E48" s="2636">
        <f>R48</f>
        <v>14359</v>
      </c>
      <c r="F48" s="2636"/>
      <c r="G48" s="2634">
        <f>T48</f>
        <v>15485</v>
      </c>
      <c r="H48" s="2635"/>
      <c r="I48" s="2636">
        <f>V48</f>
        <v>15049</v>
      </c>
      <c r="J48" s="2635"/>
      <c r="K48" s="1607"/>
      <c r="L48" s="2145"/>
      <c r="M48" s="2146"/>
      <c r="N48" s="2146"/>
      <c r="O48" s="2146"/>
      <c r="P48" s="3397" t="str">
        <f>A48</f>
        <v>比较价格（元/平方米）</v>
      </c>
      <c r="Q48" s="3397"/>
      <c r="R48" s="3499">
        <f>IF(F1="售价",ROUND(PRODUCT(R47,AA7:AA46),0),ROUND(PRODUCT(R47,AA7:AA46),1))</f>
        <v>14359</v>
      </c>
      <c r="S48" s="3499"/>
      <c r="T48" s="3499">
        <f>IF(F1="售价",ROUND(PRODUCT(T47,AB7:AB46),0),ROUND(PRODUCT(T47,AB7:AB46),1))</f>
        <v>15485</v>
      </c>
      <c r="U48" s="3499"/>
      <c r="V48" s="3499">
        <f>IF(F1="售价",ROUND(PRODUCT(V47,AC7:AC46),0),ROUND(PRODUCT(V47,AC7:AC46),1))</f>
        <v>15049</v>
      </c>
      <c r="W48" s="3499"/>
      <c r="X48" s="1559"/>
      <c r="Y48" s="1559"/>
      <c r="Z48" s="1559"/>
      <c r="AA48" s="1559"/>
      <c r="AB48" s="1559"/>
      <c r="AC48" s="1559"/>
    </row>
    <row r="49" spans="1:29" ht="15.75" thickBot="1">
      <c r="A49" s="621" t="s">
        <v>2937</v>
      </c>
      <c r="B49" s="622"/>
      <c r="C49" s="2637">
        <f>R49</f>
        <v>14964</v>
      </c>
      <c r="D49" s="2637"/>
      <c r="E49" s="2637"/>
      <c r="F49" s="2637"/>
      <c r="G49" s="2637"/>
      <c r="H49" s="2637"/>
      <c r="I49" s="2637"/>
      <c r="J49" s="2637"/>
      <c r="K49" s="1608"/>
      <c r="L49" s="2145"/>
      <c r="M49" s="2146"/>
      <c r="N49" s="2146"/>
      <c r="O49" s="2146"/>
      <c r="P49" s="3418" t="str">
        <f>A49</f>
        <v>估价对象XX用房的比较价格（楼面单价，元/平方米）</v>
      </c>
      <c r="Q49" s="3419"/>
      <c r="R49" s="3498">
        <f>IF(F1="售价",ROUND(AVERAGE(R48:V48),0),ROUND(AVERAGE(R48:V48),1))</f>
        <v>14964</v>
      </c>
      <c r="S49" s="3498"/>
      <c r="T49" s="3498"/>
      <c r="U49" s="3498"/>
      <c r="V49" s="3498"/>
      <c r="W49" s="349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9.8196253220976804E-3</v>
      </c>
      <c r="F52" s="627" t="str">
        <f>IF(OR(E52&gt;=0.3,E52&lt;=-0.3),"超过30%","")</f>
        <v/>
      </c>
      <c r="G52" s="626">
        <f>IF(G47&lt;G48,G48/G47-1,G47/G48-1)</f>
        <v>3.2299741602059839E-4</v>
      </c>
      <c r="H52" s="627" t="str">
        <f>IF(OR(G52&gt;=0.3,G52&lt;=-0.3),"超过30%","")</f>
        <v/>
      </c>
      <c r="I52" s="626">
        <f>IF(I47&lt;I48,I48/I47-1,I47/I48-1)</f>
        <v>2.9968768688949377E-2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7.8417717111219476E-2</v>
      </c>
      <c r="F53" s="627" t="str">
        <f>IF(OR(E53&gt;=0.2,E53&lt;=-0.2),"超过20%","")</f>
        <v/>
      </c>
      <c r="G53" s="626">
        <f>IF(G48&lt;I48,I48/G48-1,G48/I48-1)</f>
        <v>2.8972024719250422E-2</v>
      </c>
      <c r="H53" s="627" t="str">
        <f>IF(OR(G53&gt;=0.2,G53&lt;=-0.2),"超过20%","")</f>
        <v/>
      </c>
      <c r="I53" s="626">
        <f>IF(I48&lt;E48,E48/I48-1,I48/E48-1)</f>
        <v>4.805348561877576E-2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6.7586206896551815E-2</v>
      </c>
      <c r="F54" s="627" t="str">
        <f>IF(OR(E54&gt;=0.3,E54&lt;=-0.3),"超过30%","")</f>
        <v/>
      </c>
      <c r="G54" s="626">
        <f>IF(G47&lt;I47,I47/G47-1,G47/I47-1)</f>
        <v>1.2919896640826156E-3</v>
      </c>
      <c r="H54" s="627" t="str">
        <f>IF(OR(G54&gt;=0.3,G54&lt;=-0.3),"超过30%","")</f>
        <v/>
      </c>
      <c r="I54" s="626">
        <f>IF(I47&lt;E47,E47/I47-1,I47/E47-1)</f>
        <v>6.8965517241379226E-2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516" t="s">
        <v>3154</v>
      </c>
      <c r="D90" s="3516" t="s">
        <v>3155</v>
      </c>
      <c r="E90" s="3516" t="s">
        <v>3156</v>
      </c>
      <c r="F90" s="3516" t="s">
        <v>3157</v>
      </c>
      <c r="G90" s="3516" t="s">
        <v>3159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v>96</v>
      </c>
      <c r="F91" s="692">
        <v>94</v>
      </c>
      <c r="G91" s="692">
        <v>92</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515" t="s">
        <v>3150</v>
      </c>
      <c r="D100" s="3515" t="s">
        <v>3151</v>
      </c>
      <c r="E100" s="3515" t="s">
        <v>3152</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48" priority="14" stopIfTrue="1" operator="containsText" text="超过">
      <formula>NOT(ISERROR(SEARCH("超过",F52)))</formula>
    </cfRule>
  </conditionalFormatting>
  <conditionalFormatting sqref="J54">
    <cfRule type="containsText" dxfId="47" priority="13" stopIfTrue="1" operator="containsText" text="超过">
      <formula>NOT(ISERROR(SEARCH("超过",J54)))</formula>
    </cfRule>
  </conditionalFormatting>
  <conditionalFormatting sqref="H54">
    <cfRule type="containsText" dxfId="46" priority="12" stopIfTrue="1" operator="containsText" text="超过">
      <formula>NOT(ISERROR(SEARCH("超过",H54)))</formula>
    </cfRule>
  </conditionalFormatting>
  <conditionalFormatting sqref="F54">
    <cfRule type="containsText" dxfId="45" priority="11" stopIfTrue="1" operator="containsText" text="超过">
      <formula>NOT(ISERROR(SEARCH("超过",F54)))</formula>
    </cfRule>
  </conditionalFormatting>
  <conditionalFormatting sqref="F53 H53 J53">
    <cfRule type="containsText" dxfId="44" priority="10" stopIfTrue="1" operator="containsText" text="超过">
      <formula>NOT(ISERROR(SEARCH("超过",F53)))</formula>
    </cfRule>
  </conditionalFormatting>
  <conditionalFormatting sqref="E52">
    <cfRule type="expression" dxfId="43" priority="9" stopIfTrue="1">
      <formula>$F$52="超过30%"</formula>
    </cfRule>
  </conditionalFormatting>
  <conditionalFormatting sqref="G54">
    <cfRule type="expression" dxfId="42" priority="8" stopIfTrue="1">
      <formula>$H$54="超过30%"</formula>
    </cfRule>
  </conditionalFormatting>
  <conditionalFormatting sqref="E53">
    <cfRule type="expression" dxfId="41" priority="7" stopIfTrue="1">
      <formula>$F$53="超过20%"</formula>
    </cfRule>
  </conditionalFormatting>
  <conditionalFormatting sqref="E54">
    <cfRule type="expression" dxfId="40" priority="6" stopIfTrue="1">
      <formula>$F$54="超过30%"</formula>
    </cfRule>
  </conditionalFormatting>
  <conditionalFormatting sqref="G52">
    <cfRule type="expression" dxfId="39" priority="5" stopIfTrue="1">
      <formula>$H$52="超过30%"</formula>
    </cfRule>
  </conditionalFormatting>
  <conditionalFormatting sqref="G53">
    <cfRule type="expression" dxfId="38" priority="4" stopIfTrue="1">
      <formula>$H$53="超过20%"</formula>
    </cfRule>
  </conditionalFormatting>
  <conditionalFormatting sqref="I52">
    <cfRule type="expression" dxfId="37" priority="3" stopIfTrue="1">
      <formula>$J$52="超过30%"</formula>
    </cfRule>
  </conditionalFormatting>
  <conditionalFormatting sqref="I53">
    <cfRule type="expression" dxfId="36" priority="2" stopIfTrue="1">
      <formula>$J$53="超过20%"</formula>
    </cfRule>
  </conditionalFormatting>
  <conditionalFormatting sqref="I54">
    <cfRule type="expression" dxfId="3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40" sqref="N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923</v>
      </c>
      <c r="C1" s="504" t="s">
        <v>792</v>
      </c>
      <c r="D1" s="849" t="s">
        <v>35</v>
      </c>
      <c r="E1" s="506"/>
      <c r="F1" s="2808" t="s">
        <v>3123</v>
      </c>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36548.259999999995</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3" t="s">
        <v>798</v>
      </c>
      <c r="D4" s="3404"/>
      <c r="E4" s="3403" t="s">
        <v>799</v>
      </c>
      <c r="F4" s="3404"/>
      <c r="G4" s="3403" t="s">
        <v>800</v>
      </c>
      <c r="H4" s="3404"/>
      <c r="I4" s="3403" t="s">
        <v>801</v>
      </c>
      <c r="J4" s="3404"/>
      <c r="K4" s="514" t="s">
        <v>802</v>
      </c>
      <c r="L4" s="2134"/>
      <c r="M4" s="2135"/>
      <c r="N4" s="2135"/>
      <c r="O4" s="2135"/>
      <c r="P4" s="3405" t="s">
        <v>803</v>
      </c>
      <c r="Q4" s="3406"/>
      <c r="R4" s="3391" t="s">
        <v>799</v>
      </c>
      <c r="S4" s="3392"/>
      <c r="T4" s="3391" t="s">
        <v>800</v>
      </c>
      <c r="U4" s="3392"/>
      <c r="V4" s="3411" t="s">
        <v>801</v>
      </c>
      <c r="W4" s="3411"/>
      <c r="X4" s="1567"/>
      <c r="Y4" s="3391" t="s">
        <v>803</v>
      </c>
      <c r="Z4" s="3392"/>
      <c r="AA4" s="3386" t="s">
        <v>799</v>
      </c>
      <c r="AB4" s="3387" t="s">
        <v>800</v>
      </c>
      <c r="AC4" s="3386" t="s">
        <v>801</v>
      </c>
    </row>
    <row r="5" spans="1:29" ht="15">
      <c r="A5" s="515"/>
      <c r="B5" s="516"/>
      <c r="C5" s="3414" t="s">
        <v>2931</v>
      </c>
      <c r="D5" s="3415"/>
      <c r="E5" s="3414" t="s">
        <v>2932</v>
      </c>
      <c r="F5" s="3415"/>
      <c r="G5" s="3414" t="s">
        <v>2933</v>
      </c>
      <c r="H5" s="3415"/>
      <c r="I5" s="3414" t="s">
        <v>2934</v>
      </c>
      <c r="J5" s="3415"/>
      <c r="K5" s="514"/>
      <c r="L5" s="2134"/>
      <c r="M5" s="2135"/>
      <c r="N5" s="2135"/>
      <c r="O5" s="2135"/>
      <c r="P5" s="3407"/>
      <c r="Q5" s="3408"/>
      <c r="R5" s="3393"/>
      <c r="S5" s="3394"/>
      <c r="T5" s="3393"/>
      <c r="U5" s="3394"/>
      <c r="V5" s="3411"/>
      <c r="W5" s="3411"/>
      <c r="X5" s="1567"/>
      <c r="Y5" s="3393"/>
      <c r="Z5" s="3394"/>
      <c r="AA5" s="3387"/>
      <c r="AB5" s="3387"/>
      <c r="AC5" s="3387"/>
    </row>
    <row r="6" spans="1:29" ht="15.75" thickBot="1">
      <c r="A6" s="517"/>
      <c r="B6" s="518"/>
      <c r="C6" s="3412" t="s">
        <v>2935</v>
      </c>
      <c r="D6" s="3413"/>
      <c r="E6" s="3416" t="s">
        <v>2935</v>
      </c>
      <c r="F6" s="3417"/>
      <c r="G6" s="3412" t="s">
        <v>2935</v>
      </c>
      <c r="H6" s="3413"/>
      <c r="I6" s="3412" t="s">
        <v>2935</v>
      </c>
      <c r="J6" s="3413"/>
      <c r="K6" s="514" t="s">
        <v>528</v>
      </c>
      <c r="L6" s="2134"/>
      <c r="M6" s="2135"/>
      <c r="N6" s="2135"/>
      <c r="O6" s="2135"/>
      <c r="P6" s="3409"/>
      <c r="Q6" s="3410"/>
      <c r="R6" s="3393"/>
      <c r="S6" s="3394"/>
      <c r="T6" s="3395"/>
      <c r="U6" s="3396"/>
      <c r="V6" s="3411"/>
      <c r="W6" s="3411"/>
      <c r="X6" s="1567"/>
      <c r="Y6" s="3395"/>
      <c r="Z6" s="3396"/>
      <c r="AA6" s="3388"/>
      <c r="AB6" s="3388"/>
      <c r="AC6" s="3388"/>
    </row>
    <row r="7" spans="1:29" s="1220" customFormat="1" ht="15.75" thickBot="1">
      <c r="A7" s="2912"/>
      <c r="B7" s="2919" t="s">
        <v>529</v>
      </c>
      <c r="C7" s="519">
        <f>'数据-取费表'!B2</f>
        <v>43402</v>
      </c>
      <c r="D7" s="520">
        <v>100</v>
      </c>
      <c r="E7" s="521">
        <v>43344</v>
      </c>
      <c r="F7" s="522">
        <f>SUMIF(48:48,YEAR(E7)&amp;"-"&amp;MONTH(E7),49:49)</f>
        <v>0</v>
      </c>
      <c r="G7" s="523">
        <v>43344</v>
      </c>
      <c r="H7" s="520">
        <f>SUMIF(48:48,YEAR(G7)&amp;"-"&amp;MONTH(G7),49:49)</f>
        <v>0</v>
      </c>
      <c r="I7" s="523">
        <v>43344</v>
      </c>
      <c r="J7" s="520">
        <f>SUMIF(48:48,YEAR(I7)&amp;"-"&amp;MONTH(I7),49:49)</f>
        <v>0</v>
      </c>
      <c r="K7" s="524"/>
      <c r="L7" s="2136"/>
      <c r="M7" s="2137"/>
      <c r="N7" s="2137"/>
      <c r="O7" s="2137"/>
      <c r="P7" s="3389" t="s">
        <v>530</v>
      </c>
      <c r="Q7" s="3398"/>
      <c r="R7" s="1568" t="s">
        <v>8</v>
      </c>
      <c r="S7" s="1569">
        <f t="shared" ref="S7:S14" si="0">F7</f>
        <v>0</v>
      </c>
      <c r="T7" s="1568" t="s">
        <v>8</v>
      </c>
      <c r="U7" s="1569">
        <f t="shared" ref="U7:U14" si="1">H7</f>
        <v>0</v>
      </c>
      <c r="V7" s="1568" t="s">
        <v>8</v>
      </c>
      <c r="W7" s="1569">
        <f t="shared" ref="W7:W14"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3189" t="s">
        <v>3132</v>
      </c>
      <c r="F8" s="522">
        <f>SUMIF(51:51,E8,52:52)-SUMIF(51:51,C8,52:52)+100</f>
        <v>100</v>
      </c>
      <c r="G8" s="3189" t="s">
        <v>3132</v>
      </c>
      <c r="H8" s="520">
        <f>SUMIF(51:51,G8,52:52)-SUMIF(51:51,C8,52:52)+100</f>
        <v>100</v>
      </c>
      <c r="I8" s="3189" t="s">
        <v>3133</v>
      </c>
      <c r="J8" s="520">
        <f>SUMIF(51:51,I8,52:52)-SUMIF(51:51,C8,52:52)+100</f>
        <v>100</v>
      </c>
      <c r="K8" s="524"/>
      <c r="L8" s="2136"/>
      <c r="M8" s="2137"/>
      <c r="N8" s="2137"/>
      <c r="O8" s="2137"/>
      <c r="P8" s="3389" t="s">
        <v>533</v>
      </c>
      <c r="Q8" s="3390"/>
      <c r="R8" s="1568" t="s">
        <v>8</v>
      </c>
      <c r="S8" s="1569">
        <f t="shared" si="0"/>
        <v>100</v>
      </c>
      <c r="T8" s="1568" t="s">
        <v>8</v>
      </c>
      <c r="U8" s="1569">
        <f t="shared" si="1"/>
        <v>100</v>
      </c>
      <c r="V8" s="1568" t="s">
        <v>8</v>
      </c>
      <c r="W8" s="1569">
        <f t="shared" si="2"/>
        <v>100</v>
      </c>
      <c r="X8" s="1570"/>
      <c r="Y8" s="3389" t="s">
        <v>533</v>
      </c>
      <c r="Z8" s="3390"/>
      <c r="AA8" s="1571">
        <f t="shared" ref="AA8:AA36" si="3">D8/F8</f>
        <v>1</v>
      </c>
      <c r="AB8" s="1571">
        <f t="shared" ref="AB8:AB36" si="4">D8/H8</f>
        <v>1</v>
      </c>
      <c r="AC8" s="1571">
        <f t="shared" ref="AC8:AC36" si="5">D8/J8</f>
        <v>1</v>
      </c>
    </row>
    <row r="9" spans="1:29" s="1220" customFormat="1" ht="15">
      <c r="A9" s="2914"/>
      <c r="B9" s="2921" t="s">
        <v>2758</v>
      </c>
      <c r="C9" s="3197" t="s">
        <v>3134</v>
      </c>
      <c r="D9" s="254">
        <v>100</v>
      </c>
      <c r="E9" s="3199" t="s">
        <v>3134</v>
      </c>
      <c r="F9" s="254">
        <f>SUMIF(53:53,E9,54:54)-SUMIF(53:53,C9,54:54)+100</f>
        <v>100</v>
      </c>
      <c r="G9" s="3198" t="s">
        <v>3134</v>
      </c>
      <c r="H9" s="254">
        <f>SUMIF(53:53,G9,54:54)-SUMIF(53:53,C9,54:54)+100</f>
        <v>100</v>
      </c>
      <c r="I9" s="3198" t="s">
        <v>3134</v>
      </c>
      <c r="J9" s="254">
        <f>SUMIF(53:53,I9,54:54)-SUMIF(53:53,C9,54:54)+100</f>
        <v>100</v>
      </c>
      <c r="K9" s="524"/>
      <c r="L9" s="2136"/>
      <c r="M9" s="2137"/>
      <c r="N9" s="2137"/>
      <c r="O9" s="2138"/>
      <c r="P9" s="3397" t="s">
        <v>535</v>
      </c>
      <c r="Q9" s="1151" t="str">
        <f t="shared" ref="Q9:Q14" si="6">B9</f>
        <v>用途</v>
      </c>
      <c r="R9" s="1568" t="s">
        <v>8</v>
      </c>
      <c r="S9" s="1569">
        <f t="shared" si="0"/>
        <v>100</v>
      </c>
      <c r="T9" s="1568" t="s">
        <v>8</v>
      </c>
      <c r="U9" s="1569">
        <f t="shared" si="1"/>
        <v>100</v>
      </c>
      <c r="V9" s="1568" t="s">
        <v>8</v>
      </c>
      <c r="W9" s="1569">
        <f t="shared" si="2"/>
        <v>100</v>
      </c>
      <c r="X9" s="1570"/>
      <c r="Y9" s="3354" t="s">
        <v>536</v>
      </c>
      <c r="Z9" s="1150" t="str">
        <f t="shared" ref="Z9:Z14" si="7">Q9</f>
        <v>用途</v>
      </c>
      <c r="AA9" s="1571">
        <f t="shared" si="3"/>
        <v>1</v>
      </c>
      <c r="AB9" s="1571">
        <f t="shared" si="4"/>
        <v>1</v>
      </c>
      <c r="AC9" s="1571">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7"/>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7"/>
      <c r="Q11" s="1151">
        <f t="shared" si="6"/>
        <v>111</v>
      </c>
      <c r="R11" s="1568" t="s">
        <v>8</v>
      </c>
      <c r="S11" s="1569">
        <f t="shared" si="0"/>
        <v>100</v>
      </c>
      <c r="T11" s="1568" t="s">
        <v>8</v>
      </c>
      <c r="U11" s="1569">
        <f t="shared" si="1"/>
        <v>100</v>
      </c>
      <c r="V11" s="1568" t="s">
        <v>8</v>
      </c>
      <c r="W11" s="1569">
        <f t="shared" si="2"/>
        <v>100</v>
      </c>
      <c r="X11" s="1570"/>
      <c r="Y11" s="3354"/>
      <c r="Z11" s="1150">
        <f t="shared" si="7"/>
        <v>111</v>
      </c>
      <c r="AA11" s="1571">
        <f t="shared" si="3"/>
        <v>1</v>
      </c>
      <c r="AB11" s="1571">
        <f t="shared" si="4"/>
        <v>1</v>
      </c>
      <c r="AC11" s="1571">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7"/>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7"/>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42.5">
      <c r="A14" s="2910" t="s">
        <v>2756</v>
      </c>
      <c r="B14" s="547" t="s">
        <v>543</v>
      </c>
      <c r="C14" s="921" t="str">
        <f>IF(B1="工业",估价对象房地状况!G4,估价对象房地状况!C6)</f>
        <v>估价对象临中央大道，有山深线等道路、公共交通通达情况较好，有156路、710路等公交线路、停车便捷程度较好，综合评价交通便捷度较好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9" t="s">
        <v>540</v>
      </c>
      <c r="Q14" s="1572" t="str">
        <f t="shared" si="6"/>
        <v>交通便捷度</v>
      </c>
      <c r="R14" s="1573" t="s">
        <v>8</v>
      </c>
      <c r="S14" s="1574">
        <f t="shared" si="0"/>
        <v>100</v>
      </c>
      <c r="T14" s="1573" t="s">
        <v>8</v>
      </c>
      <c r="U14" s="1574">
        <f t="shared" si="1"/>
        <v>100</v>
      </c>
      <c r="V14" s="1573" t="s">
        <v>8</v>
      </c>
      <c r="W14" s="1574">
        <f t="shared" si="2"/>
        <v>100</v>
      </c>
      <c r="X14" s="1567"/>
      <c r="Y14" s="3399"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00"/>
      <c r="Q15" s="1572"/>
      <c r="R15" s="1573"/>
      <c r="S15" s="1574"/>
      <c r="T15" s="1573"/>
      <c r="U15" s="1574"/>
      <c r="V15" s="1573"/>
      <c r="W15" s="1574"/>
      <c r="X15" s="1567"/>
      <c r="Y15" s="3400"/>
      <c r="Z15" s="1575"/>
      <c r="AA15" s="1576">
        <v>1</v>
      </c>
      <c r="AB15" s="1576">
        <v>1</v>
      </c>
      <c r="AC15" s="1576">
        <v>1</v>
      </c>
    </row>
    <row r="16" spans="1:29" ht="42.75">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0"/>
      <c r="Q16" s="1572" t="str">
        <f>B16</f>
        <v>公共配套设施</v>
      </c>
      <c r="R16" s="1573" t="s">
        <v>8</v>
      </c>
      <c r="S16" s="1574">
        <f>F16</f>
        <v>100</v>
      </c>
      <c r="T16" s="1573" t="s">
        <v>8</v>
      </c>
      <c r="U16" s="1574">
        <f>H16</f>
        <v>100</v>
      </c>
      <c r="V16" s="1573" t="s">
        <v>8</v>
      </c>
      <c r="W16" s="1574">
        <f>J16</f>
        <v>100</v>
      </c>
      <c r="X16" s="1567"/>
      <c r="Y16" s="340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00"/>
      <c r="Q17" s="1572"/>
      <c r="R17" s="1573"/>
      <c r="S17" s="1574"/>
      <c r="T17" s="1573"/>
      <c r="U17" s="1574"/>
      <c r="V17" s="1573"/>
      <c r="W17" s="1574"/>
      <c r="X17" s="1567"/>
      <c r="Y17" s="3400"/>
      <c r="Z17" s="1575"/>
      <c r="AA17" s="1576">
        <v>1</v>
      </c>
      <c r="AB17" s="1576">
        <v>1</v>
      </c>
      <c r="AC17" s="1576">
        <v>1</v>
      </c>
    </row>
    <row r="18" spans="1:29" ht="28.5">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0"/>
      <c r="Q18" s="2580" t="str">
        <f>B18</f>
        <v>基础设施水平</v>
      </c>
      <c r="R18" s="1573" t="s">
        <v>8</v>
      </c>
      <c r="S18" s="1574">
        <f>F18</f>
        <v>100</v>
      </c>
      <c r="T18" s="1573" t="s">
        <v>8</v>
      </c>
      <c r="U18" s="1574">
        <f>H18</f>
        <v>100</v>
      </c>
      <c r="V18" s="1573" t="s">
        <v>8</v>
      </c>
      <c r="W18" s="1574">
        <f>J18</f>
        <v>100</v>
      </c>
      <c r="X18" s="2582"/>
      <c r="Y18" s="3400"/>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00"/>
      <c r="Q19" s="2580"/>
      <c r="R19" s="1573"/>
      <c r="S19" s="1574"/>
      <c r="T19" s="1573"/>
      <c r="U19" s="1574"/>
      <c r="V19" s="1573"/>
      <c r="W19" s="1574"/>
      <c r="X19" s="2582"/>
      <c r="Y19" s="3400"/>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0"/>
      <c r="Q20" s="1572" t="str">
        <f>B20</f>
        <v>自然及人文环境</v>
      </c>
      <c r="R20" s="1573" t="s">
        <v>8</v>
      </c>
      <c r="S20" s="1574">
        <f>F20</f>
        <v>100</v>
      </c>
      <c r="T20" s="1573" t="s">
        <v>8</v>
      </c>
      <c r="U20" s="1574">
        <f>H20</f>
        <v>100</v>
      </c>
      <c r="V20" s="1573" t="s">
        <v>8</v>
      </c>
      <c r="W20" s="1574">
        <f>J20</f>
        <v>100</v>
      </c>
      <c r="X20" s="1567"/>
      <c r="Y20" s="340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00"/>
      <c r="Q21" s="1572"/>
      <c r="R21" s="1573"/>
      <c r="S21" s="1574"/>
      <c r="T21" s="1573"/>
      <c r="U21" s="1574"/>
      <c r="V21" s="1573"/>
      <c r="W21" s="1574"/>
      <c r="X21" s="1567"/>
      <c r="Y21" s="340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0"/>
      <c r="Q22" s="1572" t="str">
        <f>B22</f>
        <v>楼层</v>
      </c>
      <c r="R22" s="1573" t="s">
        <v>8</v>
      </c>
      <c r="S22" s="1574">
        <f>F22</f>
        <v>100</v>
      </c>
      <c r="T22" s="1573" t="s">
        <v>8</v>
      </c>
      <c r="U22" s="1574">
        <f>H22</f>
        <v>100</v>
      </c>
      <c r="V22" s="1573" t="s">
        <v>8</v>
      </c>
      <c r="W22" s="1574">
        <f>J22</f>
        <v>100</v>
      </c>
      <c r="X22" s="1567"/>
      <c r="Y22" s="340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0"/>
      <c r="Q23" s="1572">
        <f>B23</f>
        <v>111</v>
      </c>
      <c r="R23" s="1573" t="s">
        <v>8</v>
      </c>
      <c r="S23" s="1574">
        <f>F23</f>
        <v>100</v>
      </c>
      <c r="T23" s="1573" t="s">
        <v>8</v>
      </c>
      <c r="U23" s="1574">
        <f>H23</f>
        <v>100</v>
      </c>
      <c r="V23" s="1573" t="s">
        <v>8</v>
      </c>
      <c r="W23" s="1574">
        <f>J23</f>
        <v>100</v>
      </c>
      <c r="X23" s="1567"/>
      <c r="Y23" s="340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0"/>
      <c r="Q24" s="1572">
        <f t="shared" ref="Q24:Q36" si="11">B24</f>
        <v>111</v>
      </c>
      <c r="R24" s="1573" t="s">
        <v>8</v>
      </c>
      <c r="S24" s="1574">
        <f>F24</f>
        <v>100</v>
      </c>
      <c r="T24" s="1573" t="s">
        <v>8</v>
      </c>
      <c r="U24" s="1574">
        <f>H24</f>
        <v>100</v>
      </c>
      <c r="V24" s="1573" t="s">
        <v>8</v>
      </c>
      <c r="W24" s="1574">
        <f>J24</f>
        <v>100</v>
      </c>
      <c r="X24" s="1567"/>
      <c r="Y24" s="340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0"/>
      <c r="Q25" s="1151">
        <f t="shared" si="11"/>
        <v>111</v>
      </c>
      <c r="R25" s="1568" t="s">
        <v>8</v>
      </c>
      <c r="S25" s="1569">
        <f>F25</f>
        <v>100</v>
      </c>
      <c r="T25" s="1568" t="s">
        <v>8</v>
      </c>
      <c r="U25" s="1569">
        <f>H25</f>
        <v>100</v>
      </c>
      <c r="V25" s="1568" t="s">
        <v>8</v>
      </c>
      <c r="W25" s="1569">
        <f>J25</f>
        <v>100</v>
      </c>
      <c r="X25" s="1570"/>
      <c r="Y25" s="3400"/>
      <c r="Z25" s="1150">
        <f>Q25</f>
        <v>111</v>
      </c>
      <c r="AA25" s="1576">
        <f>D25/F25</f>
        <v>1</v>
      </c>
      <c r="AB25" s="1576">
        <f>D25/H25</f>
        <v>1</v>
      </c>
      <c r="AC25" s="1576">
        <f>D25/J25</f>
        <v>1</v>
      </c>
    </row>
    <row r="26" spans="1:29" ht="15">
      <c r="A26" s="2908" t="s">
        <v>2757</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3"/>
      <c r="M26" s="2135"/>
      <c r="N26" s="2135"/>
      <c r="O26" s="2142"/>
      <c r="P26" s="340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2"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2"/>
      <c r="Q27" s="1605" t="str">
        <f t="shared" si="11"/>
        <v>项目停车位配比</v>
      </c>
      <c r="R27" s="1577" t="s">
        <v>8</v>
      </c>
      <c r="S27" s="1578">
        <f t="shared" si="12"/>
        <v>100</v>
      </c>
      <c r="T27" s="1577" t="s">
        <v>8</v>
      </c>
      <c r="U27" s="1578">
        <f t="shared" si="13"/>
        <v>100</v>
      </c>
      <c r="V27" s="1577" t="s">
        <v>8</v>
      </c>
      <c r="W27" s="1578">
        <f t="shared" si="14"/>
        <v>100</v>
      </c>
      <c r="X27" s="1579"/>
      <c r="Y27" s="3402"/>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2"/>
      <c r="Q28" s="1572" t="str">
        <f t="shared" si="11"/>
        <v>公共部分装修</v>
      </c>
      <c r="R28" s="1573" t="s">
        <v>8</v>
      </c>
      <c r="S28" s="1574">
        <f t="shared" si="12"/>
        <v>100</v>
      </c>
      <c r="T28" s="1573" t="s">
        <v>8</v>
      </c>
      <c r="U28" s="1574">
        <f t="shared" si="13"/>
        <v>100</v>
      </c>
      <c r="V28" s="1573" t="s">
        <v>8</v>
      </c>
      <c r="W28" s="1574">
        <f t="shared" si="14"/>
        <v>100</v>
      </c>
      <c r="X28" s="1567"/>
      <c r="Y28" s="3402"/>
      <c r="Z28" s="1575" t="str">
        <f t="shared" si="15"/>
        <v>公共部分装修</v>
      </c>
      <c r="AA28" s="1576">
        <f t="shared" si="3"/>
        <v>1</v>
      </c>
      <c r="AB28" s="1576">
        <f t="shared" si="4"/>
        <v>1</v>
      </c>
      <c r="AC28" s="1576">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43"/>
      <c r="M29" s="2135"/>
      <c r="N29" s="2135"/>
      <c r="O29" s="2142"/>
      <c r="P29" s="3402"/>
      <c r="Q29" s="1572" t="str">
        <f t="shared" si="11"/>
        <v>成新率</v>
      </c>
      <c r="R29" s="1573" t="s">
        <v>8</v>
      </c>
      <c r="S29" s="1574">
        <f t="shared" si="12"/>
        <v>100</v>
      </c>
      <c r="T29" s="1573" t="s">
        <v>8</v>
      </c>
      <c r="U29" s="1574">
        <f t="shared" si="13"/>
        <v>100</v>
      </c>
      <c r="V29" s="1573" t="s">
        <v>8</v>
      </c>
      <c r="W29" s="1574">
        <f t="shared" si="14"/>
        <v>100</v>
      </c>
      <c r="X29" s="1567"/>
      <c r="Y29" s="3402"/>
      <c r="Z29" s="1575" t="str">
        <f t="shared" si="15"/>
        <v>成新率</v>
      </c>
      <c r="AA29" s="1576">
        <f t="shared" si="3"/>
        <v>1</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2"/>
      <c r="Q30" s="1572" t="str">
        <f t="shared" si="11"/>
        <v>物业等级</v>
      </c>
      <c r="R30" s="1573" t="s">
        <v>8</v>
      </c>
      <c r="S30" s="1574">
        <f t="shared" si="12"/>
        <v>100</v>
      </c>
      <c r="T30" s="1573" t="s">
        <v>8</v>
      </c>
      <c r="U30" s="1574">
        <f t="shared" si="13"/>
        <v>100</v>
      </c>
      <c r="V30" s="1573" t="s">
        <v>8</v>
      </c>
      <c r="W30" s="1574">
        <f t="shared" si="14"/>
        <v>100</v>
      </c>
      <c r="X30" s="1567"/>
      <c r="Y30" s="3402"/>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2"/>
      <c r="Q31" s="1151" t="str">
        <f t="shared" si="11"/>
        <v>停车位面积</v>
      </c>
      <c r="R31" s="1568" t="s">
        <v>8</v>
      </c>
      <c r="S31" s="1569" t="e">
        <f t="shared" si="12"/>
        <v>#N/A</v>
      </c>
      <c r="T31" s="1568" t="s">
        <v>8</v>
      </c>
      <c r="U31" s="1569" t="e">
        <f t="shared" si="13"/>
        <v>#N/A</v>
      </c>
      <c r="V31" s="1568" t="s">
        <v>8</v>
      </c>
      <c r="W31" s="1569" t="e">
        <f t="shared" si="14"/>
        <v>#N/A</v>
      </c>
      <c r="X31" s="1570"/>
      <c r="Y31" s="3402"/>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2" t="s">
        <v>550</v>
      </c>
      <c r="Q32" s="1572" t="str">
        <f t="shared" si="11"/>
        <v>车位类型</v>
      </c>
      <c r="R32" s="1573" t="s">
        <v>8</v>
      </c>
      <c r="S32" s="1574">
        <f t="shared" si="12"/>
        <v>100</v>
      </c>
      <c r="T32" s="1573" t="s">
        <v>8</v>
      </c>
      <c r="U32" s="1574">
        <f t="shared" si="13"/>
        <v>100</v>
      </c>
      <c r="V32" s="1573" t="s">
        <v>8</v>
      </c>
      <c r="W32" s="1574">
        <f t="shared" si="14"/>
        <v>100</v>
      </c>
      <c r="X32" s="1567"/>
      <c r="Y32" s="3402"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2"/>
      <c r="Q33" s="1572" t="str">
        <f t="shared" si="11"/>
        <v>是否直接入户</v>
      </c>
      <c r="R33" s="1573" t="s">
        <v>8</v>
      </c>
      <c r="S33" s="1574">
        <f t="shared" si="12"/>
        <v>100</v>
      </c>
      <c r="T33" s="1573" t="s">
        <v>8</v>
      </c>
      <c r="U33" s="1574">
        <f t="shared" si="13"/>
        <v>100</v>
      </c>
      <c r="V33" s="1573" t="s">
        <v>8</v>
      </c>
      <c r="W33" s="1574">
        <f t="shared" si="14"/>
        <v>100</v>
      </c>
      <c r="X33" s="1567"/>
      <c r="Y33" s="340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2"/>
      <c r="Q34" s="1572">
        <f t="shared" si="11"/>
        <v>111</v>
      </c>
      <c r="R34" s="1573" t="s">
        <v>8</v>
      </c>
      <c r="S34" s="1574">
        <f t="shared" si="12"/>
        <v>100</v>
      </c>
      <c r="T34" s="1573" t="s">
        <v>8</v>
      </c>
      <c r="U34" s="1574">
        <f t="shared" si="13"/>
        <v>100</v>
      </c>
      <c r="V34" s="1573" t="s">
        <v>8</v>
      </c>
      <c r="W34" s="1574">
        <f t="shared" si="14"/>
        <v>100</v>
      </c>
      <c r="X34" s="1567"/>
      <c r="Y34" s="340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2"/>
      <c r="Q35" s="1605">
        <f t="shared" si="11"/>
        <v>111</v>
      </c>
      <c r="R35" s="1577" t="s">
        <v>8</v>
      </c>
      <c r="S35" s="1578">
        <f t="shared" si="12"/>
        <v>100</v>
      </c>
      <c r="T35" s="1577" t="s">
        <v>8</v>
      </c>
      <c r="U35" s="1578">
        <f t="shared" si="13"/>
        <v>100</v>
      </c>
      <c r="V35" s="1577" t="s">
        <v>8</v>
      </c>
      <c r="W35" s="1578">
        <f t="shared" si="14"/>
        <v>100</v>
      </c>
      <c r="X35" s="1579"/>
      <c r="Y35" s="340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2"/>
      <c r="Q36" s="1572">
        <f t="shared" si="11"/>
        <v>111</v>
      </c>
      <c r="R36" s="1573" t="s">
        <v>8</v>
      </c>
      <c r="S36" s="1574">
        <f t="shared" si="12"/>
        <v>100</v>
      </c>
      <c r="T36" s="1573" t="s">
        <v>8</v>
      </c>
      <c r="U36" s="1574">
        <f t="shared" si="13"/>
        <v>100</v>
      </c>
      <c r="V36" s="1573" t="s">
        <v>8</v>
      </c>
      <c r="W36" s="1574">
        <f t="shared" si="14"/>
        <v>100</v>
      </c>
      <c r="X36" s="1567"/>
      <c r="Y36" s="3402"/>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397" t="str">
        <f>A37</f>
        <v>成交单价</v>
      </c>
      <c r="Q37" s="3397"/>
      <c r="R37" s="3499">
        <f>E37</f>
        <v>0</v>
      </c>
      <c r="S37" s="3499"/>
      <c r="T37" s="3499">
        <f>G37</f>
        <v>0</v>
      </c>
      <c r="U37" s="3499"/>
      <c r="V37" s="3499">
        <f>I37</f>
        <v>0</v>
      </c>
      <c r="W37" s="3499"/>
      <c r="X37" s="1559"/>
      <c r="Y37" s="1581"/>
      <c r="Z37" s="1559"/>
      <c r="AA37" s="1559"/>
      <c r="AB37" s="1559"/>
      <c r="AC37" s="1559"/>
    </row>
    <row r="38" spans="1:29" ht="15.75" thickBot="1">
      <c r="A38" s="615" t="s">
        <v>2762</v>
      </c>
      <c r="B38" s="888"/>
      <c r="C38" s="2634" t="e">
        <f>R39</f>
        <v>#DIV/0!</v>
      </c>
      <c r="D38" s="2635"/>
      <c r="E38" s="2636" t="e">
        <f>R38</f>
        <v>#DIV/0!</v>
      </c>
      <c r="F38" s="2636"/>
      <c r="G38" s="2634" t="e">
        <f>T38</f>
        <v>#DIV/0!</v>
      </c>
      <c r="H38" s="2635"/>
      <c r="I38" s="2636" t="e">
        <f>V38</f>
        <v>#DIV/0!</v>
      </c>
      <c r="J38" s="2635"/>
      <c r="K38" s="1612"/>
      <c r="L38" s="2145"/>
      <c r="M38" s="2146"/>
      <c r="N38" s="2146"/>
      <c r="O38" s="2146"/>
      <c r="P38" s="3397" t="str">
        <f>A38</f>
        <v>比较价格（元/平方米）</v>
      </c>
      <c r="Q38" s="3397"/>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59"/>
      <c r="Y38" s="1559"/>
      <c r="Z38" s="1559"/>
      <c r="AA38" s="1559"/>
      <c r="AB38" s="1559"/>
      <c r="AC38" s="1559"/>
    </row>
    <row r="39" spans="1:29" ht="15.75" thickBot="1">
      <c r="A39" s="621" t="s">
        <v>2937</v>
      </c>
      <c r="B39" s="622"/>
      <c r="C39" s="2637" t="e">
        <f>R39</f>
        <v>#DIV/0!</v>
      </c>
      <c r="D39" s="2637"/>
      <c r="E39" s="2637"/>
      <c r="F39" s="2637"/>
      <c r="G39" s="2637"/>
      <c r="H39" s="2637"/>
      <c r="I39" s="2637"/>
      <c r="J39" s="2637"/>
      <c r="K39" s="1613"/>
      <c r="L39" s="2145"/>
      <c r="M39" s="2146"/>
      <c r="N39" s="2146"/>
      <c r="O39" s="2146"/>
      <c r="P39" s="3418" t="str">
        <f>A39</f>
        <v>估价对象XX用房的比较价格（楼面单价，元/平方米）</v>
      </c>
      <c r="Q39" s="3419"/>
      <c r="R39" s="3498" t="e">
        <f>IF(F1="售价",ROUND(AVERAGE(R38:V38),0),ROUND(AVERAGE(R38:V38),1))</f>
        <v>#DIV/0!</v>
      </c>
      <c r="S39" s="3498"/>
      <c r="T39" s="3498"/>
      <c r="U39" s="3498"/>
      <c r="V39" s="3498"/>
      <c r="W39" s="3498"/>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车库</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住宅</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3" t="s">
        <v>798</v>
      </c>
      <c r="D4" s="3404"/>
      <c r="E4" s="3427" t="s">
        <v>799</v>
      </c>
      <c r="F4" s="3428"/>
      <c r="G4" s="3403" t="s">
        <v>800</v>
      </c>
      <c r="H4" s="3404"/>
      <c r="I4" s="3403" t="s">
        <v>801</v>
      </c>
      <c r="J4" s="3404"/>
      <c r="K4" s="514" t="s">
        <v>802</v>
      </c>
      <c r="L4" s="2134"/>
      <c r="M4" s="2135"/>
      <c r="N4" s="2135"/>
      <c r="O4" s="2135"/>
      <c r="P4" s="3405" t="s">
        <v>803</v>
      </c>
      <c r="Q4" s="3406"/>
      <c r="R4" s="3391" t="s">
        <v>799</v>
      </c>
      <c r="S4" s="3392"/>
      <c r="T4" s="3391" t="s">
        <v>800</v>
      </c>
      <c r="U4" s="3392"/>
      <c r="V4" s="3411" t="s">
        <v>801</v>
      </c>
      <c r="W4" s="3411"/>
      <c r="X4" s="1567"/>
      <c r="Y4" s="3391" t="s">
        <v>803</v>
      </c>
      <c r="Z4" s="3392"/>
      <c r="AA4" s="3386" t="s">
        <v>799</v>
      </c>
      <c r="AB4" s="3387" t="s">
        <v>800</v>
      </c>
      <c r="AC4" s="3386" t="s">
        <v>801</v>
      </c>
    </row>
    <row r="5" spans="1:29" ht="15">
      <c r="A5" s="515"/>
      <c r="B5" s="516"/>
      <c r="C5" s="3414" t="s">
        <v>2931</v>
      </c>
      <c r="D5" s="3415"/>
      <c r="E5" s="3429" t="s">
        <v>2932</v>
      </c>
      <c r="F5" s="3430"/>
      <c r="G5" s="3414" t="s">
        <v>2933</v>
      </c>
      <c r="H5" s="3415"/>
      <c r="I5" s="3414" t="s">
        <v>2934</v>
      </c>
      <c r="J5" s="3415"/>
      <c r="K5" s="514"/>
      <c r="L5" s="2134"/>
      <c r="M5" s="2135"/>
      <c r="N5" s="2135"/>
      <c r="O5" s="2135"/>
      <c r="P5" s="3407"/>
      <c r="Q5" s="3408"/>
      <c r="R5" s="3393"/>
      <c r="S5" s="3394"/>
      <c r="T5" s="3393"/>
      <c r="U5" s="3394"/>
      <c r="V5" s="3411"/>
      <c r="W5" s="3411"/>
      <c r="X5" s="1567"/>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7"/>
      <c r="Y6" s="3395"/>
      <c r="Z6" s="3396"/>
      <c r="AA6" s="3388"/>
      <c r="AB6" s="3388"/>
      <c r="AC6" s="3388"/>
    </row>
    <row r="7" spans="1:29" s="1220" customFormat="1" ht="15.75" thickBot="1">
      <c r="A7" s="2912"/>
      <c r="B7" s="2919" t="s">
        <v>529</v>
      </c>
      <c r="C7" s="519">
        <f>'数据-取费表'!B2</f>
        <v>43402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9" t="s">
        <v>530</v>
      </c>
      <c r="Q7" s="3398"/>
      <c r="R7" s="1568" t="s">
        <v>8</v>
      </c>
      <c r="S7" s="1569">
        <f t="shared" ref="S7:S14" si="0">F7</f>
        <v>0</v>
      </c>
      <c r="T7" s="1568" t="s">
        <v>8</v>
      </c>
      <c r="U7" s="1569">
        <f t="shared" ref="U7:U14" si="1">H7</f>
        <v>0</v>
      </c>
      <c r="V7" s="1568" t="s">
        <v>8</v>
      </c>
      <c r="W7" s="1569">
        <f t="shared" ref="W7:W14" si="2">J7</f>
        <v>0</v>
      </c>
      <c r="X7" s="1570"/>
      <c r="Y7" s="3389" t="s">
        <v>530</v>
      </c>
      <c r="Z7" s="3390"/>
      <c r="AA7" s="1571" t="e">
        <f>D7/F7</f>
        <v>#DIV/0!</v>
      </c>
      <c r="AB7" s="1571" t="e">
        <f>D7/H7</f>
        <v>#DIV/0!</v>
      </c>
      <c r="AC7" s="1571"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9" t="s">
        <v>533</v>
      </c>
      <c r="Q8" s="3390"/>
      <c r="R8" s="1568" t="s">
        <v>8</v>
      </c>
      <c r="S8" s="1569">
        <f t="shared" si="0"/>
        <v>0</v>
      </c>
      <c r="T8" s="1568" t="s">
        <v>8</v>
      </c>
      <c r="U8" s="1569">
        <f t="shared" si="1"/>
        <v>0</v>
      </c>
      <c r="V8" s="1568" t="s">
        <v>8</v>
      </c>
      <c r="W8" s="1569">
        <f t="shared" si="2"/>
        <v>0</v>
      </c>
      <c r="X8" s="1570"/>
      <c r="Y8" s="3389" t="s">
        <v>533</v>
      </c>
      <c r="Z8" s="3390"/>
      <c r="AA8" s="1571" t="e">
        <f t="shared" ref="AA8:AA34" si="3">D8/F8</f>
        <v>#DIV/0!</v>
      </c>
      <c r="AB8" s="1571" t="e">
        <f t="shared" ref="AB8:AB34" si="4">D8/H8</f>
        <v>#DIV/0!</v>
      </c>
      <c r="AC8" s="1571"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7" t="s">
        <v>535</v>
      </c>
      <c r="Q9" s="1151" t="str">
        <f t="shared" ref="Q9:Q14" si="6">B9</f>
        <v>用途</v>
      </c>
      <c r="R9" s="1568" t="s">
        <v>8</v>
      </c>
      <c r="S9" s="1569">
        <f t="shared" si="0"/>
        <v>100</v>
      </c>
      <c r="T9" s="1568" t="s">
        <v>8</v>
      </c>
      <c r="U9" s="1569">
        <f t="shared" si="1"/>
        <v>100</v>
      </c>
      <c r="V9" s="1568" t="s">
        <v>8</v>
      </c>
      <c r="W9" s="1569">
        <f t="shared" si="2"/>
        <v>100</v>
      </c>
      <c r="X9" s="1570"/>
      <c r="Y9" s="3354" t="s">
        <v>536</v>
      </c>
      <c r="Z9" s="1150" t="str">
        <f t="shared" ref="Z9:Z14" si="7">Q9</f>
        <v>用途</v>
      </c>
      <c r="AA9" s="1571">
        <f t="shared" si="3"/>
        <v>1</v>
      </c>
      <c r="AB9" s="1571">
        <f t="shared" si="4"/>
        <v>1</v>
      </c>
      <c r="AC9" s="1571">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7"/>
      <c r="Q10" s="1151" t="str">
        <f t="shared" si="6"/>
        <v>土地使用年限（年）</v>
      </c>
      <c r="R10" s="1568" t="s">
        <v>8</v>
      </c>
      <c r="S10" s="1569">
        <f t="shared" si="0"/>
        <v>100</v>
      </c>
      <c r="T10" s="1568" t="s">
        <v>8</v>
      </c>
      <c r="U10" s="1569">
        <f t="shared" si="1"/>
        <v>100</v>
      </c>
      <c r="V10" s="1568" t="s">
        <v>8</v>
      </c>
      <c r="W10" s="1569">
        <f t="shared" si="2"/>
        <v>100</v>
      </c>
      <c r="X10" s="1570"/>
      <c r="Y10" s="3354"/>
      <c r="Z10" s="1150" t="str">
        <f t="shared" si="7"/>
        <v>土地使用年限（年）</v>
      </c>
      <c r="AA10" s="1571">
        <f t="shared" si="3"/>
        <v>1</v>
      </c>
      <c r="AB10" s="1571">
        <f t="shared" si="4"/>
        <v>1</v>
      </c>
      <c r="AC10" s="1571">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7"/>
      <c r="Q11" s="1151">
        <f t="shared" si="6"/>
        <v>111</v>
      </c>
      <c r="R11" s="1568" t="s">
        <v>8</v>
      </c>
      <c r="S11" s="1569">
        <f t="shared" si="0"/>
        <v>100</v>
      </c>
      <c r="T11" s="1568" t="s">
        <v>8</v>
      </c>
      <c r="U11" s="1569">
        <f t="shared" si="1"/>
        <v>100</v>
      </c>
      <c r="V11" s="1568" t="s">
        <v>8</v>
      </c>
      <c r="W11" s="1569">
        <f t="shared" si="2"/>
        <v>100</v>
      </c>
      <c r="X11" s="1570"/>
      <c r="Y11" s="3354"/>
      <c r="Z11" s="1150">
        <f t="shared" si="7"/>
        <v>111</v>
      </c>
      <c r="AA11" s="1571">
        <f t="shared" si="3"/>
        <v>1</v>
      </c>
      <c r="AB11" s="1571">
        <f t="shared" si="4"/>
        <v>1</v>
      </c>
      <c r="AC11" s="1571">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7"/>
      <c r="Q12" s="1151">
        <f t="shared" si="6"/>
        <v>111</v>
      </c>
      <c r="R12" s="1568" t="s">
        <v>8</v>
      </c>
      <c r="S12" s="1569">
        <f t="shared" si="0"/>
        <v>100</v>
      </c>
      <c r="T12" s="1568" t="s">
        <v>8</v>
      </c>
      <c r="U12" s="1569">
        <f t="shared" si="1"/>
        <v>100</v>
      </c>
      <c r="V12" s="1568" t="s">
        <v>8</v>
      </c>
      <c r="W12" s="1569">
        <f t="shared" si="2"/>
        <v>100</v>
      </c>
      <c r="X12" s="1570"/>
      <c r="Y12" s="3354"/>
      <c r="Z12" s="1150">
        <f t="shared" si="7"/>
        <v>111</v>
      </c>
      <c r="AA12" s="1571">
        <f>D12/F12</f>
        <v>1</v>
      </c>
      <c r="AB12" s="1571">
        <f>D12/H12</f>
        <v>1</v>
      </c>
      <c r="AC12" s="1571">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7"/>
      <c r="Q13" s="1151">
        <f t="shared" si="6"/>
        <v>111</v>
      </c>
      <c r="R13" s="1568" t="s">
        <v>8</v>
      </c>
      <c r="S13" s="1569">
        <f t="shared" si="0"/>
        <v>100</v>
      </c>
      <c r="T13" s="1568" t="s">
        <v>8</v>
      </c>
      <c r="U13" s="1569">
        <f t="shared" si="1"/>
        <v>100</v>
      </c>
      <c r="V13" s="1568" t="s">
        <v>8</v>
      </c>
      <c r="W13" s="1569">
        <f t="shared" si="2"/>
        <v>100</v>
      </c>
      <c r="X13" s="1570"/>
      <c r="Y13" s="3354"/>
      <c r="Z13" s="1150">
        <f t="shared" si="7"/>
        <v>111</v>
      </c>
      <c r="AA13" s="1571">
        <f t="shared" si="3"/>
        <v>1</v>
      </c>
      <c r="AB13" s="1571">
        <f t="shared" si="4"/>
        <v>1</v>
      </c>
      <c r="AC13" s="1571">
        <f t="shared" si="5"/>
        <v>1</v>
      </c>
    </row>
    <row r="14" spans="1:29" ht="142.5">
      <c r="A14" s="2910" t="s">
        <v>2756</v>
      </c>
      <c r="B14" s="166" t="s">
        <v>543</v>
      </c>
      <c r="C14" s="921" t="str">
        <f>IF(B1="工业",估价对象房地状况!G4,估价对象房地状况!C6)</f>
        <v>估价对象临中央大道，有山深线等道路、公共交通通达情况较好，有156路、710路等公交线路、停车便捷程度较好，综合评价交通便捷度较好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9" t="s">
        <v>540</v>
      </c>
      <c r="Q14" s="1572" t="str">
        <f t="shared" si="6"/>
        <v>交通便捷度</v>
      </c>
      <c r="R14" s="1573" t="s">
        <v>8</v>
      </c>
      <c r="S14" s="1574">
        <f t="shared" si="0"/>
        <v>100</v>
      </c>
      <c r="T14" s="1573" t="s">
        <v>8</v>
      </c>
      <c r="U14" s="1574">
        <f t="shared" si="1"/>
        <v>100</v>
      </c>
      <c r="V14" s="1573" t="s">
        <v>8</v>
      </c>
      <c r="W14" s="1574">
        <f t="shared" si="2"/>
        <v>100</v>
      </c>
      <c r="X14" s="1567"/>
      <c r="Y14" s="339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00"/>
      <c r="Q15" s="1572"/>
      <c r="R15" s="1573"/>
      <c r="S15" s="1574"/>
      <c r="T15" s="1573"/>
      <c r="U15" s="1574"/>
      <c r="V15" s="1573"/>
      <c r="W15" s="1574"/>
      <c r="X15" s="1567"/>
      <c r="Y15" s="3400"/>
      <c r="Z15" s="1575"/>
      <c r="AA15" s="1576">
        <v>1</v>
      </c>
      <c r="AB15" s="1576">
        <v>1</v>
      </c>
      <c r="AC15" s="1576">
        <v>1</v>
      </c>
    </row>
    <row r="16" spans="1:29" ht="42.75">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0"/>
      <c r="Q16" s="1572" t="str">
        <f>B16</f>
        <v>公共配套设施</v>
      </c>
      <c r="R16" s="1573" t="s">
        <v>8</v>
      </c>
      <c r="S16" s="1574">
        <f>F16</f>
        <v>100</v>
      </c>
      <c r="T16" s="1573" t="s">
        <v>8</v>
      </c>
      <c r="U16" s="1574">
        <f>H16</f>
        <v>100</v>
      </c>
      <c r="V16" s="1573" t="s">
        <v>8</v>
      </c>
      <c r="W16" s="1574">
        <f>J16</f>
        <v>100</v>
      </c>
      <c r="X16" s="1567"/>
      <c r="Y16" s="340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00"/>
      <c r="Q17" s="1572"/>
      <c r="R17" s="1573"/>
      <c r="S17" s="1574"/>
      <c r="T17" s="1573"/>
      <c r="U17" s="1574"/>
      <c r="V17" s="1573"/>
      <c r="W17" s="1574"/>
      <c r="X17" s="1567"/>
      <c r="Y17" s="3400"/>
      <c r="Z17" s="1575"/>
      <c r="AA17" s="1576">
        <v>1</v>
      </c>
      <c r="AB17" s="1576">
        <v>1</v>
      </c>
      <c r="AC17" s="1576">
        <v>1</v>
      </c>
    </row>
    <row r="18" spans="1:29" ht="28.5">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0"/>
      <c r="Q18" s="2580" t="str">
        <f>B18</f>
        <v>基础设施水平</v>
      </c>
      <c r="R18" s="1573" t="s">
        <v>8</v>
      </c>
      <c r="S18" s="1574">
        <f>F18</f>
        <v>100</v>
      </c>
      <c r="T18" s="1573" t="s">
        <v>8</v>
      </c>
      <c r="U18" s="1574">
        <f>H18</f>
        <v>100</v>
      </c>
      <c r="V18" s="1573" t="s">
        <v>8</v>
      </c>
      <c r="W18" s="1574">
        <f>J18</f>
        <v>100</v>
      </c>
      <c r="X18" s="2582"/>
      <c r="Y18" s="3400"/>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00"/>
      <c r="Q19" s="2580"/>
      <c r="R19" s="1573"/>
      <c r="S19" s="1574"/>
      <c r="T19" s="1573"/>
      <c r="U19" s="1574"/>
      <c r="V19" s="1573"/>
      <c r="W19" s="1574"/>
      <c r="X19" s="2582"/>
      <c r="Y19" s="3400"/>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0"/>
      <c r="Q20" s="1572" t="str">
        <f>B20</f>
        <v>自然及人文环境</v>
      </c>
      <c r="R20" s="1573" t="s">
        <v>8</v>
      </c>
      <c r="S20" s="1574">
        <f>F20</f>
        <v>100</v>
      </c>
      <c r="T20" s="1573" t="s">
        <v>8</v>
      </c>
      <c r="U20" s="1574">
        <f>H20</f>
        <v>100</v>
      </c>
      <c r="V20" s="1573" t="s">
        <v>8</v>
      </c>
      <c r="W20" s="1574">
        <f>J20</f>
        <v>100</v>
      </c>
      <c r="X20" s="1567"/>
      <c r="Y20" s="340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00"/>
      <c r="Q21" s="1572"/>
      <c r="R21" s="1573"/>
      <c r="S21" s="1574"/>
      <c r="T21" s="1573"/>
      <c r="U21" s="1574"/>
      <c r="V21" s="1573"/>
      <c r="W21" s="1574"/>
      <c r="X21" s="1567"/>
      <c r="Y21" s="340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0"/>
      <c r="Q22" s="1572" t="str">
        <f>B22</f>
        <v>楼层</v>
      </c>
      <c r="R22" s="1573" t="s">
        <v>8</v>
      </c>
      <c r="S22" s="1574">
        <f>F22</f>
        <v>100</v>
      </c>
      <c r="T22" s="1573" t="s">
        <v>8</v>
      </c>
      <c r="U22" s="1574">
        <f>H22</f>
        <v>100</v>
      </c>
      <c r="V22" s="1573" t="s">
        <v>8</v>
      </c>
      <c r="W22" s="1574">
        <f>J22</f>
        <v>100</v>
      </c>
      <c r="X22" s="1567"/>
      <c r="Y22" s="340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0"/>
      <c r="Q23" s="1572">
        <f>B23</f>
        <v>111</v>
      </c>
      <c r="R23" s="1573" t="s">
        <v>8</v>
      </c>
      <c r="S23" s="1574">
        <f>F23</f>
        <v>100</v>
      </c>
      <c r="T23" s="1573" t="s">
        <v>8</v>
      </c>
      <c r="U23" s="1574">
        <f>H23</f>
        <v>100</v>
      </c>
      <c r="V23" s="1573" t="s">
        <v>8</v>
      </c>
      <c r="W23" s="1574">
        <f>J23</f>
        <v>100</v>
      </c>
      <c r="X23" s="1567"/>
      <c r="Y23" s="340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0"/>
      <c r="Q24" s="1572">
        <f t="shared" ref="Q24:Q34" si="11">B24</f>
        <v>111</v>
      </c>
      <c r="R24" s="1573" t="s">
        <v>8</v>
      </c>
      <c r="S24" s="1574">
        <f>F24</f>
        <v>100</v>
      </c>
      <c r="T24" s="1573" t="s">
        <v>8</v>
      </c>
      <c r="U24" s="1574">
        <f>H24</f>
        <v>100</v>
      </c>
      <c r="V24" s="1573" t="s">
        <v>8</v>
      </c>
      <c r="W24" s="1574">
        <f>J24</f>
        <v>100</v>
      </c>
      <c r="X24" s="1567"/>
      <c r="Y24" s="340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0"/>
      <c r="Q25" s="1151">
        <f t="shared" si="11"/>
        <v>111</v>
      </c>
      <c r="R25" s="1568" t="s">
        <v>8</v>
      </c>
      <c r="S25" s="1569">
        <f>F25</f>
        <v>100</v>
      </c>
      <c r="T25" s="1568" t="s">
        <v>8</v>
      </c>
      <c r="U25" s="1569">
        <f>H25</f>
        <v>100</v>
      </c>
      <c r="V25" s="1568" t="s">
        <v>8</v>
      </c>
      <c r="W25" s="1569">
        <f>J25</f>
        <v>100</v>
      </c>
      <c r="X25" s="1570"/>
      <c r="Y25" s="3400"/>
      <c r="Z25" s="1150">
        <f>Q25</f>
        <v>111</v>
      </c>
      <c r="AA25" s="1576">
        <f>D25/F25</f>
        <v>1</v>
      </c>
      <c r="AB25" s="1576">
        <f>D25/H25</f>
        <v>1</v>
      </c>
      <c r="AC25" s="1576">
        <f>D25/J25</f>
        <v>1</v>
      </c>
    </row>
    <row r="26" spans="1:29" ht="15">
      <c r="A26" s="2908"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2"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2"/>
      <c r="Q27" s="1605" t="str">
        <f t="shared" si="11"/>
        <v>成新率</v>
      </c>
      <c r="R27" s="1577" t="s">
        <v>8</v>
      </c>
      <c r="S27" s="1578" t="e">
        <f t="shared" si="12"/>
        <v>#N/A</v>
      </c>
      <c r="T27" s="1577" t="s">
        <v>8</v>
      </c>
      <c r="U27" s="1578" t="e">
        <f t="shared" si="13"/>
        <v>#N/A</v>
      </c>
      <c r="V27" s="1577" t="s">
        <v>8</v>
      </c>
      <c r="W27" s="1578" t="e">
        <f t="shared" si="14"/>
        <v>#N/A</v>
      </c>
      <c r="X27" s="1579"/>
      <c r="Y27" s="340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2"/>
      <c r="Q28" s="1572" t="str">
        <f t="shared" si="11"/>
        <v>物业等级</v>
      </c>
      <c r="R28" s="1573" t="s">
        <v>8</v>
      </c>
      <c r="S28" s="1574">
        <f t="shared" si="12"/>
        <v>100</v>
      </c>
      <c r="T28" s="1573" t="s">
        <v>8</v>
      </c>
      <c r="U28" s="1574">
        <f t="shared" si="13"/>
        <v>100</v>
      </c>
      <c r="V28" s="1573" t="s">
        <v>8</v>
      </c>
      <c r="W28" s="1574">
        <f t="shared" si="14"/>
        <v>100</v>
      </c>
      <c r="X28" s="1567"/>
      <c r="Y28" s="3402"/>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2"/>
      <c r="Q29" s="1572" t="str">
        <f t="shared" si="11"/>
        <v>有无电梯</v>
      </c>
      <c r="R29" s="1573" t="s">
        <v>8</v>
      </c>
      <c r="S29" s="1574">
        <f t="shared" si="12"/>
        <v>100</v>
      </c>
      <c r="T29" s="1573" t="s">
        <v>8</v>
      </c>
      <c r="U29" s="1574">
        <f t="shared" si="13"/>
        <v>100</v>
      </c>
      <c r="V29" s="1573" t="s">
        <v>8</v>
      </c>
      <c r="W29" s="1574">
        <f t="shared" si="14"/>
        <v>100</v>
      </c>
      <c r="X29" s="1567"/>
      <c r="Y29" s="3402"/>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2"/>
      <c r="Q30" s="1572" t="str">
        <f t="shared" si="11"/>
        <v>建筑面积</v>
      </c>
      <c r="R30" s="1573" t="s">
        <v>8</v>
      </c>
      <c r="S30" s="1574" t="e">
        <f t="shared" si="12"/>
        <v>#N/A</v>
      </c>
      <c r="T30" s="1573" t="s">
        <v>8</v>
      </c>
      <c r="U30" s="1574" t="e">
        <f t="shared" si="13"/>
        <v>#N/A</v>
      </c>
      <c r="V30" s="1573" t="s">
        <v>8</v>
      </c>
      <c r="W30" s="1574" t="e">
        <f t="shared" si="14"/>
        <v>#N/A</v>
      </c>
      <c r="X30" s="1567"/>
      <c r="Y30" s="3402"/>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2"/>
      <c r="Q31" s="1151" t="str">
        <f t="shared" si="11"/>
        <v>是否封闭</v>
      </c>
      <c r="R31" s="1568" t="s">
        <v>8</v>
      </c>
      <c r="S31" s="1569">
        <f t="shared" si="12"/>
        <v>100</v>
      </c>
      <c r="T31" s="1568" t="s">
        <v>8</v>
      </c>
      <c r="U31" s="1569">
        <f t="shared" si="13"/>
        <v>100</v>
      </c>
      <c r="V31" s="1568" t="s">
        <v>8</v>
      </c>
      <c r="W31" s="1569">
        <f t="shared" si="14"/>
        <v>100</v>
      </c>
      <c r="X31" s="1570"/>
      <c r="Y31" s="340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2" t="s">
        <v>550</v>
      </c>
      <c r="Q32" s="1572">
        <f t="shared" si="11"/>
        <v>111</v>
      </c>
      <c r="R32" s="1573" t="s">
        <v>8</v>
      </c>
      <c r="S32" s="1574">
        <f t="shared" si="12"/>
        <v>100</v>
      </c>
      <c r="T32" s="1573" t="s">
        <v>8</v>
      </c>
      <c r="U32" s="1574">
        <f t="shared" si="13"/>
        <v>100</v>
      </c>
      <c r="V32" s="1573" t="s">
        <v>8</v>
      </c>
      <c r="W32" s="1574">
        <f t="shared" si="14"/>
        <v>100</v>
      </c>
      <c r="X32" s="1567"/>
      <c r="Y32" s="3402"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2"/>
      <c r="Q33" s="1572">
        <f t="shared" si="11"/>
        <v>111</v>
      </c>
      <c r="R33" s="1573" t="s">
        <v>8</v>
      </c>
      <c r="S33" s="1574">
        <f t="shared" si="12"/>
        <v>100</v>
      </c>
      <c r="T33" s="1573" t="s">
        <v>8</v>
      </c>
      <c r="U33" s="1574">
        <f t="shared" si="13"/>
        <v>100</v>
      </c>
      <c r="V33" s="1573" t="s">
        <v>8</v>
      </c>
      <c r="W33" s="1574">
        <f t="shared" si="14"/>
        <v>100</v>
      </c>
      <c r="X33" s="1567"/>
      <c r="Y33" s="340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2"/>
      <c r="Q34" s="1572">
        <f t="shared" si="11"/>
        <v>111</v>
      </c>
      <c r="R34" s="1573" t="s">
        <v>8</v>
      </c>
      <c r="S34" s="1574">
        <f t="shared" si="12"/>
        <v>100</v>
      </c>
      <c r="T34" s="1573" t="s">
        <v>8</v>
      </c>
      <c r="U34" s="1574">
        <f t="shared" si="13"/>
        <v>100</v>
      </c>
      <c r="V34" s="1573" t="s">
        <v>8</v>
      </c>
      <c r="W34" s="1574">
        <f t="shared" si="14"/>
        <v>100</v>
      </c>
      <c r="X34" s="1567"/>
      <c r="Y34" s="3402"/>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397" t="str">
        <f>A35</f>
        <v>成交单价（元/平方米）</v>
      </c>
      <c r="Q35" s="3397"/>
      <c r="R35" s="3499">
        <f>E35</f>
        <v>0</v>
      </c>
      <c r="S35" s="3499"/>
      <c r="T35" s="3499">
        <f>G35</f>
        <v>0</v>
      </c>
      <c r="U35" s="3499"/>
      <c r="V35" s="3499">
        <f>I35</f>
        <v>0</v>
      </c>
      <c r="W35" s="3499"/>
      <c r="X35" s="1559"/>
      <c r="Y35" s="1581"/>
      <c r="Z35" s="1559"/>
      <c r="AA35" s="1559"/>
      <c r="AB35" s="1559"/>
      <c r="AC35" s="1559"/>
    </row>
    <row r="36" spans="1:29" ht="15.75" thickBot="1">
      <c r="A36" s="615" t="s">
        <v>2762</v>
      </c>
      <c r="B36" s="888"/>
      <c r="C36" s="2634" t="e">
        <f>R37</f>
        <v>#DIV/0!</v>
      </c>
      <c r="D36" s="2635"/>
      <c r="E36" s="2636" t="e">
        <f>R36</f>
        <v>#DIV/0!</v>
      </c>
      <c r="F36" s="2636"/>
      <c r="G36" s="2634" t="e">
        <f>T36</f>
        <v>#DIV/0!</v>
      </c>
      <c r="H36" s="2635"/>
      <c r="I36" s="2636" t="e">
        <f>V36</f>
        <v>#DIV/0!</v>
      </c>
      <c r="J36" s="2635"/>
      <c r="K36" s="1612"/>
      <c r="L36" s="2145"/>
      <c r="M36" s="2146"/>
      <c r="N36" s="2135"/>
      <c r="O36" s="2146"/>
      <c r="P36" s="3397" t="str">
        <f>A36</f>
        <v>比较价格（元/平方米）</v>
      </c>
      <c r="Q36" s="3397"/>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59"/>
      <c r="Y36" s="1559"/>
      <c r="Z36" s="1559"/>
      <c r="AA36" s="1559"/>
      <c r="AB36" s="1559"/>
      <c r="AC36" s="1559"/>
    </row>
    <row r="37" spans="1:29" ht="15.75" thickBot="1">
      <c r="A37" s="621" t="s">
        <v>2937</v>
      </c>
      <c r="B37" s="622"/>
      <c r="C37" s="2637" t="e">
        <f>R37</f>
        <v>#DIV/0!</v>
      </c>
      <c r="D37" s="2637"/>
      <c r="E37" s="2637"/>
      <c r="F37" s="2637"/>
      <c r="G37" s="2637"/>
      <c r="H37" s="2637"/>
      <c r="I37" s="2637"/>
      <c r="J37" s="2637"/>
      <c r="K37" s="1613"/>
      <c r="L37" s="2145"/>
      <c r="M37" s="2146"/>
      <c r="N37" s="2146"/>
      <c r="O37" s="2146"/>
      <c r="P37" s="3418" t="str">
        <f>A37</f>
        <v>估价对象XX用房的比较价格（楼面单价，元/平方米）</v>
      </c>
      <c r="Q37" s="3419"/>
      <c r="R37" s="3498" t="e">
        <f>IF(F1="售价",ROUND(AVERAGE(R36:V36),0),ROUND(AVERAGE(R36:V36),1))</f>
        <v>#DIV/0!</v>
      </c>
      <c r="S37" s="3498"/>
      <c r="T37" s="3498"/>
      <c r="U37" s="3498"/>
      <c r="V37" s="3498"/>
      <c r="W37" s="3498"/>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93.75">
      <c r="A7" s="2874" t="s">
        <v>2750</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2018年10月29日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2751</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10" t="s">
        <v>2307</v>
      </c>
      <c r="D1" s="3511"/>
      <c r="E1" s="3511"/>
      <c r="F1" s="3511"/>
      <c r="G1" s="3511"/>
      <c r="H1" s="3511"/>
      <c r="I1" s="3511"/>
      <c r="J1" s="3511"/>
      <c r="K1" s="3511"/>
      <c r="L1" s="3511"/>
      <c r="M1" s="3511"/>
      <c r="N1" s="3511"/>
      <c r="O1" s="3511"/>
      <c r="P1" s="3511"/>
      <c r="Q1" s="3511"/>
      <c r="R1" s="3511"/>
      <c r="S1" s="3512"/>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7" t="s">
        <v>20</v>
      </c>
      <c r="D22" s="3508"/>
      <c r="E22" s="3508"/>
      <c r="F22" s="3508"/>
      <c r="G22" s="3508"/>
      <c r="H22" s="3508"/>
      <c r="I22" s="3508"/>
      <c r="J22" s="3508"/>
      <c r="K22" s="3508"/>
      <c r="L22" s="3508"/>
      <c r="M22" s="3508"/>
      <c r="N22" s="3508"/>
      <c r="O22" s="3508"/>
      <c r="P22" s="3508"/>
      <c r="Q22" s="3509"/>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43402</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4" sqref="F4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5" t="s">
        <v>3135</v>
      </c>
      <c r="E1" s="2388" t="s">
        <v>2377</v>
      </c>
      <c r="F1" s="2389">
        <f ca="1">J53</f>
        <v>41.86</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13011</v>
      </c>
      <c r="C2" s="2058"/>
      <c r="D2" s="2056"/>
      <c r="E2" s="2057"/>
      <c r="F2" s="2057"/>
      <c r="G2" s="1590"/>
      <c r="H2" s="2058"/>
      <c r="I2" s="2058"/>
      <c r="J2" s="2058"/>
      <c r="K2" s="2059"/>
      <c r="L2" s="2058"/>
      <c r="M2" s="2058"/>
    </row>
    <row r="3" spans="1:33" ht="18" customHeight="1" thickBot="1">
      <c r="A3" s="833" t="s">
        <v>1728</v>
      </c>
      <c r="B3" s="834">
        <f ca="1">IF(ISERROR(B2*10000/F43),0,ROUND(B2*10000/F43,0))</f>
        <v>3560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2460</v>
      </c>
      <c r="C5" s="55">
        <f ca="1">C6+C10+C12</f>
        <v>840</v>
      </c>
      <c r="D5" s="2497" t="s">
        <v>2463</v>
      </c>
      <c r="E5" s="2491"/>
      <c r="F5" s="2492"/>
      <c r="G5" s="1592"/>
      <c r="H5" s="781">
        <v>1</v>
      </c>
      <c r="I5" s="782" t="s">
        <v>2460</v>
      </c>
      <c r="J5" s="55">
        <f ca="1">J6+J10+J12</f>
        <v>0</v>
      </c>
      <c r="K5" s="2497" t="s">
        <v>2463</v>
      </c>
      <c r="L5" s="2491"/>
      <c r="M5" s="2492"/>
    </row>
    <row r="6" spans="1:33" ht="18" customHeight="1">
      <c r="A6" s="1831" t="s">
        <v>1825</v>
      </c>
      <c r="B6" s="3457" t="s">
        <v>2465</v>
      </c>
      <c r="C6" s="783">
        <f ca="1">ROUND(F6*F8*F7*(1-F9)/10000,0)</f>
        <v>840</v>
      </c>
      <c r="D6" s="2498" t="s">
        <v>2464</v>
      </c>
      <c r="E6" s="784" t="s">
        <v>1739</v>
      </c>
      <c r="F6" s="785">
        <f ca="1">INDIRECT("'数据-取费表'!u"&amp;$G$1)</f>
        <v>0.7</v>
      </c>
      <c r="G6" s="1592"/>
      <c r="H6" s="2505" t="s">
        <v>2470</v>
      </c>
      <c r="I6" s="3457" t="s">
        <v>2465</v>
      </c>
      <c r="J6" s="783">
        <f ca="1">ROUND(M6*M8*M7*(1-M9)/10000,0)</f>
        <v>0</v>
      </c>
      <c r="K6" s="341" t="s">
        <v>1738</v>
      </c>
      <c r="L6" s="784" t="s">
        <v>1739</v>
      </c>
      <c r="M6" s="785">
        <f ca="1">INDIRECT("'数据-取费表'!z"&amp;$G$1)</f>
        <v>0</v>
      </c>
    </row>
    <row r="7" spans="1:33" ht="18" customHeight="1">
      <c r="A7" s="2501"/>
      <c r="B7" s="3458"/>
      <c r="C7" s="788"/>
      <c r="D7" s="789"/>
      <c r="E7" s="784" t="s">
        <v>1740</v>
      </c>
      <c r="F7" s="785">
        <f ca="1">IF(INDIRECT("'数据-取费表'!ah"&amp;$G$1)="",INDIRECT("'数据-取费表'!k"&amp;$G$1),INDIRECT("'数据-取费表'!ah"&amp;$G$1))</f>
        <v>36548.259999999995</v>
      </c>
      <c r="G7" s="1592"/>
      <c r="H7" s="2490"/>
      <c r="I7" s="3458"/>
      <c r="J7" s="788"/>
      <c r="K7" s="789"/>
      <c r="L7" s="784" t="s">
        <v>1740</v>
      </c>
      <c r="M7" s="785">
        <f ca="1">F7</f>
        <v>36548.259999999995</v>
      </c>
    </row>
    <row r="8" spans="1:33" ht="18" customHeight="1">
      <c r="A8" s="2494"/>
      <c r="B8" s="3459"/>
      <c r="C8" s="788"/>
      <c r="D8" s="789"/>
      <c r="E8" s="784" t="s">
        <v>1741</v>
      </c>
      <c r="F8" s="785">
        <f ca="1">INDIRECT("'数据-取费表'!ai"&amp;$G$1)</f>
        <v>365</v>
      </c>
      <c r="G8" s="1592"/>
      <c r="H8" s="2490"/>
      <c r="I8" s="3459"/>
      <c r="J8" s="788"/>
      <c r="K8" s="789"/>
      <c r="L8" s="784" t="s">
        <v>1741</v>
      </c>
      <c r="M8" s="785">
        <f ca="1">INDIRECT("'数据-取费表'!ai"&amp;$G$1)</f>
        <v>365</v>
      </c>
    </row>
    <row r="9" spans="1:33" ht="18" customHeight="1">
      <c r="A9" s="786"/>
      <c r="B9" s="3460"/>
      <c r="C9" s="788"/>
      <c r="D9" s="789"/>
      <c r="E9" s="784" t="s">
        <v>1742</v>
      </c>
      <c r="F9" s="794">
        <f ca="1">INDIRECT("'数据-取费表'!w"&amp;$G$1)</f>
        <v>0.1</v>
      </c>
      <c r="G9" s="1592"/>
      <c r="H9" s="2506"/>
      <c r="I9" s="3459"/>
      <c r="J9" s="788"/>
      <c r="K9" s="789"/>
      <c r="L9" s="795" t="s">
        <v>1742</v>
      </c>
      <c r="M9" s="796">
        <f ca="1">INDIRECT("'数据-取费表'!ab"&amp;$G$1)</f>
        <v>0</v>
      </c>
    </row>
    <row r="10" spans="1:33" ht="18" customHeight="1">
      <c r="A10" s="1831" t="s">
        <v>2468</v>
      </c>
      <c r="B10" s="2495" t="s">
        <v>2461</v>
      </c>
      <c r="C10" s="799">
        <f ca="1">ROUND(IF(F10="押一",C6/12*F11,IF(F10="押二",C6/12*2*F11,IF(F10="押三",C6/12*3*F11,C11*F11))),0)</f>
        <v>0</v>
      </c>
      <c r="D10" s="2502" t="s">
        <v>2978</v>
      </c>
      <c r="E10" s="2499" t="s">
        <v>2466</v>
      </c>
      <c r="F10" s="2622" t="s">
        <v>3137</v>
      </c>
      <c r="G10" s="1592"/>
      <c r="H10" s="2562" t="s">
        <v>2471</v>
      </c>
      <c r="I10" s="2567" t="s">
        <v>2461</v>
      </c>
      <c r="J10" s="783">
        <f ca="1">ROUND(IF(M10="押一",J6/12*M11,IF(M10="押二",J6/12*2*M11,IF(M10="押三",J6/12*3*M11,J11*M11))),0)</f>
        <v>0</v>
      </c>
      <c r="K10" s="2502" t="s">
        <v>2978</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1743</v>
      </c>
      <c r="C13" s="792">
        <f ca="1">ROUND(C29*F13,0)</f>
        <v>10633</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7310</v>
      </c>
      <c r="D14" s="1980" t="s">
        <v>1746</v>
      </c>
      <c r="E14" s="1981"/>
      <c r="F14" s="805"/>
      <c r="G14" s="1592"/>
      <c r="H14" s="1649" t="s">
        <v>1831</v>
      </c>
      <c r="I14" s="2232" t="s">
        <v>2828</v>
      </c>
      <c r="J14" s="53">
        <f ca="1">C29</f>
        <v>10633</v>
      </c>
      <c r="K14" s="26"/>
      <c r="L14" s="801"/>
      <c r="M14" s="802"/>
    </row>
    <row r="15" spans="1:33" s="2065" customFormat="1" ht="18" customHeight="1" thickBot="1">
      <c r="A15" s="1648" t="s">
        <v>1886</v>
      </c>
      <c r="B15" s="784" t="s">
        <v>647</v>
      </c>
      <c r="C15" s="53">
        <f ca="1">ROUND(C14*F15,0)</f>
        <v>366</v>
      </c>
      <c r="D15" s="806" t="s">
        <v>1747</v>
      </c>
      <c r="E15" s="806" t="s">
        <v>1748</v>
      </c>
      <c r="F15" s="807">
        <f>'数据-取费表'!B33</f>
        <v>0.05</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250</v>
      </c>
      <c r="K16" s="1822" t="s">
        <v>1751</v>
      </c>
      <c r="L16" s="2487"/>
      <c r="M16" s="2492"/>
    </row>
    <row r="17" spans="1:33" s="2065" customFormat="1" ht="18" customHeight="1">
      <c r="A17" s="1648" t="s">
        <v>1888</v>
      </c>
      <c r="B17" s="784" t="s">
        <v>653</v>
      </c>
      <c r="C17" s="53">
        <f ca="1">ROUND(F17*(F43+INDIRECT("'数据-取费表'!S"&amp;$G$1))/10000,0)</f>
        <v>804</v>
      </c>
      <c r="D17" s="784" t="s">
        <v>1752</v>
      </c>
      <c r="E17" s="784" t="s">
        <v>1753</v>
      </c>
      <c r="F17" s="56">
        <f>'数据-取费表'!B35</f>
        <v>200</v>
      </c>
      <c r="G17" s="1593"/>
      <c r="H17" s="1649" t="s">
        <v>1831</v>
      </c>
      <c r="I17" s="784" t="s">
        <v>656</v>
      </c>
      <c r="J17" s="53">
        <f ca="1">ROUND(IF(项目基本情况!B11="自然人",J5*M17,J18+J19+J20),0)</f>
        <v>91</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5.5500000000000008E-2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8590</v>
      </c>
      <c r="D19" s="261" t="s">
        <v>1758</v>
      </c>
      <c r="E19" s="1983"/>
      <c r="F19" s="56"/>
      <c r="G19" s="1592"/>
      <c r="H19" s="1648" t="s">
        <v>1886</v>
      </c>
      <c r="I19" s="784" t="s">
        <v>1759</v>
      </c>
      <c r="J19" s="53">
        <f ca="1">IF(K19="按租金收入计税",ROUND(J5*M19,1),ROUND(C29*F33*0.7,1))</f>
        <v>89.3</v>
      </c>
      <c r="K19" s="811" t="s">
        <v>665</v>
      </c>
      <c r="L19" s="784" t="s">
        <v>1748</v>
      </c>
      <c r="M19" s="809">
        <f>IF(K19="按租金收入计税",'数据-取费表'!B51,'数据-取费表'!B50)</f>
        <v>1.2E-2</v>
      </c>
    </row>
    <row r="20" spans="1:33" s="2065" customFormat="1" ht="18" customHeight="1">
      <c r="A20" s="1649" t="s">
        <v>1890</v>
      </c>
      <c r="B20" s="784" t="s">
        <v>666</v>
      </c>
      <c r="C20" s="53">
        <f ca="1">ROUND(C19*F20,0)</f>
        <v>172</v>
      </c>
      <c r="D20" s="812" t="s">
        <v>1760</v>
      </c>
      <c r="E20" s="784" t="s">
        <v>1748</v>
      </c>
      <c r="F20" s="809">
        <f>'数据-取费表'!B37</f>
        <v>0.02</v>
      </c>
      <c r="G20" s="1593"/>
      <c r="H20" s="1651" t="s">
        <v>1881</v>
      </c>
      <c r="I20" s="341" t="s">
        <v>1761</v>
      </c>
      <c r="J20" s="54">
        <f ca="1">ROUND(M20*M21/10000,0)</f>
        <v>2</v>
      </c>
      <c r="K20" s="814" t="s">
        <v>1762</v>
      </c>
      <c r="L20" s="784" t="s">
        <v>1763</v>
      </c>
      <c r="M20" s="640">
        <f>'数据-取费表'!B52</f>
        <v>1</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20705.25</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159</v>
      </c>
      <c r="K22" s="2485" t="s">
        <v>1770</v>
      </c>
      <c r="L22" s="784" t="s">
        <v>1748</v>
      </c>
      <c r="M22" s="817">
        <f ca="1">INDIRECT("'数据-取费表'!Ak"&amp;$G$1)</f>
        <v>1.4999999999999999E-2</v>
      </c>
    </row>
    <row r="23" spans="1:33" s="2065" customFormat="1" ht="18" customHeight="1">
      <c r="A23" s="1648" t="s">
        <v>1832</v>
      </c>
      <c r="B23" s="784" t="s">
        <v>2537</v>
      </c>
      <c r="C23" s="53">
        <f ca="1">ROUND(IF('数据-取费表'!B22&lt;=1,(C19+C20)*F24*F23/2,(C19+C20)*(POWER((1+F24),F23/2)-1)),0)</f>
        <v>632</v>
      </c>
      <c r="D23" s="2572"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1.4E-3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0" t="s">
        <v>2824</v>
      </c>
      <c r="J25" s="792">
        <f ca="1">J5-J16</f>
        <v>-250</v>
      </c>
      <c r="K25" s="2549" t="s">
        <v>1778</v>
      </c>
      <c r="L25" s="2550"/>
      <c r="M25" s="2551"/>
    </row>
    <row r="26" spans="1:33" ht="18" customHeight="1">
      <c r="A26" s="1648" t="s">
        <v>1832</v>
      </c>
      <c r="B26" s="784" t="s">
        <v>2441</v>
      </c>
      <c r="C26" s="53">
        <f ca="1">ROUND((C19+C20)*F26,0)</f>
        <v>438</v>
      </c>
      <c r="D26" s="812" t="s">
        <v>1779</v>
      </c>
      <c r="E26" s="795" t="s">
        <v>1780</v>
      </c>
      <c r="F26" s="794">
        <f ca="1">INDIRECT("'数据-取费表'!q"&amp;$G$1)</f>
        <v>0.05</v>
      </c>
      <c r="G26" s="1592"/>
      <c r="H26" s="2503" t="s">
        <v>1781</v>
      </c>
      <c r="I26" s="2233" t="s">
        <v>2829</v>
      </c>
      <c r="J26" s="783">
        <f ca="1">IF(J5&lt;&gt;0,ROUND(J25*(1-((1+M28)/(1+M26))^M27)/(M26-M28),0),0)</f>
        <v>0</v>
      </c>
      <c r="K26" s="814" t="s">
        <v>1782</v>
      </c>
      <c r="L26" s="784" t="s">
        <v>2422</v>
      </c>
      <c r="M26" s="794">
        <f ca="1">INDIRECT("'数据-取费表'!I"&amp;$G$1)</f>
        <v>0.05</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5.2900000000000003E-2</v>
      </c>
      <c r="D28" s="812" t="s">
        <v>2302</v>
      </c>
      <c r="E28" s="784" t="s">
        <v>1786</v>
      </c>
      <c r="F28" s="809">
        <f>'数据-取费表'!B41</f>
        <v>5.5500000000000008E-2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10633</v>
      </c>
      <c r="D29" s="2546"/>
      <c r="E29" s="2547"/>
      <c r="F29" s="2548"/>
      <c r="G29" s="1593"/>
      <c r="H29" s="823" t="s">
        <v>1788</v>
      </c>
      <c r="I29" s="824" t="s">
        <v>1789</v>
      </c>
      <c r="J29" s="825">
        <f ca="1">ROUND(J26/(1+F40)^F41,0)</f>
        <v>0</v>
      </c>
      <c r="K29" s="826" t="s">
        <v>1790</v>
      </c>
      <c r="L29" s="827"/>
      <c r="M29" s="828">
        <f ca="1">INDIRECT("'数据-取费表'!k"&amp;$G$1)</f>
        <v>36548.259999999995</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328</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135.80000000000001</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44.4</v>
      </c>
      <c r="D32" s="1978" t="s">
        <v>1796</v>
      </c>
      <c r="E32" s="784" t="s">
        <v>1797</v>
      </c>
      <c r="F32" s="809">
        <f>'数据-取费表'!B41</f>
        <v>5.5500000000000008E-2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89.3</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2.1</v>
      </c>
      <c r="D34" s="814" t="s">
        <v>1800</v>
      </c>
      <c r="E34" s="784" t="s">
        <v>1801</v>
      </c>
      <c r="F34" s="640">
        <f>'数据-取费表'!B52</f>
        <v>1</v>
      </c>
      <c r="G34" s="2063"/>
      <c r="H34" s="2066"/>
      <c r="I34" s="835" t="s">
        <v>1814</v>
      </c>
      <c r="J34" s="836"/>
      <c r="K34" s="2081"/>
      <c r="L34" s="2080"/>
      <c r="M34" s="2080"/>
    </row>
    <row r="35" spans="1:18" ht="18" customHeight="1">
      <c r="A35" s="815"/>
      <c r="B35" s="793"/>
      <c r="C35" s="69"/>
      <c r="D35" s="816"/>
      <c r="E35" s="784" t="s">
        <v>1802</v>
      </c>
      <c r="F35" s="785">
        <f ca="1">INDIRECT("'数据-取费表'!r"&amp;$G$1)</f>
        <v>20705.25</v>
      </c>
      <c r="G35" s="2063"/>
      <c r="H35" s="2066"/>
      <c r="I35" s="837" t="s">
        <v>1815</v>
      </c>
      <c r="J35" s="838">
        <f ca="1">ROUND(C13*J36,0)</f>
        <v>851</v>
      </c>
      <c r="K35" s="2079"/>
      <c r="L35" s="2078"/>
      <c r="M35" s="2078"/>
    </row>
    <row r="36" spans="1:18" ht="18" customHeight="1">
      <c r="A36" s="1649" t="s">
        <v>1890</v>
      </c>
      <c r="B36" s="784" t="s">
        <v>1803</v>
      </c>
      <c r="C36" s="53">
        <f ca="1">ROUND(C29*F36,1)</f>
        <v>159.5</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49" t="s">
        <v>1891</v>
      </c>
      <c r="B37" s="784" t="s">
        <v>679</v>
      </c>
      <c r="C37" s="53">
        <f ca="1">ROUND(C13*F37,1)</f>
        <v>15.9</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16.8</v>
      </c>
      <c r="D38" s="2546" t="s">
        <v>1806</v>
      </c>
      <c r="E38" s="2547" t="s">
        <v>1797</v>
      </c>
      <c r="F38" s="2543">
        <f ca="1">INDIRECT("'数据-取费表'!Am"&amp;$G$1)</f>
        <v>0.02</v>
      </c>
      <c r="G38" s="2063"/>
      <c r="H38" s="2078"/>
      <c r="I38" s="843" t="s">
        <v>1818</v>
      </c>
      <c r="J38" s="844"/>
      <c r="K38" s="2084"/>
      <c r="L38" s="2078"/>
      <c r="M38" s="2078"/>
    </row>
    <row r="39" spans="1:18" ht="24.6" customHeight="1" thickTop="1">
      <c r="A39" s="1830" t="s">
        <v>1895</v>
      </c>
      <c r="B39" s="3010" t="s">
        <v>2824</v>
      </c>
      <c r="C39" s="792">
        <f ca="1">C5-C30</f>
        <v>512</v>
      </c>
      <c r="D39" s="2549" t="s">
        <v>1807</v>
      </c>
      <c r="E39" s="2550"/>
      <c r="F39" s="2551"/>
      <c r="G39" s="2063"/>
      <c r="H39" s="2078"/>
      <c r="I39" s="837" t="s">
        <v>1819</v>
      </c>
      <c r="J39" s="845">
        <f ca="1">ROUND(J35/C39,3)</f>
        <v>1.6619999999999999</v>
      </c>
      <c r="K39" s="2084"/>
      <c r="L39" s="2078"/>
      <c r="M39" s="2078"/>
    </row>
    <row r="40" spans="1:18" ht="18" customHeight="1">
      <c r="A40" s="781" t="s">
        <v>1896</v>
      </c>
      <c r="B40" s="2233" t="s">
        <v>2304</v>
      </c>
      <c r="C40" s="783">
        <f ca="1">ROUND(C39*(1-((1+F42)/(1+F40))^F41)/(F40-F42),0)</f>
        <v>13011</v>
      </c>
      <c r="D40" s="814" t="s">
        <v>1808</v>
      </c>
      <c r="E40" s="784" t="s">
        <v>2422</v>
      </c>
      <c r="F40" s="794">
        <f ca="1">INDIRECT("'数据-取费表'!I"&amp;$G$1)</f>
        <v>0.05</v>
      </c>
      <c r="G40" s="2063"/>
      <c r="H40" s="2063"/>
      <c r="I40" s="837" t="s">
        <v>1820</v>
      </c>
      <c r="J40" s="845">
        <f ca="1">1-J39</f>
        <v>-0.66199999999999992</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41.86</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0.81699999999999995</v>
      </c>
      <c r="K42" s="2083"/>
      <c r="L42" s="1989"/>
      <c r="M42" s="1989"/>
    </row>
    <row r="43" spans="1:18" ht="18" customHeight="1" thickBot="1">
      <c r="A43" s="823" t="s">
        <v>1788</v>
      </c>
      <c r="B43" s="824" t="s">
        <v>1811</v>
      </c>
      <c r="C43" s="825">
        <f ca="1">ROUND(C40*10000/F43,0)</f>
        <v>3560</v>
      </c>
      <c r="D43" s="826" t="s">
        <v>1812</v>
      </c>
      <c r="E43" s="827" t="s">
        <v>1813</v>
      </c>
      <c r="F43" s="828">
        <f ca="1">INDIRECT("'数据-取费表'!k"&amp;$G$1)</f>
        <v>36548.259999999995</v>
      </c>
      <c r="G43" s="2063"/>
      <c r="H43" s="1989"/>
      <c r="I43" s="847" t="s">
        <v>1823</v>
      </c>
      <c r="J43" s="848">
        <f ca="1">1-J42</f>
        <v>0.18300000000000005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-17658</v>
      </c>
      <c r="D46" s="2086"/>
      <c r="E46" s="2086"/>
      <c r="F46" s="2086"/>
      <c r="I46" s="2379" t="s">
        <v>2346</v>
      </c>
      <c r="J46" s="2380"/>
      <c r="K46" s="2381"/>
      <c r="L46" s="3160">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0" t="s">
        <v>2347</v>
      </c>
      <c r="J47" s="2382" t="s">
        <v>3136</v>
      </c>
      <c r="K47" s="3157" t="s">
        <v>2352</v>
      </c>
      <c r="L47" s="3161">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2539</v>
      </c>
      <c r="B48" s="2644" t="s">
        <v>2540</v>
      </c>
      <c r="C48" s="2375">
        <f ca="1">ROUND(F48*F50*F49*(1-F51)/10000,0)</f>
        <v>0</v>
      </c>
      <c r="D48" s="2376" t="s">
        <v>636</v>
      </c>
      <c r="E48" s="2377" t="s">
        <v>2299</v>
      </c>
      <c r="F48" s="2378"/>
      <c r="G48" s="2091"/>
      <c r="I48" s="3126" t="s">
        <v>2348</v>
      </c>
      <c r="J48" s="2383" t="s">
        <v>2353</v>
      </c>
      <c r="K48" s="3158" t="s">
        <v>2354</v>
      </c>
      <c r="L48" s="1909">
        <f ca="1">INDIRECT("'数据-取费表'!f"&amp;$G$1)</f>
        <v>44.86</v>
      </c>
      <c r="O48" s="2399" t="s">
        <v>2382</v>
      </c>
      <c r="P48" s="2400" t="s">
        <v>2408</v>
      </c>
      <c r="Q48" s="2401">
        <f ca="1">C40+J29</f>
        <v>13011</v>
      </c>
      <c r="R48" s="2400" t="s">
        <v>2383</v>
      </c>
    </row>
    <row r="49" spans="1:18" s="2060" customFormat="1" ht="18" customHeight="1" thickBot="1">
      <c r="A49" s="786"/>
      <c r="B49" s="787"/>
      <c r="C49" s="788"/>
      <c r="D49" s="789"/>
      <c r="E49" s="784" t="s">
        <v>1740</v>
      </c>
      <c r="F49" s="785">
        <f ca="1">F7</f>
        <v>36548.259999999995</v>
      </c>
      <c r="G49" s="2091"/>
      <c r="H49" s="2094"/>
      <c r="I49" s="3126" t="s">
        <v>2349</v>
      </c>
      <c r="J49" s="2384">
        <v>2018</v>
      </c>
      <c r="K49" s="3159"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6" t="s">
        <v>2350</v>
      </c>
      <c r="J50" s="3154">
        <f>SUMPRODUCT((I63:I65=J47)*(J62:L62=J48)*(J63:L65))</f>
        <v>60</v>
      </c>
      <c r="K50" s="3159" t="s">
        <v>2356</v>
      </c>
      <c r="L50" s="2385"/>
      <c r="O50" s="2402" t="s">
        <v>2386</v>
      </c>
      <c r="P50" s="2400" t="s">
        <v>2410</v>
      </c>
      <c r="Q50" s="2401">
        <f ca="1">C29</f>
        <v>10633</v>
      </c>
      <c r="R50" s="2400" t="s">
        <v>2383</v>
      </c>
    </row>
    <row r="51" spans="1:18" s="2060" customFormat="1" ht="18" customHeight="1" thickBot="1">
      <c r="A51" s="786"/>
      <c r="B51" s="787"/>
      <c r="C51" s="788"/>
      <c r="D51" s="789"/>
      <c r="E51" s="784" t="s">
        <v>640</v>
      </c>
      <c r="F51" s="2372"/>
      <c r="H51" s="2094"/>
      <c r="I51" s="3151" t="s">
        <v>2351</v>
      </c>
      <c r="J51" s="3155">
        <f>IF(J49="",J50,J49+J50-YEAR('数据-取费表'!B2))</f>
        <v>60</v>
      </c>
      <c r="K51" s="3126" t="s">
        <v>2357</v>
      </c>
      <c r="L51" s="3162">
        <f ca="1">ROUND(-PV(INDIRECT("'数据-取费表'!h"&amp;$G$1),L48,(C39-C13*J36),0),0)</f>
        <v>-6481</v>
      </c>
      <c r="O51" s="2402" t="s">
        <v>2387</v>
      </c>
      <c r="P51" s="2400" t="s">
        <v>2388</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2979</v>
      </c>
      <c r="E52" s="2499" t="s">
        <v>2466</v>
      </c>
      <c r="F52" s="2622"/>
      <c r="I52" s="3152" t="s">
        <v>2424</v>
      </c>
      <c r="J52" s="2386">
        <v>8.5000000000000006E-2</v>
      </c>
      <c r="K52" s="3152" t="s">
        <v>2423</v>
      </c>
      <c r="L52" s="2386"/>
      <c r="O52" s="2402" t="s">
        <v>2389</v>
      </c>
      <c r="P52" s="2400" t="s">
        <v>2390</v>
      </c>
      <c r="Q52" s="2403">
        <f>J52</f>
        <v>8.5000000000000006E-2</v>
      </c>
      <c r="R52" s="2404"/>
    </row>
    <row r="53" spans="1:18" s="2060" customFormat="1" ht="39.75" customHeight="1" thickBot="1">
      <c r="A53" s="786"/>
      <c r="B53" s="2496" t="s">
        <v>2575</v>
      </c>
      <c r="C53" s="2500"/>
      <c r="D53" s="2502"/>
      <c r="E53" s="2499"/>
      <c r="F53" s="800"/>
      <c r="I53" s="3153" t="s">
        <v>2983</v>
      </c>
      <c r="J53" s="3156">
        <f ca="1">IF(M47="住宅",IF(D1="——",MAX(J51,L48),MAX(J51,L48-'数据-取费表'!B20)),IF(D1="——",MIN(J51,L48),MIN(J51,L48-'数据-取费表'!B20)))</f>
        <v>41.86</v>
      </c>
      <c r="K53" s="3513" t="s">
        <v>2970</v>
      </c>
      <c r="L53" s="3514"/>
      <c r="O53" s="2402" t="s">
        <v>2391</v>
      </c>
      <c r="P53" s="2400" t="s">
        <v>2392</v>
      </c>
      <c r="Q53" s="2401">
        <f ca="1">J53</f>
        <v>41.86</v>
      </c>
      <c r="R53" s="2400" t="s">
        <v>2393</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13011</v>
      </c>
      <c r="R54" s="2404" t="s">
        <v>2395</v>
      </c>
    </row>
    <row r="55" spans="1:18" s="2060" customFormat="1" ht="18" customHeight="1" thickTop="1" thickBot="1">
      <c r="A55" s="797">
        <v>2</v>
      </c>
      <c r="B55" s="798" t="s">
        <v>644</v>
      </c>
      <c r="C55" s="799">
        <f ca="1">C13</f>
        <v>10633</v>
      </c>
      <c r="D55" s="795"/>
      <c r="E55" s="795"/>
      <c r="F55" s="800"/>
      <c r="I55" s="3165" t="s">
        <v>2358</v>
      </c>
      <c r="J55" s="3101" t="e">
        <f ca="1">ROUND(IF(J47="钢混",J57/J50,1-(1-2%)*(J50-J57)/J50),3)</f>
        <v>#VALUE!</v>
      </c>
      <c r="K55" s="3166" t="s">
        <v>2359</v>
      </c>
      <c r="L55" s="2387"/>
      <c r="O55" s="2405" t="s">
        <v>2414</v>
      </c>
      <c r="P55" s="1592"/>
      <c r="Q55" s="1604"/>
      <c r="R55" s="1592"/>
    </row>
    <row r="56" spans="1:18" s="2060" customFormat="1" ht="42.75" customHeight="1" thickBot="1">
      <c r="A56" s="1650"/>
      <c r="B56" s="2232" t="s">
        <v>2305</v>
      </c>
      <c r="C56" s="53">
        <f ca="1">C29</f>
        <v>10633</v>
      </c>
      <c r="D56" s="2640"/>
      <c r="E56" s="784"/>
      <c r="F56" s="809"/>
      <c r="I56" s="3167" t="s">
        <v>2360</v>
      </c>
      <c r="J56" s="3177" t="s">
        <v>1679</v>
      </c>
      <c r="K56" s="3126"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267</v>
      </c>
      <c r="D57" s="26" t="s">
        <v>1751</v>
      </c>
      <c r="E57" s="2641"/>
      <c r="F57" s="56"/>
      <c r="I57" s="3168" t="s">
        <v>2361</v>
      </c>
      <c r="J57" s="3169" t="str">
        <f ca="1">IF(OR(M47="住宅",J51&lt;L48,J56="是"),"——",J51-L48)</f>
        <v>——</v>
      </c>
      <c r="K57" s="3126" t="s">
        <v>2366</v>
      </c>
      <c r="L57" s="1909" t="str">
        <f ca="1">IF(L48&lt;J51,"——",IF(L55="比较法",L49,IF(L55="基准地价",L50,L51)))</f>
        <v>——</v>
      </c>
      <c r="O57" s="2399" t="s">
        <v>2382</v>
      </c>
      <c r="P57" s="2400" t="s">
        <v>2412</v>
      </c>
      <c r="Q57" s="2401">
        <f ca="1">C40+J29</f>
        <v>13011</v>
      </c>
      <c r="R57" s="2400" t="s">
        <v>2383</v>
      </c>
    </row>
    <row r="58" spans="1:18" s="2060" customFormat="1" ht="28.5" customHeight="1" thickBot="1">
      <c r="A58" s="1649" t="s">
        <v>1825</v>
      </c>
      <c r="B58" s="784" t="s">
        <v>656</v>
      </c>
      <c r="C58" s="53">
        <f ca="1">ROUND(IF(项目基本情况!B11="自然人",C47*F58,C59+C60+C61),1)</f>
        <v>91.4</v>
      </c>
      <c r="D58" s="2639" t="s">
        <v>657</v>
      </c>
      <c r="E58" s="2640" t="s">
        <v>690</v>
      </c>
      <c r="F58" s="810" t="str">
        <f ca="1">IF(项目基本情况!B11="企业","",IF(INDIRECT("'数据-取费表'!c"&amp;$G$1)="住宅",5%,IF(F48*F49*F50/12/(1+'数据-取费表'!C42)&gt;20000,12%,7%)))</f>
        <v/>
      </c>
      <c r="I58" s="3168" t="s">
        <v>2362</v>
      </c>
      <c r="J58" s="3102" t="e">
        <f ca="1">IF(J55&lt;0.4,0.4,J55)</f>
        <v>#VALUE!</v>
      </c>
      <c r="K58" s="3126"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5.5500000000000008E-2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89.3</v>
      </c>
      <c r="D60" s="2640" t="str">
        <f>D33</f>
        <v>按房产原值计税</v>
      </c>
      <c r="E60" s="784" t="s">
        <v>1748</v>
      </c>
      <c r="F60" s="809">
        <f t="shared" si="0"/>
        <v>1.2E-2</v>
      </c>
      <c r="I60" s="3170" t="s">
        <v>2364</v>
      </c>
      <c r="J60" s="3171" t="str">
        <f ca="1">IF(OR(M47="住宅",J51&lt;L48,J56="是"),"0",ROUND(J59/(1+J52)^J53,0))</f>
        <v>0</v>
      </c>
      <c r="K60" s="3172" t="s">
        <v>2369</v>
      </c>
      <c r="L60" s="3171">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2.1</v>
      </c>
      <c r="D61" s="814" t="s">
        <v>669</v>
      </c>
      <c r="E61" s="784" t="s">
        <v>670</v>
      </c>
      <c r="F61" s="640">
        <f t="shared" si="0"/>
        <v>1</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20705.25</v>
      </c>
      <c r="I62" s="3173" t="s">
        <v>2370</v>
      </c>
      <c r="J62" s="3174" t="s">
        <v>2371</v>
      </c>
      <c r="K62" s="3174" t="s">
        <v>2372</v>
      </c>
      <c r="L62" s="3174" t="s">
        <v>2353</v>
      </c>
      <c r="M62" s="3175" t="s">
        <v>2946</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159.5</v>
      </c>
      <c r="D63" s="2640" t="s">
        <v>1804</v>
      </c>
      <c r="E63" s="784" t="s">
        <v>1748</v>
      </c>
      <c r="F63" s="817">
        <f t="shared" ca="1" si="0"/>
        <v>1.4999999999999999E-2</v>
      </c>
      <c r="I63" s="3173" t="s">
        <v>2373</v>
      </c>
      <c r="J63" s="3174">
        <v>70</v>
      </c>
      <c r="K63" s="3174">
        <v>50</v>
      </c>
      <c r="L63" s="3174">
        <v>80</v>
      </c>
      <c r="M63" s="3176">
        <v>0.02</v>
      </c>
      <c r="O63" s="2399" t="s">
        <v>2394</v>
      </c>
      <c r="P63" s="2400" t="s">
        <v>2411</v>
      </c>
      <c r="Q63" s="2401">
        <f ca="1">Q57+Q58</f>
        <v>13011</v>
      </c>
      <c r="R63" s="2404" t="s">
        <v>2395</v>
      </c>
    </row>
    <row r="64" spans="1:18" s="2060" customFormat="1" ht="16.5" thickBot="1">
      <c r="A64" s="1649" t="s">
        <v>1891</v>
      </c>
      <c r="B64" s="784" t="s">
        <v>679</v>
      </c>
      <c r="C64" s="53">
        <f ca="1">ROUND(C55*F64,1)</f>
        <v>15.9</v>
      </c>
      <c r="D64" s="2640" t="s">
        <v>680</v>
      </c>
      <c r="E64" s="784" t="s">
        <v>1748</v>
      </c>
      <c r="F64" s="818">
        <f t="shared" ca="1" si="0"/>
        <v>1.5E-3</v>
      </c>
      <c r="I64" s="3173" t="s">
        <v>2374</v>
      </c>
      <c r="J64" s="3174">
        <v>50</v>
      </c>
      <c r="K64" s="3174">
        <v>35</v>
      </c>
      <c r="L64" s="3174">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0.02</v>
      </c>
      <c r="I65" s="3173" t="s">
        <v>2375</v>
      </c>
      <c r="J65" s="3174">
        <v>40</v>
      </c>
      <c r="K65" s="3174">
        <v>30</v>
      </c>
      <c r="L65" s="3174">
        <v>50</v>
      </c>
      <c r="M65" s="3176">
        <v>0.02</v>
      </c>
      <c r="O65" s="2396" t="s">
        <v>2378</v>
      </c>
      <c r="P65" s="2397" t="s">
        <v>2379</v>
      </c>
      <c r="Q65" s="2398" t="s">
        <v>2380</v>
      </c>
      <c r="R65" s="2397" t="s">
        <v>2381</v>
      </c>
    </row>
    <row r="66" spans="1:18" s="2060" customFormat="1" ht="24.75" thickBot="1">
      <c r="A66" s="797" t="s">
        <v>1777</v>
      </c>
      <c r="B66" s="3011" t="s">
        <v>2824</v>
      </c>
      <c r="C66" s="799">
        <f ca="1">C47-C57</f>
        <v>-267</v>
      </c>
      <c r="D66" s="2639" t="s">
        <v>700</v>
      </c>
      <c r="E66" s="2638"/>
      <c r="F66" s="820"/>
      <c r="K66" s="2087"/>
      <c r="O66" s="2399" t="s">
        <v>2382</v>
      </c>
      <c r="P66" s="2400" t="s">
        <v>2412</v>
      </c>
      <c r="Q66" s="2401">
        <f ca="1">C40+J29</f>
        <v>13011</v>
      </c>
      <c r="R66" s="2400" t="s">
        <v>2383</v>
      </c>
    </row>
    <row r="67" spans="1:18" s="2060" customFormat="1" ht="20.25" thickBot="1">
      <c r="A67" s="781" t="s">
        <v>1781</v>
      </c>
      <c r="B67" s="2233" t="s">
        <v>2304</v>
      </c>
      <c r="C67" s="783">
        <f ca="1">ROUND(C66*(1-((1+F69)/(1+F67))^F68)/(F67-F69),0)</f>
        <v>-4647</v>
      </c>
      <c r="D67" s="814" t="s">
        <v>704</v>
      </c>
      <c r="E67" s="784" t="s">
        <v>705</v>
      </c>
      <c r="F67" s="794">
        <f ca="1">F40</f>
        <v>0.05</v>
      </c>
      <c r="K67" s="2087"/>
      <c r="O67" s="2399" t="s">
        <v>2384</v>
      </c>
      <c r="P67" s="2400" t="s">
        <v>2415</v>
      </c>
      <c r="Q67" s="2401">
        <f ca="1">L60</f>
        <v>0</v>
      </c>
      <c r="R67" s="2404" t="s">
        <v>2417</v>
      </c>
    </row>
    <row r="68" spans="1:18" ht="21.75" thickBot="1">
      <c r="A68" s="786"/>
      <c r="B68" s="787"/>
      <c r="C68" s="788"/>
      <c r="D68" s="821" t="s">
        <v>1809</v>
      </c>
      <c r="E68" s="784" t="s">
        <v>1785</v>
      </c>
      <c r="F68" s="822">
        <f ca="1">F41</f>
        <v>41.86</v>
      </c>
      <c r="O68" s="2402" t="s">
        <v>2386</v>
      </c>
      <c r="P68" s="2400" t="s">
        <v>2416</v>
      </c>
      <c r="Q68" s="2406">
        <f ca="1">L51</f>
        <v>-6481</v>
      </c>
      <c r="R68" s="2407" t="s">
        <v>2419</v>
      </c>
    </row>
    <row r="69" spans="1:18" ht="20.25" thickBot="1">
      <c r="A69" s="790"/>
      <c r="B69" s="791"/>
      <c r="C69" s="792"/>
      <c r="D69" s="816"/>
      <c r="E69" s="784" t="s">
        <v>710</v>
      </c>
      <c r="F69" s="2372"/>
      <c r="O69" s="2402" t="s">
        <v>2387</v>
      </c>
      <c r="P69" s="2408" t="s">
        <v>2401</v>
      </c>
      <c r="Q69" s="2401">
        <f ca="1">ROUND(Q70-Q71*Q72,0)</f>
        <v>-339</v>
      </c>
      <c r="R69" s="2404"/>
    </row>
    <row r="70" spans="1:18" ht="15.75" thickBot="1">
      <c r="A70" s="823" t="s">
        <v>1788</v>
      </c>
      <c r="B70" s="824" t="s">
        <v>1811</v>
      </c>
      <c r="C70" s="825">
        <f ca="1">ROUND(C67*10000/F70,0)</f>
        <v>-1271</v>
      </c>
      <c r="D70" s="826" t="s">
        <v>1812</v>
      </c>
      <c r="E70" s="827" t="s">
        <v>1813</v>
      </c>
      <c r="F70" s="828">
        <f ca="1">F43</f>
        <v>36548.259999999995</v>
      </c>
      <c r="O70" s="2402" t="s">
        <v>2402</v>
      </c>
      <c r="P70" s="2408" t="s">
        <v>2403</v>
      </c>
      <c r="Q70" s="2401">
        <f ca="1">C39</f>
        <v>512</v>
      </c>
      <c r="R70" s="2400" t="s">
        <v>2383</v>
      </c>
    </row>
    <row r="71" spans="1:18" ht="15.75" thickBot="1">
      <c r="O71" s="2402" t="s">
        <v>2404</v>
      </c>
      <c r="P71" s="2408" t="s">
        <v>2405</v>
      </c>
      <c r="Q71" s="2401">
        <f ca="1">C13</f>
        <v>10633</v>
      </c>
      <c r="R71" s="2400" t="s">
        <v>2383</v>
      </c>
    </row>
    <row r="72" spans="1:18" ht="15.75" thickBot="1">
      <c r="O72" s="2402" t="s">
        <v>2406</v>
      </c>
      <c r="P72" s="2408" t="s">
        <v>2407</v>
      </c>
      <c r="Q72" s="2403">
        <f ca="1">J36</f>
        <v>0.08</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13011</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I27" sqref="I27"/>
    </sheetView>
  </sheetViews>
  <sheetFormatPr defaultRowHeight="13.5"/>
  <cols>
    <col min="1" max="1" width="23.5" customWidth="1"/>
  </cols>
  <sheetData>
    <row r="1" spans="1:13">
      <c r="A1" s="3186" t="s">
        <v>3012</v>
      </c>
      <c r="B1" s="3186" t="s">
        <v>3013</v>
      </c>
      <c r="C1" s="3186" t="s">
        <v>3014</v>
      </c>
      <c r="D1" s="3186" t="s">
        <v>3015</v>
      </c>
      <c r="E1" s="3186" t="s">
        <v>3016</v>
      </c>
      <c r="F1" s="3186" t="s">
        <v>2035</v>
      </c>
      <c r="G1" s="3186" t="s">
        <v>3017</v>
      </c>
      <c r="H1" s="3186" t="s">
        <v>3018</v>
      </c>
      <c r="I1" s="3186" t="s">
        <v>3019</v>
      </c>
      <c r="J1" s="3186" t="s">
        <v>3020</v>
      </c>
      <c r="K1" s="3186" t="s">
        <v>3021</v>
      </c>
      <c r="L1" s="3186" t="s">
        <v>3022</v>
      </c>
      <c r="M1" s="3186" t="s">
        <v>3023</v>
      </c>
    </row>
    <row r="2" spans="1:13">
      <c r="A2" s="3186" t="s">
        <v>3024</v>
      </c>
      <c r="B2" s="3186" t="s">
        <v>3025</v>
      </c>
      <c r="C2" s="3186" t="s">
        <v>3026</v>
      </c>
      <c r="D2" s="3186">
        <v>142379.79999999999</v>
      </c>
      <c r="E2" s="3186">
        <v>249489.1</v>
      </c>
      <c r="F2" s="3186" t="s">
        <v>3027</v>
      </c>
      <c r="G2" s="3186" t="s">
        <v>3028</v>
      </c>
      <c r="H2" s="3186" t="s">
        <v>3029</v>
      </c>
      <c r="I2" s="3186">
        <v>136580</v>
      </c>
      <c r="J2" s="3186">
        <v>136580</v>
      </c>
      <c r="K2" s="3186">
        <v>5474.39</v>
      </c>
      <c r="L2" s="3186">
        <v>0</v>
      </c>
      <c r="M2" s="3186" t="s">
        <v>3030</v>
      </c>
    </row>
    <row r="3" spans="1:13" s="3188" customFormat="1">
      <c r="A3" s="3213" t="s">
        <v>3144</v>
      </c>
      <c r="B3" s="3187" t="s">
        <v>3025</v>
      </c>
      <c r="C3" s="3187" t="s">
        <v>3032</v>
      </c>
      <c r="D3" s="3187">
        <v>53527.5</v>
      </c>
      <c r="E3" s="3187">
        <v>58880.25</v>
      </c>
      <c r="F3" s="3187" t="s">
        <v>3033</v>
      </c>
      <c r="G3" s="3187" t="s">
        <v>3028</v>
      </c>
      <c r="H3" s="3187" t="s">
        <v>3034</v>
      </c>
      <c r="I3" s="3187">
        <v>32980</v>
      </c>
      <c r="J3" s="3187">
        <v>32980</v>
      </c>
      <c r="K3" s="3187">
        <v>5601.19</v>
      </c>
      <c r="L3" s="3187">
        <v>0</v>
      </c>
      <c r="M3" s="3187" t="s">
        <v>3035</v>
      </c>
    </row>
    <row r="4" spans="1:13">
      <c r="A4" s="3186" t="s">
        <v>3036</v>
      </c>
      <c r="B4" s="3186" t="s">
        <v>3025</v>
      </c>
      <c r="C4" s="3186" t="s">
        <v>3026</v>
      </c>
      <c r="D4" s="3186">
        <v>20460.3</v>
      </c>
      <c r="E4" s="3186">
        <v>143222.1</v>
      </c>
      <c r="F4" s="3186" t="s">
        <v>3037</v>
      </c>
      <c r="G4" s="3186" t="s">
        <v>3028</v>
      </c>
      <c r="H4" s="3186" t="s">
        <v>3038</v>
      </c>
      <c r="I4" s="3186">
        <v>65620</v>
      </c>
      <c r="J4" s="3186">
        <v>65620</v>
      </c>
      <c r="K4" s="3186">
        <v>4581.6899999999996</v>
      </c>
      <c r="L4" s="3186">
        <v>0</v>
      </c>
      <c r="M4" s="3186" t="s">
        <v>3039</v>
      </c>
    </row>
    <row r="5" spans="1:13" s="3188" customFormat="1">
      <c r="A5" s="3213" t="s">
        <v>3145</v>
      </c>
      <c r="B5" s="3187" t="s">
        <v>3025</v>
      </c>
      <c r="C5" s="3187" t="s">
        <v>3032</v>
      </c>
      <c r="D5" s="3187">
        <v>35826.9</v>
      </c>
      <c r="E5" s="3187">
        <v>42992.28</v>
      </c>
      <c r="F5" s="3187" t="s">
        <v>3041</v>
      </c>
      <c r="G5" s="3187" t="s">
        <v>3028</v>
      </c>
      <c r="H5" s="3187" t="s">
        <v>3042</v>
      </c>
      <c r="I5" s="3187">
        <v>25220</v>
      </c>
      <c r="J5" s="3187">
        <v>25320</v>
      </c>
      <c r="K5" s="3187">
        <v>5889.43</v>
      </c>
      <c r="L5" s="3187">
        <v>0.4</v>
      </c>
      <c r="M5" s="3187" t="s">
        <v>3043</v>
      </c>
    </row>
    <row r="6" spans="1:13" s="3188" customFormat="1">
      <c r="A6" s="3187" t="s">
        <v>3040</v>
      </c>
      <c r="B6" s="3187" t="s">
        <v>3025</v>
      </c>
      <c r="C6" s="3187" t="s">
        <v>3032</v>
      </c>
      <c r="D6" s="3187">
        <v>36266.400000000001</v>
      </c>
      <c r="E6" s="3187">
        <v>43519.68</v>
      </c>
      <c r="F6" s="3187" t="s">
        <v>3041</v>
      </c>
      <c r="G6" s="3187" t="s">
        <v>3028</v>
      </c>
      <c r="H6" s="3187" t="s">
        <v>3042</v>
      </c>
      <c r="I6" s="3187">
        <v>26170</v>
      </c>
      <c r="J6" s="3187">
        <v>26270</v>
      </c>
      <c r="K6" s="3187">
        <v>6036.35</v>
      </c>
      <c r="L6" s="3187">
        <v>0.38</v>
      </c>
      <c r="M6" s="3187" t="s">
        <v>3044</v>
      </c>
    </row>
    <row r="7" spans="1:13">
      <c r="A7" s="3186" t="s">
        <v>3045</v>
      </c>
      <c r="B7" s="3186" t="s">
        <v>3025</v>
      </c>
      <c r="C7" s="3186" t="s">
        <v>3026</v>
      </c>
      <c r="D7" s="3186">
        <v>26893.1</v>
      </c>
      <c r="E7" s="3186">
        <v>112951</v>
      </c>
      <c r="F7" s="3186" t="s">
        <v>3046</v>
      </c>
      <c r="G7" s="3186" t="s">
        <v>3028</v>
      </c>
      <c r="H7" s="3186" t="s">
        <v>3047</v>
      </c>
      <c r="I7" s="3186">
        <v>23780</v>
      </c>
      <c r="J7" s="3186">
        <v>35670</v>
      </c>
      <c r="K7" s="3186">
        <v>3158.01</v>
      </c>
      <c r="L7" s="3186">
        <v>50</v>
      </c>
      <c r="M7" s="3186" t="s">
        <v>3048</v>
      </c>
    </row>
    <row r="8" spans="1:13">
      <c r="A8" s="3186" t="s">
        <v>3031</v>
      </c>
      <c r="B8" s="3186" t="s">
        <v>3025</v>
      </c>
      <c r="C8" s="3186" t="s">
        <v>3032</v>
      </c>
      <c r="D8" s="3186">
        <v>106043.8</v>
      </c>
      <c r="E8" s="3186">
        <v>127252.6</v>
      </c>
      <c r="F8" s="3186" t="s">
        <v>3049</v>
      </c>
      <c r="G8" s="3186" t="s">
        <v>3028</v>
      </c>
      <c r="H8" s="3186" t="s">
        <v>3050</v>
      </c>
      <c r="I8" s="3186">
        <v>69910</v>
      </c>
      <c r="J8" s="3186">
        <v>104865</v>
      </c>
      <c r="K8" s="3186">
        <v>8240.7000000000007</v>
      </c>
      <c r="L8" s="3186">
        <v>50</v>
      </c>
      <c r="M8" s="3186" t="s">
        <v>3051</v>
      </c>
    </row>
    <row r="9" spans="1:13">
      <c r="A9" s="3186" t="s">
        <v>3052</v>
      </c>
      <c r="B9" s="3186" t="s">
        <v>3025</v>
      </c>
      <c r="C9" s="3186" t="s">
        <v>3026</v>
      </c>
      <c r="D9" s="3186">
        <v>146589.70000000001</v>
      </c>
      <c r="E9" s="3186">
        <v>174044</v>
      </c>
      <c r="F9" s="3186" t="s">
        <v>3053</v>
      </c>
      <c r="G9" s="3186" t="s">
        <v>3054</v>
      </c>
      <c r="H9" s="3186" t="s">
        <v>3055</v>
      </c>
      <c r="I9" s="3186">
        <v>119470</v>
      </c>
      <c r="J9" s="3186">
        <v>179205</v>
      </c>
      <c r="K9" s="3186">
        <v>10296.530000000001</v>
      </c>
      <c r="L9" s="3186">
        <v>50</v>
      </c>
      <c r="M9" s="3186" t="s">
        <v>3056</v>
      </c>
    </row>
    <row r="10" spans="1:13">
      <c r="A10" s="3186" t="s">
        <v>3057</v>
      </c>
      <c r="B10" s="3186" t="s">
        <v>3025</v>
      </c>
      <c r="C10" s="3186" t="s">
        <v>3026</v>
      </c>
      <c r="D10" s="3186">
        <v>141335</v>
      </c>
      <c r="E10" s="3186">
        <v>274617.40000000002</v>
      </c>
      <c r="F10" s="3186" t="s">
        <v>3058</v>
      </c>
      <c r="G10" s="3186" t="s">
        <v>3028</v>
      </c>
      <c r="H10" s="3186" t="s">
        <v>3059</v>
      </c>
      <c r="I10" s="3186">
        <v>46130</v>
      </c>
      <c r="J10" s="3186">
        <v>46130</v>
      </c>
      <c r="K10" s="3186">
        <v>1679.78</v>
      </c>
      <c r="L10" s="3186">
        <v>0</v>
      </c>
      <c r="M10" s="3186" t="s">
        <v>3060</v>
      </c>
    </row>
    <row r="11" spans="1:13">
      <c r="A11" s="3186" t="s">
        <v>3061</v>
      </c>
      <c r="B11" s="3186" t="s">
        <v>3025</v>
      </c>
      <c r="C11" s="3186" t="s">
        <v>3026</v>
      </c>
      <c r="D11" s="3186">
        <v>198266.5</v>
      </c>
      <c r="E11" s="3186">
        <v>296593.59999999998</v>
      </c>
      <c r="F11" s="3186" t="s">
        <v>3062</v>
      </c>
      <c r="G11" s="3186" t="s">
        <v>3028</v>
      </c>
      <c r="H11" s="3186" t="s">
        <v>3063</v>
      </c>
      <c r="I11" s="3186">
        <v>47520</v>
      </c>
      <c r="J11" s="3186">
        <v>165000</v>
      </c>
      <c r="K11" s="3186">
        <v>5563.17</v>
      </c>
      <c r="L11" s="3186">
        <v>247.22</v>
      </c>
      <c r="M11" s="3186" t="s">
        <v>3064</v>
      </c>
    </row>
    <row r="12" spans="1:13">
      <c r="A12" s="3186" t="s">
        <v>3061</v>
      </c>
      <c r="B12" s="3186" t="s">
        <v>3025</v>
      </c>
      <c r="C12" s="3186" t="s">
        <v>3026</v>
      </c>
      <c r="D12" s="3186">
        <v>184531.3</v>
      </c>
      <c r="E12" s="3186">
        <v>276796.90000000002</v>
      </c>
      <c r="F12" s="3186" t="s">
        <v>3065</v>
      </c>
      <c r="G12" s="3186" t="s">
        <v>3028</v>
      </c>
      <c r="H12" s="3186" t="s">
        <v>3066</v>
      </c>
      <c r="I12" s="3186">
        <v>44230</v>
      </c>
      <c r="J12" s="3186">
        <v>124000</v>
      </c>
      <c r="K12" s="3186">
        <v>4479.8100000000004</v>
      </c>
      <c r="L12" s="3186">
        <v>180.35</v>
      </c>
      <c r="M12" s="3186" t="s">
        <v>3064</v>
      </c>
    </row>
    <row r="13" spans="1:13">
      <c r="A13" s="3186" t="s">
        <v>3040</v>
      </c>
      <c r="B13" s="3186" t="s">
        <v>3025</v>
      </c>
      <c r="C13" s="3186" t="s">
        <v>3026</v>
      </c>
      <c r="D13" s="3186">
        <v>120074.3</v>
      </c>
      <c r="E13" s="3186">
        <v>145407.6</v>
      </c>
      <c r="F13" s="3186" t="s">
        <v>3067</v>
      </c>
      <c r="G13" s="3186" t="s">
        <v>3028</v>
      </c>
      <c r="H13" s="3186" t="s">
        <v>3068</v>
      </c>
      <c r="I13" s="3186">
        <v>27180</v>
      </c>
      <c r="J13" s="3186">
        <v>108000</v>
      </c>
      <c r="K13" s="3186">
        <v>7427.39</v>
      </c>
      <c r="L13" s="3186">
        <v>297.35000000000002</v>
      </c>
      <c r="M13" s="3186" t="s">
        <v>3069</v>
      </c>
    </row>
    <row r="14" spans="1:13">
      <c r="A14" s="3186" t="s">
        <v>3070</v>
      </c>
      <c r="B14" s="3186" t="s">
        <v>3025</v>
      </c>
      <c r="C14" s="3186" t="s">
        <v>3026</v>
      </c>
      <c r="D14" s="3186">
        <v>17317.5</v>
      </c>
      <c r="E14" s="3186">
        <v>66672.38</v>
      </c>
      <c r="F14" s="3186" t="s">
        <v>3071</v>
      </c>
      <c r="G14" s="3186" t="s">
        <v>3028</v>
      </c>
      <c r="H14" s="3186" t="s">
        <v>3072</v>
      </c>
      <c r="I14" s="3186">
        <v>6770</v>
      </c>
      <c r="J14" s="3186">
        <v>6770</v>
      </c>
      <c r="K14" s="3186">
        <v>1015.4</v>
      </c>
      <c r="L14" s="3186">
        <v>0</v>
      </c>
      <c r="M14" s="3186" t="s">
        <v>3073</v>
      </c>
    </row>
    <row r="15" spans="1:13">
      <c r="A15" s="3186" t="s">
        <v>3061</v>
      </c>
      <c r="B15" s="3186" t="s">
        <v>3025</v>
      </c>
      <c r="C15" s="3186" t="s">
        <v>3032</v>
      </c>
      <c r="D15" s="3186">
        <v>156102.39999999999</v>
      </c>
      <c r="E15" s="3186">
        <v>234153.60000000001</v>
      </c>
      <c r="F15" s="3186" t="s">
        <v>3074</v>
      </c>
      <c r="G15" s="3186" t="s">
        <v>3028</v>
      </c>
      <c r="H15" s="3186" t="s">
        <v>3075</v>
      </c>
      <c r="I15" s="3186">
        <v>32700</v>
      </c>
      <c r="J15" s="3186">
        <v>48500</v>
      </c>
      <c r="K15" s="3186">
        <v>2071.2800000000002</v>
      </c>
      <c r="L15" s="3186">
        <v>48.32</v>
      </c>
      <c r="M15" s="3186" t="s">
        <v>3076</v>
      </c>
    </row>
    <row r="16" spans="1:13">
      <c r="A16" s="3186" t="s">
        <v>3077</v>
      </c>
      <c r="B16" s="3186" t="s">
        <v>3025</v>
      </c>
      <c r="C16" s="3186" t="s">
        <v>3026</v>
      </c>
      <c r="D16" s="3186">
        <v>165420.70000000001</v>
      </c>
      <c r="E16" s="3186">
        <v>279951.09999999998</v>
      </c>
      <c r="F16" s="3186" t="s">
        <v>3078</v>
      </c>
      <c r="G16" s="3186" t="s">
        <v>3028</v>
      </c>
      <c r="H16" s="3186" t="s">
        <v>3079</v>
      </c>
      <c r="I16" s="3186">
        <v>46510</v>
      </c>
      <c r="J16" s="3186">
        <v>46510</v>
      </c>
      <c r="K16" s="3186">
        <v>1661.35</v>
      </c>
      <c r="L16" s="3186">
        <v>0</v>
      </c>
      <c r="M16" s="3186" t="s">
        <v>3080</v>
      </c>
    </row>
    <row r="27" spans="9:9">
      <c r="I27">
        <f>'数据-汇总表'!G21+'[2]数据-汇总表'!$G$21</f>
        <v>90523.56</v>
      </c>
    </row>
  </sheetData>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U62" sqref="U62"/>
    </sheetView>
  </sheetViews>
  <sheetFormatPr defaultRowHeight="13.5"/>
  <sheetData/>
  <phoneticPr fontId="233" type="noConversion"/>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2041</v>
      </c>
      <c r="B1" s="3219"/>
      <c r="C1" s="3219"/>
      <c r="D1" s="3219"/>
      <c r="E1" s="3219"/>
      <c r="F1" s="3219"/>
      <c r="G1" s="3219"/>
      <c r="H1" s="3219"/>
      <c r="I1" s="3219"/>
      <c r="J1" s="3219"/>
      <c r="K1" s="3219"/>
      <c r="L1" s="3219"/>
      <c r="M1" s="3219"/>
      <c r="N1" s="3219"/>
      <c r="O1" s="3219"/>
      <c r="P1" s="3219"/>
      <c r="Q1" s="3219"/>
      <c r="R1" s="3219"/>
    </row>
    <row r="2" spans="1:18">
      <c r="A2" s="1808" t="s">
        <v>2043</v>
      </c>
      <c r="B2" s="1808"/>
      <c r="C2" s="1808"/>
      <c r="D2" s="1808"/>
      <c r="E2" s="1808"/>
      <c r="F2" s="1808"/>
      <c r="G2" s="1808"/>
      <c r="H2" s="1808"/>
      <c r="I2" s="1809"/>
      <c r="J2" s="1809"/>
      <c r="K2" s="1810" t="str">
        <f>"估价期日："&amp;TEXT(项目基本情况!D3,"yyyy年m月d日;;")</f>
        <v>估价期日：2018年10月29日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0" t="s">
        <v>2032</v>
      </c>
      <c r="B3" s="3220" t="s">
        <v>2733</v>
      </c>
      <c r="C3" s="3221" t="s">
        <v>2033</v>
      </c>
      <c r="D3" s="3220" t="s">
        <v>2737</v>
      </c>
      <c r="E3" s="3215" t="s">
        <v>2034</v>
      </c>
      <c r="F3" s="3215"/>
      <c r="G3" s="3215"/>
      <c r="H3" s="3215" t="s">
        <v>2035</v>
      </c>
      <c r="I3" s="3215"/>
      <c r="J3" s="3215"/>
      <c r="K3" s="3221" t="s">
        <v>2036</v>
      </c>
      <c r="L3" s="3221" t="s">
        <v>2037</v>
      </c>
      <c r="M3" s="3220" t="s">
        <v>2734</v>
      </c>
      <c r="N3" s="3222" t="str">
        <f>"（分摊）"&amp;项目基本情况!B16&amp;"国有建设用地使用权面积/㎡"</f>
        <v>（分摊）出让国有建设用地使用权面积/㎡</v>
      </c>
      <c r="O3" s="3220" t="s">
        <v>2066</v>
      </c>
      <c r="P3" s="3221" t="s">
        <v>2046</v>
      </c>
      <c r="Q3" s="3221" t="s">
        <v>2067</v>
      </c>
      <c r="R3" s="3221" t="s">
        <v>2038</v>
      </c>
    </row>
    <row r="4" spans="1:18" ht="36.75" customHeight="1">
      <c r="A4" s="3220"/>
      <c r="B4" s="3220"/>
      <c r="C4" s="3221"/>
      <c r="D4" s="3220"/>
      <c r="E4" s="2650" t="s">
        <v>2045</v>
      </c>
      <c r="F4" s="2650" t="s">
        <v>2746</v>
      </c>
      <c r="G4" s="2650" t="s">
        <v>2039</v>
      </c>
      <c r="H4" s="2650" t="s">
        <v>2040</v>
      </c>
      <c r="I4" s="2650" t="s">
        <v>2747</v>
      </c>
      <c r="J4" s="2650" t="s">
        <v>2039</v>
      </c>
      <c r="K4" s="3221"/>
      <c r="L4" s="3221"/>
      <c r="M4" s="3220"/>
      <c r="N4" s="3222"/>
      <c r="O4" s="3220"/>
      <c r="P4" s="3221"/>
      <c r="Q4" s="3221"/>
      <c r="R4" s="3221"/>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118010.9</v>
      </c>
      <c r="O5" s="1811">
        <f>项目基本情况!C21</f>
        <v>229142.34999999998</v>
      </c>
      <c r="P5" s="1811">
        <f ca="1">结果表!E42</f>
        <v>7811</v>
      </c>
      <c r="Q5" s="1811">
        <f ca="1">结果表!D42</f>
        <v>4023</v>
      </c>
      <c r="R5" s="1812">
        <f ca="1">结果表!C42</f>
        <v>92182</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13">
        <f ca="1">结果表!O39</f>
        <v>92182</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3"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3" t="s">
        <v>2068</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2069</v>
      </c>
      <c r="B5" s="3226"/>
      <c r="C5" s="3226"/>
      <c r="D5" s="3226"/>
    </row>
    <row r="6" spans="1:4">
      <c r="A6" s="3223" t="s">
        <v>2047</v>
      </c>
      <c r="B6" s="3223"/>
      <c r="C6" s="3223"/>
      <c r="D6" s="3223"/>
    </row>
    <row r="7" spans="1:4" ht="33" customHeight="1">
      <c r="A7" s="3223" t="s">
        <v>2577</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6" t="s">
        <v>2071</v>
      </c>
      <c r="B12" s="3226"/>
      <c r="C12" s="3226"/>
      <c r="D12" s="3226"/>
    </row>
    <row r="13" spans="1:4">
      <c r="A13" s="3224" t="s">
        <v>2748</v>
      </c>
      <c r="B13" s="3224"/>
      <c r="C13" s="3224"/>
      <c r="D13" s="3224"/>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2704</v>
      </c>
      <c r="B17" s="3223"/>
      <c r="C17" s="3223"/>
      <c r="D17" s="3223"/>
    </row>
    <row r="18" spans="1:4">
      <c r="A18" s="3223" t="s">
        <v>2696</v>
      </c>
      <c r="B18" s="3223"/>
      <c r="C18" s="3223"/>
      <c r="D18" s="3223"/>
    </row>
    <row r="19" spans="1:4">
      <c r="A19" s="2869" t="s">
        <v>2697</v>
      </c>
      <c r="B19" s="2869" t="s">
        <v>2698</v>
      </c>
      <c r="C19" s="2869" t="s">
        <v>2699</v>
      </c>
      <c r="D19" s="2869" t="s">
        <v>2700</v>
      </c>
    </row>
    <row r="20" spans="1:4">
      <c r="A20" s="2869" t="str">
        <f>项目基本情况!B4</f>
        <v>吴薇</v>
      </c>
      <c r="B20" s="2869">
        <f ca="1">项目基本情况!C4</f>
        <v>2002110125</v>
      </c>
      <c r="C20" s="2871"/>
      <c r="D20" s="1801" t="s">
        <v>2705</v>
      </c>
    </row>
    <row r="21" spans="1:4">
      <c r="A21" s="2869" t="str">
        <f>项目基本情况!D4</f>
        <v>郑燚</v>
      </c>
      <c r="B21" s="2869">
        <f>项目基本情况!E4</f>
        <v>2014110011</v>
      </c>
      <c r="C21" s="2871"/>
      <c r="D21" s="1801" t="s">
        <v>2706</v>
      </c>
    </row>
    <row r="23" spans="1:4">
      <c r="A23" s="3223" t="s">
        <v>2701</v>
      </c>
      <c r="B23" s="3223"/>
      <c r="C23" s="3223"/>
      <c r="D23" s="3223"/>
    </row>
    <row r="24" spans="1:4">
      <c r="A24" s="2869" t="s">
        <v>2697</v>
      </c>
      <c r="B24" s="2869" t="s">
        <v>2702</v>
      </c>
      <c r="C24" s="2869" t="s">
        <v>2699</v>
      </c>
      <c r="D24" s="2869" t="s">
        <v>2700</v>
      </c>
    </row>
    <row r="25" spans="1:4">
      <c r="A25" s="2872" t="s">
        <v>2703</v>
      </c>
      <c r="B25" s="2869" t="s">
        <v>952</v>
      </c>
      <c r="C25" s="2871"/>
      <c r="D25" s="1801" t="s">
        <v>2706</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5" t="s">
        <v>53</v>
      </c>
      <c r="B15" s="3236" t="s">
        <v>846</v>
      </c>
      <c r="C15" s="3232"/>
    </row>
    <row r="16" spans="1:7" ht="14.25">
      <c r="A16" s="3235"/>
      <c r="B16" s="3233" t="s">
        <v>54</v>
      </c>
      <c r="C16" s="1172" t="s">
        <v>53</v>
      </c>
    </row>
    <row r="17" spans="1:3" ht="14.25">
      <c r="A17" s="3235"/>
      <c r="B17" s="3233"/>
      <c r="C17" s="1172" t="s">
        <v>55</v>
      </c>
    </row>
    <row r="18" spans="1:3" ht="14.25">
      <c r="A18" s="3235"/>
      <c r="B18" s="3233"/>
      <c r="C18" s="1172" t="s">
        <v>56</v>
      </c>
    </row>
    <row r="19" spans="1:3" ht="14.25">
      <c r="A19" s="3235"/>
      <c r="B19" s="3231" t="s">
        <v>57</v>
      </c>
      <c r="C19" s="3232"/>
    </row>
    <row r="20" spans="1:3" ht="14.25">
      <c r="A20" s="1173" t="s">
        <v>58</v>
      </c>
      <c r="B20" s="1174"/>
      <c r="C20" s="1175"/>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6" t="s">
        <v>837</v>
      </c>
    </row>
    <row r="25" spans="1:3" ht="14.25">
      <c r="A25" s="3234"/>
      <c r="B25" s="3238"/>
      <c r="C25" s="1176" t="s">
        <v>838</v>
      </c>
    </row>
    <row r="26" spans="1:3" ht="14.25">
      <c r="A26" s="3234"/>
      <c r="B26" s="3238"/>
      <c r="C26" s="1176" t="s">
        <v>839</v>
      </c>
    </row>
    <row r="27" spans="1:3" ht="14.25">
      <c r="A27" s="3234"/>
      <c r="B27" s="3238"/>
      <c r="C27" s="1176" t="s">
        <v>840</v>
      </c>
    </row>
    <row r="28" spans="1:3" ht="14.25">
      <c r="A28" s="3234"/>
      <c r="B28" s="3238"/>
      <c r="C28" s="1176" t="s">
        <v>841</v>
      </c>
    </row>
    <row r="29" spans="1:3" ht="14.25">
      <c r="A29" s="3234"/>
      <c r="B29" s="3238"/>
      <c r="C29" s="1176" t="s">
        <v>842</v>
      </c>
    </row>
    <row r="30" spans="1:3" ht="14.25">
      <c r="A30" s="3234"/>
      <c r="B30" s="3238"/>
      <c r="C30" s="1176" t="s">
        <v>843</v>
      </c>
    </row>
    <row r="31" spans="1:3" ht="14.25">
      <c r="A31" s="3234"/>
      <c r="B31" s="3238"/>
      <c r="C31" s="1176" t="s">
        <v>844</v>
      </c>
    </row>
    <row r="32" spans="1:3" ht="14.25">
      <c r="A32" s="3234"/>
      <c r="B32" s="3238"/>
      <c r="C32" s="1176" t="s">
        <v>1647</v>
      </c>
    </row>
    <row r="33" spans="1:3" ht="14.25">
      <c r="A33" s="3234"/>
      <c r="B33" s="3228" t="s">
        <v>1653</v>
      </c>
      <c r="C33" s="1176" t="s">
        <v>1648</v>
      </c>
    </row>
    <row r="34" spans="1:3" ht="14.25">
      <c r="A34" s="3234"/>
      <c r="B34" s="3229"/>
      <c r="C34" s="1181" t="s">
        <v>1649</v>
      </c>
    </row>
    <row r="35" spans="1:3" ht="14.25">
      <c r="A35" s="3234"/>
      <c r="B35" s="3229"/>
      <c r="C35" s="1182" t="s">
        <v>1650</v>
      </c>
    </row>
    <row r="36" spans="1:3" ht="14.25">
      <c r="A36" s="3234"/>
      <c r="B36" s="3229"/>
      <c r="C36" s="1182" t="s">
        <v>1651</v>
      </c>
    </row>
    <row r="37" spans="1:3" ht="14.25">
      <c r="A37" s="3234"/>
      <c r="B37" s="323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43404</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6">
        <v>43849</v>
      </c>
      <c r="D4" s="2344" t="s">
        <v>1915</v>
      </c>
      <c r="E4" s="2344">
        <f ca="1">IF(F4&lt;B2,"已过期",96010014)</f>
        <v>96010014</v>
      </c>
      <c r="F4" s="3007">
        <v>47118</v>
      </c>
    </row>
    <row r="5" spans="1:6" ht="20.25" customHeight="1">
      <c r="A5" s="2344" t="s">
        <v>1916</v>
      </c>
      <c r="B5" s="2344">
        <f ca="1">IF(C5&lt;B2,"已过期",1119970074)</f>
        <v>1119970074</v>
      </c>
      <c r="C5" s="3006">
        <v>43849</v>
      </c>
      <c r="D5" s="2344" t="s">
        <v>1916</v>
      </c>
      <c r="E5" s="2344">
        <f ca="1">IF(F5&lt;B2,"已过期",2002110027)</f>
        <v>2002110027</v>
      </c>
      <c r="F5" s="3007">
        <v>46752</v>
      </c>
    </row>
    <row r="6" spans="1:6" ht="20.25" customHeight="1">
      <c r="A6" s="2344" t="s">
        <v>1917</v>
      </c>
      <c r="B6" s="2344">
        <f ca="1">IF(C6&lt;B2,"已过期",1119970111)</f>
        <v>1119970111</v>
      </c>
      <c r="C6" s="3006">
        <v>43849</v>
      </c>
      <c r="D6" s="2344" t="s">
        <v>1917</v>
      </c>
      <c r="E6" s="2344">
        <f ca="1">IF(F6&lt;B2,"已过期",94010078)</f>
        <v>94010078</v>
      </c>
      <c r="F6" s="3007">
        <v>46387</v>
      </c>
    </row>
    <row r="7" spans="1:6" ht="20.25" customHeight="1">
      <c r="A7" s="2344" t="s">
        <v>1918</v>
      </c>
      <c r="B7" s="2344">
        <f ca="1">IF(C7&lt;B2,"已过期",1120050019)</f>
        <v>1120050019</v>
      </c>
      <c r="C7" s="3006">
        <v>44395</v>
      </c>
      <c r="D7" s="2344" t="s">
        <v>1918</v>
      </c>
      <c r="E7" s="2344">
        <f ca="1">IF(F7&lt;B2,"已过期",2002110030)</f>
        <v>2002110030</v>
      </c>
      <c r="F7" s="3007">
        <v>46387</v>
      </c>
    </row>
    <row r="8" spans="1:6" ht="20.25" customHeight="1">
      <c r="A8" s="2344" t="s">
        <v>1919</v>
      </c>
      <c r="B8" s="2344">
        <f ca="1">IF(C8&lt;B2,"已过期",1120000080)</f>
        <v>1120000080</v>
      </c>
      <c r="C8" s="3006">
        <v>43849</v>
      </c>
      <c r="D8" s="2344" t="s">
        <v>1919</v>
      </c>
      <c r="E8" s="2344">
        <f ca="1">IF(F8&lt;B2,"已过期",2000110082)</f>
        <v>2000110082</v>
      </c>
      <c r="F8" s="3007">
        <v>46387</v>
      </c>
    </row>
    <row r="9" spans="1:6" ht="20.25" customHeight="1">
      <c r="A9" s="2344" t="s">
        <v>1920</v>
      </c>
      <c r="B9" s="2344">
        <f ca="1">IF(C9&lt;B2,"已过期",1419970001)</f>
        <v>1419970001</v>
      </c>
      <c r="C9" s="3006">
        <v>43867</v>
      </c>
      <c r="D9" s="2344" t="s">
        <v>1920</v>
      </c>
      <c r="E9" s="2344">
        <f ca="1">IF(F9&lt;B2,"已过期",2002110125)</f>
        <v>2002110125</v>
      </c>
      <c r="F9" s="3007">
        <v>47118</v>
      </c>
    </row>
    <row r="10" spans="1:6" ht="20.25" customHeight="1">
      <c r="A10" s="2344" t="s">
        <v>1921</v>
      </c>
      <c r="B10" s="2344">
        <f ca="1">IF(C10&lt;B2,"已过期",1120060040)</f>
        <v>1120060040</v>
      </c>
      <c r="C10" s="3006">
        <v>43483</v>
      </c>
      <c r="D10" s="2344" t="s">
        <v>1921</v>
      </c>
      <c r="E10" s="2344">
        <f ca="1">IF(F10&lt;B2,"已过期",2004110096)</f>
        <v>2004110096</v>
      </c>
      <c r="F10" s="3007">
        <v>47118</v>
      </c>
    </row>
    <row r="11" spans="1:6" ht="20.25" customHeight="1">
      <c r="A11" s="2344" t="s">
        <v>1922</v>
      </c>
      <c r="B11" s="2344">
        <f ca="1">IF(C11&lt;B2,"已过期",1120100036)</f>
        <v>1120100036</v>
      </c>
      <c r="C11" s="3006">
        <v>43622</v>
      </c>
      <c r="D11" s="2344" t="s">
        <v>1922</v>
      </c>
      <c r="E11" s="2344">
        <f ca="1">IF(F11&lt;B2,"已过期",2010110070)</f>
        <v>2010110070</v>
      </c>
      <c r="F11" s="3007">
        <v>47907</v>
      </c>
    </row>
    <row r="12" spans="1:6" ht="20.25" customHeight="1">
      <c r="A12" s="2344" t="s">
        <v>2981</v>
      </c>
      <c r="B12" s="2344">
        <v>1120110054</v>
      </c>
      <c r="C12" s="3006">
        <v>43937</v>
      </c>
      <c r="D12" s="2344" t="s">
        <v>2981</v>
      </c>
      <c r="E12" s="2344">
        <v>2008110060</v>
      </c>
      <c r="F12" s="3007">
        <v>47177</v>
      </c>
    </row>
    <row r="13" spans="1:6" ht="20.25" customHeight="1">
      <c r="A13" s="2344" t="s">
        <v>1923</v>
      </c>
      <c r="B13" s="2344">
        <f ca="1">IF(C13&lt;B2,"已过期",1120070131)</f>
        <v>1120070131</v>
      </c>
      <c r="C13" s="3006">
        <v>43814</v>
      </c>
      <c r="D13" s="2344" t="s">
        <v>1923</v>
      </c>
      <c r="E13" s="2344">
        <v>2014110011</v>
      </c>
      <c r="F13" s="3007">
        <v>49302</v>
      </c>
    </row>
    <row r="14" spans="1:6" ht="20.25" customHeight="1">
      <c r="A14" s="2344" t="s">
        <v>1924</v>
      </c>
      <c r="B14" s="2344">
        <f ca="1">IF(C14&lt;B2,"已过期",1120130020)</f>
        <v>1120130020</v>
      </c>
      <c r="C14" s="3006">
        <v>43622</v>
      </c>
      <c r="D14" s="2344"/>
      <c r="E14" s="2344"/>
      <c r="F14" s="2344"/>
    </row>
    <row r="15" spans="1:6" ht="20.25" customHeight="1">
      <c r="A15" s="2344" t="s">
        <v>2576</v>
      </c>
      <c r="B15" s="2344">
        <v>1120070085</v>
      </c>
      <c r="C15" s="3006">
        <v>43814</v>
      </c>
      <c r="D15" s="2344" t="s">
        <v>2576</v>
      </c>
      <c r="E15" s="2344">
        <v>2004110128</v>
      </c>
      <c r="F15" s="3007">
        <v>47118</v>
      </c>
    </row>
    <row r="16" spans="1:6" ht="20.25" customHeight="1">
      <c r="A16" s="2344" t="s">
        <v>1925</v>
      </c>
      <c r="B16" s="2344">
        <f ca="1">IF(C16&lt;B2,"已过期",1120140022)</f>
        <v>1120140022</v>
      </c>
      <c r="C16" s="3006">
        <v>44029</v>
      </c>
      <c r="D16" s="2344" t="s">
        <v>1925</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1926</v>
      </c>
      <c r="E21" s="2344">
        <f ca="1">IF(F21&lt;B2,"已过期",2011110090)</f>
        <v>2011110090</v>
      </c>
      <c r="F21" s="3007">
        <v>48302</v>
      </c>
    </row>
    <row r="22" spans="1:7" ht="20.25" customHeight="1">
      <c r="A22" s="2344" t="s">
        <v>1927</v>
      </c>
      <c r="B22" s="2344">
        <f ca="1">IF(C22&lt;B2,"已过期",1120020033)</f>
        <v>1120020033</v>
      </c>
      <c r="C22" s="3006">
        <v>44339</v>
      </c>
      <c r="D22" s="2344" t="s">
        <v>1927</v>
      </c>
      <c r="E22" s="2344">
        <f ca="1">IF(F22&lt;B2,"已过期",2000110137)</f>
        <v>2000110137</v>
      </c>
      <c r="F22" s="3007">
        <v>46387</v>
      </c>
    </row>
    <row r="23" spans="1:7" ht="20.25" customHeight="1">
      <c r="A23" s="2344" t="s">
        <v>1928</v>
      </c>
      <c r="B23" s="2344">
        <f ca="1">IF(C23&lt;B2,"已过期",1120130048)</f>
        <v>1120130048</v>
      </c>
      <c r="C23" s="3006">
        <v>43686</v>
      </c>
      <c r="D23" s="2344"/>
      <c r="E23" s="2344"/>
      <c r="F23" s="2344"/>
    </row>
    <row r="24" spans="1:7" s="2348" customFormat="1" ht="20.25" customHeight="1">
      <c r="A24" s="2346" t="s">
        <v>2056</v>
      </c>
      <c r="B24" s="2346" t="s">
        <v>2056</v>
      </c>
      <c r="C24" s="3006"/>
      <c r="D24" s="3008" t="s">
        <v>2056</v>
      </c>
      <c r="E24" s="2346" t="s">
        <v>2056</v>
      </c>
      <c r="F24" s="2347"/>
    </row>
    <row r="25" spans="1:7" ht="20.25" customHeight="1">
      <c r="A25" s="3239" t="s">
        <v>1929</v>
      </c>
      <c r="B25" s="3239"/>
      <c r="C25" s="3239"/>
      <c r="D25" s="3239"/>
      <c r="E25" s="3239"/>
      <c r="F25" s="3239"/>
      <c r="G25" s="3239"/>
    </row>
    <row r="26" spans="1:7" ht="20.25" customHeight="1">
      <c r="A26" s="3240" t="s">
        <v>1930</v>
      </c>
      <c r="B26" s="3240"/>
      <c r="C26" s="3240"/>
      <c r="D26" s="3240" t="s">
        <v>1931</v>
      </c>
      <c r="E26" s="3240"/>
      <c r="F26" s="3240"/>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2" t="s">
        <v>2959</v>
      </c>
      <c r="C18" s="1554"/>
    </row>
    <row r="19" spans="1:3">
      <c r="A19" s="8" t="s">
        <v>120</v>
      </c>
      <c r="B19" s="3112"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41"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c r="D53" s="1768"/>
      <c r="E53" s="1768"/>
    </row>
    <row r="54" spans="1:5">
      <c r="A54" s="3241"/>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1"/>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1"/>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1"/>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不动产比较法-别墅</vt:lpstr>
      <vt:lpstr>不动产比较法-车位</vt:lpstr>
      <vt:lpstr>不动产比较法-仓储</vt:lpstr>
      <vt:lpstr>典型户型修正</vt:lpstr>
      <vt:lpstr>存贷款利率</vt:lpstr>
      <vt:lpstr>不动产收益法</vt:lpstr>
      <vt:lpstr>土地案例</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2018-10-31T06:41:11Z</dcterms:modified>
</cp:coreProperties>
</file>