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询价\"/>
    </mc:Choice>
  </mc:AlternateContent>
  <bookViews>
    <workbookView xWindow="45" yWindow="150" windowWidth="11565" windowHeight="94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信息" sheetId="68"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'数据-汇总表'!$A$1:$G$32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6" i="1" l="1"/>
  <c r="C10" i="12"/>
  <c r="C8" i="12"/>
  <c r="D10" i="12"/>
  <c r="I48" i="39"/>
  <c r="G48" i="39"/>
  <c r="E48" i="39"/>
  <c r="I40" i="39"/>
  <c r="G40" i="39"/>
  <c r="E40" i="39"/>
  <c r="C40" i="39"/>
  <c r="C13" i="39"/>
  <c r="I13" i="39"/>
  <c r="G13" i="39"/>
  <c r="E13" i="39"/>
  <c r="F20" i="6"/>
  <c r="F19" i="6"/>
  <c r="K13" i="3"/>
  <c r="I13" i="3"/>
  <c r="A3" i="3"/>
  <c r="I9" i="39"/>
  <c r="G9" i="39"/>
  <c r="E9" i="39"/>
  <c r="I7" i="39"/>
  <c r="G7" i="39"/>
  <c r="E7" i="39"/>
  <c r="D73" i="39"/>
  <c r="E73" i="39" s="1"/>
  <c r="F73" i="39" s="1"/>
  <c r="G73" i="39" s="1"/>
  <c r="H73" i="39" s="1"/>
  <c r="I73" i="39" s="1"/>
  <c r="J73" i="39" s="1"/>
  <c r="K73" i="39" s="1"/>
  <c r="L73" i="39" s="1"/>
  <c r="M73" i="39" s="1"/>
  <c r="N73" i="39" s="1"/>
  <c r="D3" i="4"/>
  <c r="M3" i="69" l="1"/>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2" i="69"/>
  <c r="G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2" i="69"/>
  <c r="AH5" i="59" l="1"/>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8" i="51"/>
  <c r="B21" i="63" s="1"/>
  <c r="A27" i="51"/>
  <c r="B20" i="63"/>
  <c r="Q13" i="59"/>
  <c r="O13" i="59"/>
  <c r="N14" i="59"/>
  <c r="O14" i="59"/>
  <c r="P14" i="59"/>
  <c r="Q14" i="59"/>
  <c r="N13" i="59"/>
  <c r="P13" i="59"/>
  <c r="C15" i="59"/>
  <c r="D15" i="59" s="1"/>
  <c r="E15" i="59"/>
  <c r="F15"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5" i="59"/>
  <c r="T15" i="59"/>
  <c r="B11" i="59"/>
  <c r="B10" i="59"/>
  <c r="B9" i="59"/>
  <c r="E11" i="59"/>
  <c r="E10" i="59"/>
  <c r="E9" i="59" s="1"/>
  <c r="E8" i="59" s="1"/>
  <c r="E7" i="59" s="1"/>
  <c r="C14" i="59"/>
  <c r="D14" i="59" s="1"/>
  <c r="F14" i="59"/>
  <c r="F13"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7" i="64"/>
  <c r="A15" i="64"/>
  <c r="A14" i="64"/>
  <c r="A11" i="64"/>
  <c r="A3" i="64"/>
  <c r="A45" i="9"/>
  <c r="A44" i="9"/>
  <c r="C57" i="10"/>
  <c r="A28" i="64" s="1"/>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67" i="63"/>
  <c r="I19" i="46"/>
  <c r="Q15" i="59"/>
  <c r="P15" i="59"/>
  <c r="O15" i="59"/>
  <c r="N15" i="59"/>
  <c r="D76" i="59"/>
  <c r="F75" i="59"/>
  <c r="E75" i="59"/>
  <c r="E74" i="59"/>
  <c r="E73" i="59"/>
  <c r="C75" i="59"/>
  <c r="D75" i="59"/>
  <c r="B75" i="59"/>
  <c r="F74" i="59"/>
  <c r="F73" i="59" s="1"/>
  <c r="B74" i="59"/>
  <c r="B73" i="59" s="1"/>
  <c r="D72" i="59"/>
  <c r="F71" i="59"/>
  <c r="E71" i="59"/>
  <c r="E70" i="59"/>
  <c r="E69" i="59"/>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c r="C55" i="59"/>
  <c r="B55" i="59"/>
  <c r="D52" i="59"/>
  <c r="Q51" i="59"/>
  <c r="P51" i="59"/>
  <c r="O51" i="59"/>
  <c r="N51" i="59"/>
  <c r="Q50" i="59"/>
  <c r="P50" i="59"/>
  <c r="O50" i="59"/>
  <c r="N50" i="59"/>
  <c r="Q49" i="59"/>
  <c r="P49" i="59"/>
  <c r="O49" i="59"/>
  <c r="N49" i="59"/>
  <c r="Q48" i="59"/>
  <c r="F49" i="59" s="1"/>
  <c r="P48" i="59"/>
  <c r="E49" i="59" s="1"/>
  <c r="E50" i="59" s="1"/>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D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c r="C34" i="59" s="1"/>
  <c r="D34" i="59" s="1"/>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AB26" i="59" s="1"/>
  <c r="P26" i="59"/>
  <c r="O26" i="59"/>
  <c r="Y26" i="59"/>
  <c r="Z26" i="59" s="1"/>
  <c r="N26" i="59"/>
  <c r="X26" i="59" s="1"/>
  <c r="Q25" i="59"/>
  <c r="AB25" i="59" s="1"/>
  <c r="P25" i="59"/>
  <c r="O25" i="59"/>
  <c r="Y25" i="59" s="1"/>
  <c r="Z25" i="59" s="1"/>
  <c r="N25" i="59"/>
  <c r="Q24" i="59"/>
  <c r="AB24" i="59" s="1"/>
  <c r="P24" i="59"/>
  <c r="AA24" i="59" s="1"/>
  <c r="O24" i="59"/>
  <c r="C25" i="59"/>
  <c r="C26" i="59" s="1"/>
  <c r="N24" i="59"/>
  <c r="B25" i="59"/>
  <c r="B26" i="59" s="1"/>
  <c r="B27" i="59" s="1"/>
  <c r="S27" i="59" s="1"/>
  <c r="D24" i="59"/>
  <c r="Q23" i="59"/>
  <c r="AB23" i="59" s="1"/>
  <c r="P23" i="59"/>
  <c r="AA23" i="59" s="1"/>
  <c r="O23" i="59"/>
  <c r="N23" i="59"/>
  <c r="X23" i="59" s="1"/>
  <c r="Q22" i="59"/>
  <c r="P22" i="59"/>
  <c r="AA22" i="59" s="1"/>
  <c r="O22" i="59"/>
  <c r="Y22" i="59" s="1"/>
  <c r="Z22" i="59" s="1"/>
  <c r="N22" i="59"/>
  <c r="X22" i="59" s="1"/>
  <c r="Q21" i="59"/>
  <c r="P21" i="59"/>
  <c r="AA21" i="59" s="1"/>
  <c r="O21" i="59"/>
  <c r="N21" i="59"/>
  <c r="X21" i="59" s="1"/>
  <c r="Q20" i="59"/>
  <c r="F21" i="59"/>
  <c r="P20" i="59"/>
  <c r="AA20" i="59" s="1"/>
  <c r="E21" i="59"/>
  <c r="E22" i="59" s="1"/>
  <c r="E23" i="59" s="1"/>
  <c r="U23" i="59" s="1"/>
  <c r="O20" i="59"/>
  <c r="C21" i="59" s="1"/>
  <c r="N20" i="59"/>
  <c r="X20" i="59" s="1"/>
  <c r="D20" i="59"/>
  <c r="Q19" i="59"/>
  <c r="AB19" i="59" s="1"/>
  <c r="P19" i="59"/>
  <c r="O19" i="59"/>
  <c r="Y19" i="59" s="1"/>
  <c r="Z19" i="59" s="1"/>
  <c r="N19" i="59"/>
  <c r="X19" i="59" s="1"/>
  <c r="Q18" i="59"/>
  <c r="AB18" i="59" s="1"/>
  <c r="P18" i="59"/>
  <c r="O18" i="59"/>
  <c r="Y18" i="59" s="1"/>
  <c r="Z18" i="59" s="1"/>
  <c r="N18" i="59"/>
  <c r="Q17" i="59"/>
  <c r="AB17" i="59" s="1"/>
  <c r="P17" i="59"/>
  <c r="O17" i="59"/>
  <c r="Y17" i="59" s="1"/>
  <c r="Z17" i="59" s="1"/>
  <c r="N17" i="59"/>
  <c r="Q16" i="59"/>
  <c r="P16" i="59"/>
  <c r="AA16" i="59" s="1"/>
  <c r="O16" i="59"/>
  <c r="C17" i="59"/>
  <c r="C18" i="59" s="1"/>
  <c r="N16" i="59"/>
  <c r="B17" i="59"/>
  <c r="B18" i="59" s="1"/>
  <c r="B19" i="59" s="1"/>
  <c r="S19" i="59" s="1"/>
  <c r="D16" i="59"/>
  <c r="X3" i="59"/>
  <c r="X13" i="59"/>
  <c r="X15" i="59"/>
  <c r="AA12" i="59"/>
  <c r="AA14" i="59"/>
  <c r="Y12" i="59"/>
  <c r="Z12" i="59" s="1"/>
  <c r="Y13" i="59"/>
  <c r="Z13" i="59" s="1"/>
  <c r="Y14" i="59"/>
  <c r="Z14" i="59" s="1"/>
  <c r="Y15" i="59"/>
  <c r="Z15" i="59" s="1"/>
  <c r="Y3" i="59"/>
  <c r="Z3" i="59" s="1"/>
  <c r="AB15" i="59"/>
  <c r="AB12" i="59"/>
  <c r="AB14" i="59"/>
  <c r="E17" i="59"/>
  <c r="E18" i="59" s="1"/>
  <c r="E19" i="59" s="1"/>
  <c r="U19" i="59" s="1"/>
  <c r="B38" i="59"/>
  <c r="B39" i="59" s="1"/>
  <c r="S39" i="59" s="1"/>
  <c r="S55" i="59"/>
  <c r="AA26" i="59"/>
  <c r="F22" i="59"/>
  <c r="F23" i="59" s="1"/>
  <c r="V23" i="59" s="1"/>
  <c r="F30" i="59"/>
  <c r="F31" i="59" s="1"/>
  <c r="V31" i="59" s="1"/>
  <c r="F42" i="59"/>
  <c r="F43" i="59" s="1"/>
  <c r="V43" i="59" s="1"/>
  <c r="F50" i="59"/>
  <c r="F51" i="59" s="1"/>
  <c r="V51" i="59" s="1"/>
  <c r="D17" i="59"/>
  <c r="D25" i="59"/>
  <c r="C38" i="59"/>
  <c r="C39" i="59" s="1"/>
  <c r="D37" i="59"/>
  <c r="C42" i="59"/>
  <c r="C43" i="59" s="1"/>
  <c r="C46" i="59"/>
  <c r="D46" i="59" s="1"/>
  <c r="C50" i="59"/>
  <c r="C51" i="59" s="1"/>
  <c r="E53" i="59"/>
  <c r="P52" i="59" s="1"/>
  <c r="T55" i="59"/>
  <c r="O55" i="59"/>
  <c r="D55" i="59"/>
  <c r="C54" i="59"/>
  <c r="P55" i="59"/>
  <c r="U55" i="59"/>
  <c r="Q55" i="59"/>
  <c r="C58" i="59"/>
  <c r="E58" i="59"/>
  <c r="E57" i="59" s="1"/>
  <c r="D59" i="59"/>
  <c r="E62" i="59"/>
  <c r="E61" i="59" s="1"/>
  <c r="D63" i="59"/>
  <c r="C66" i="59"/>
  <c r="E66" i="59"/>
  <c r="E65" i="59" s="1"/>
  <c r="D67" i="59"/>
  <c r="C70" i="59"/>
  <c r="C74" i="59"/>
  <c r="D74" i="59" s="1"/>
  <c r="U16" i="4"/>
  <c r="S16" i="4"/>
  <c r="Q16" i="4"/>
  <c r="O16" i="4"/>
  <c r="N16" i="4" s="1"/>
  <c r="M16" i="4"/>
  <c r="K16" i="4"/>
  <c r="L16" i="4" s="1"/>
  <c r="P53" i="59"/>
  <c r="C73" i="59"/>
  <c r="D73" i="59" s="1"/>
  <c r="D66" i="59"/>
  <c r="C65" i="59"/>
  <c r="D65" i="59"/>
  <c r="D58" i="59"/>
  <c r="C57" i="59"/>
  <c r="D57" i="59" s="1"/>
  <c r="C53" i="59"/>
  <c r="O53" i="59" s="1"/>
  <c r="O54" i="59"/>
  <c r="D54" i="59"/>
  <c r="D70" i="59"/>
  <c r="C69" i="59"/>
  <c r="D69" i="59" s="1"/>
  <c r="D50" i="59"/>
  <c r="C47" i="59"/>
  <c r="T47" i="59" s="1"/>
  <c r="D42" i="59"/>
  <c r="D38" i="59"/>
  <c r="D47" i="59"/>
  <c r="D5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AA21" i="34"/>
  <c r="Q21" i="33"/>
  <c r="Z21" i="33" s="1"/>
  <c r="C21" i="33"/>
  <c r="D83" i="33"/>
  <c r="E83" i="33" s="1"/>
  <c r="F83" i="33" s="1"/>
  <c r="G83" i="33" s="1"/>
  <c r="Z21" i="21"/>
  <c r="Q21" i="2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c r="S18" i="36"/>
  <c r="S18" i="35"/>
  <c r="S21" i="34"/>
  <c r="S27" i="40"/>
  <c r="S31" i="39"/>
  <c r="C27" i="40"/>
  <c r="C31" i="39"/>
  <c r="B54" i="46"/>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M43"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c r="H36" i="39"/>
  <c r="AB36" i="39" s="1"/>
  <c r="H40" i="39"/>
  <c r="AB40" i="39" s="1"/>
  <c r="H42" i="39"/>
  <c r="AB42" i="39"/>
  <c r="J10" i="39"/>
  <c r="AC10" i="39" s="1"/>
  <c r="J11" i="39"/>
  <c r="AC11" i="39"/>
  <c r="J36" i="39"/>
  <c r="AC36" i="39" s="1"/>
  <c r="J40" i="39"/>
  <c r="AC40" i="39" s="1"/>
  <c r="J42" i="39"/>
  <c r="AC42" i="39"/>
  <c r="F35" i="44"/>
  <c r="M21" i="44"/>
  <c r="F20" i="44"/>
  <c r="C6" i="43"/>
  <c r="K9" i="43"/>
  <c r="J9" i="43"/>
  <c r="I9" i="43"/>
  <c r="H9" i="43"/>
  <c r="G9" i="43"/>
  <c r="F9" i="43"/>
  <c r="E9" i="43"/>
  <c r="D9" i="43"/>
  <c r="C9" i="43"/>
  <c r="BC13" i="3"/>
  <c r="BB13" i="3"/>
  <c r="BR13" i="3"/>
  <c r="C6" i="12"/>
  <c r="C24" i="12" s="1"/>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s="1"/>
  <c r="E59" i="34" s="1"/>
  <c r="F59" i="34" s="1"/>
  <c r="G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H33" i="21"/>
  <c r="U33" i="21" s="1"/>
  <c r="F33" i="21"/>
  <c r="J10" i="21"/>
  <c r="AC10" i="21"/>
  <c r="H26" i="21"/>
  <c r="F19" i="2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40" i="33"/>
  <c r="S33" i="33"/>
  <c r="W33" i="33"/>
  <c r="U38" i="33"/>
  <c r="W8" i="21"/>
  <c r="H39" i="37"/>
  <c r="AB39" i="37"/>
  <c r="AB27" i="35"/>
  <c r="S10" i="40"/>
  <c r="W10" i="40"/>
  <c r="S11" i="40"/>
  <c r="U11" i="40"/>
  <c r="S36" i="40"/>
  <c r="U36" i="40"/>
  <c r="S36" i="39"/>
  <c r="F11" i="21"/>
  <c r="S11" i="21" s="1"/>
  <c r="AC40" i="21"/>
  <c r="AA38" i="21"/>
  <c r="AB36" i="21"/>
  <c r="C29" i="39"/>
  <c r="U36" i="39"/>
  <c r="S42" i="39"/>
  <c r="H32" i="33"/>
  <c r="AB32" i="33" s="1"/>
  <c r="H11" i="21"/>
  <c r="U11" i="21" s="1"/>
  <c r="J11" i="21"/>
  <c r="W11" i="21" s="1"/>
  <c r="F100" i="40"/>
  <c r="F86" i="40"/>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AA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F40" i="37"/>
  <c r="AA40" i="37"/>
  <c r="U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AB31" i="21"/>
  <c r="S46" i="21"/>
  <c r="AC30" i="21"/>
  <c r="W30" i="21"/>
  <c r="AB30" i="21"/>
  <c r="AA28" i="21"/>
  <c r="W14" i="21"/>
  <c r="AC14" i="21"/>
  <c r="W42" i="21"/>
  <c r="S46" i="33"/>
  <c r="U36" i="37"/>
  <c r="AC13" i="36"/>
  <c r="AB45" i="33"/>
  <c r="AB31" i="33"/>
  <c r="AB27"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G13" i="3"/>
  <c r="AC5" i="3"/>
  <c r="F17" i="21"/>
  <c r="S17" i="21"/>
  <c r="H17" i="21"/>
  <c r="AB17" i="21"/>
  <c r="J17" i="21"/>
  <c r="AC17" i="21"/>
  <c r="H37" i="21"/>
  <c r="U37" i="2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34" i="39"/>
  <c r="AA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B25" i="39"/>
  <c r="U37" i="34"/>
  <c r="AC41" i="40"/>
  <c r="W41" i="40"/>
  <c r="U41" i="40"/>
  <c r="J23" i="40"/>
  <c r="AC23" i="40"/>
  <c r="F23" i="40"/>
  <c r="S23" i="40" s="1"/>
  <c r="AC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AB21" i="39"/>
  <c r="U21"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AB46" i="39"/>
  <c r="AB44" i="39"/>
  <c r="AC33" i="39"/>
  <c r="AA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W23" i="40"/>
  <c r="D73" i="9"/>
  <c r="N73" i="9" s="1"/>
  <c r="B11" i="1"/>
  <c r="E11" i="1"/>
  <c r="K11" i="1"/>
  <c r="M11" i="1" s="1"/>
  <c r="O11" i="1" s="1"/>
  <c r="B9" i="1"/>
  <c r="E9" i="1"/>
  <c r="K9" i="1"/>
  <c r="M9" i="1" s="1"/>
  <c r="B7" i="1"/>
  <c r="E7" i="1"/>
  <c r="K7" i="1"/>
  <c r="M7" i="1" s="1"/>
  <c r="C20" i="43"/>
  <c r="F6" i="1"/>
  <c r="AP6" i="1" s="1"/>
  <c r="M22" i="44"/>
  <c r="F32" i="15"/>
  <c r="F59" i="15" s="1"/>
  <c r="F29" i="12"/>
  <c r="F70" i="9"/>
  <c r="D86" i="9"/>
  <c r="M20" i="44"/>
  <c r="F31" i="43"/>
  <c r="F30" i="44"/>
  <c r="C30" i="44"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A21" i="39"/>
  <c r="AC38" i="39"/>
  <c r="AB15" i="39"/>
  <c r="U11" i="39"/>
  <c r="U41" i="39"/>
  <c r="AB38" i="39"/>
  <c r="U31" i="39"/>
  <c r="AB31" i="39"/>
  <c r="S38" i="39"/>
  <c r="S22" i="31"/>
  <c r="D18" i="9"/>
  <c r="M44" i="9" s="1"/>
  <c r="M20" i="15"/>
  <c r="D96" i="9"/>
  <c r="F28" i="15"/>
  <c r="C28" i="15" s="1"/>
  <c r="M18" i="15"/>
  <c r="A18" i="64"/>
  <c r="B74" i="63" s="1"/>
  <c r="C53" i="10"/>
  <c r="A25" i="64" s="1"/>
  <c r="A18" i="51"/>
  <c r="B14" i="63" s="1"/>
  <c r="BA16" i="3"/>
  <c r="BA17" i="3"/>
  <c r="AZ17" i="3"/>
  <c r="F3" i="35"/>
  <c r="K1" i="43"/>
  <c r="K1" i="12"/>
  <c r="G1" i="44"/>
  <c r="I4" i="6"/>
  <c r="G3" i="46"/>
  <c r="H22" i="46" s="1"/>
  <c r="AZ15" i="3"/>
  <c r="BK5" i="3"/>
  <c r="BO5" i="3"/>
  <c r="BP5" i="3"/>
  <c r="BN5" i="3"/>
  <c r="BL18" i="3"/>
  <c r="AZ18" i="3"/>
  <c r="BC5" i="3"/>
  <c r="E8" i="6" s="1"/>
  <c r="BD5" i="3"/>
  <c r="BR5" i="3"/>
  <c r="G28" i="6" s="1"/>
  <c r="BS5" i="3"/>
  <c r="BQ5" i="3"/>
  <c r="BL16" i="3"/>
  <c r="BL5" i="3" s="1"/>
  <c r="BM5" i="3"/>
  <c r="BA13" i="3"/>
  <c r="AZ13" i="3" s="1"/>
  <c r="G26" i="12"/>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6" i="63"/>
  <c r="L5" i="54"/>
  <c r="B39" i="63" s="1"/>
  <c r="K5" i="54"/>
  <c r="B38" i="63" s="1"/>
  <c r="T41" i="4"/>
  <c r="A17" i="64" s="1"/>
  <c r="B46" i="50"/>
  <c r="B4" i="63" s="1"/>
  <c r="C46" i="36"/>
  <c r="D46" i="36" s="1"/>
  <c r="E46" i="36" s="1"/>
  <c r="F46" i="36" s="1"/>
  <c r="G46" i="36" s="1"/>
  <c r="H46" i="36" s="1"/>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W31" i="39" s="1"/>
  <c r="W41" i="39"/>
  <c r="AB43" i="39"/>
  <c r="AB33" i="39"/>
  <c r="AC46" i="39"/>
  <c r="S34" i="39"/>
  <c r="W42" i="39"/>
  <c r="W36" i="39"/>
  <c r="AC37" i="39"/>
  <c r="U14" i="39"/>
  <c r="W16" i="39"/>
  <c r="S15" i="39"/>
  <c r="S41" i="39"/>
  <c r="AA44" i="39"/>
  <c r="AA46" i="39"/>
  <c r="W11" i="39"/>
  <c r="U42" i="39"/>
  <c r="W40" i="39"/>
  <c r="S32" i="40"/>
  <c r="C27" i="39"/>
  <c r="C17" i="40"/>
  <c r="C19" i="40"/>
  <c r="C17" i="39"/>
  <c r="C19" i="39"/>
  <c r="C21" i="39"/>
  <c r="C23" i="40"/>
  <c r="B51" i="46"/>
  <c r="B55" i="46"/>
  <c r="B62" i="46"/>
  <c r="B66"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21" i="12" s="1"/>
  <c r="C21" i="12" s="1"/>
  <c r="AT6" i="3"/>
  <c r="BA5" i="3"/>
  <c r="G29" i="6"/>
  <c r="E29" i="6" s="1"/>
  <c r="K15" i="1" s="1"/>
  <c r="AZ16" i="3"/>
  <c r="A9" i="64"/>
  <c r="A9" i="51"/>
  <c r="B9" i="63" s="1"/>
  <c r="A3" i="55"/>
  <c r="B56" i="63" s="1"/>
  <c r="E4" i="4"/>
  <c r="B21" i="55" s="1"/>
  <c r="B72" i="63" s="1"/>
  <c r="C4" i="4"/>
  <c r="G66" i="36"/>
  <c r="J18" i="36"/>
  <c r="AE8" i="1"/>
  <c r="AE7" i="1"/>
  <c r="AE6" i="1"/>
  <c r="W18" i="36"/>
  <c r="AC18" i="36"/>
  <c r="AG6" i="1"/>
  <c r="L20" i="6"/>
  <c r="L19" i="6"/>
  <c r="L27" i="6" s="1"/>
  <c r="B20" i="55"/>
  <c r="B70" i="63"/>
  <c r="S8" i="1"/>
  <c r="S9" i="1"/>
  <c r="R9" i="1"/>
  <c r="R8" i="1"/>
  <c r="C45" i="9"/>
  <c r="H14" i="66"/>
  <c r="B7" i="66" s="1"/>
  <c r="C44" i="9"/>
  <c r="G14" i="66" s="1"/>
  <c r="B6" i="66" s="1"/>
  <c r="O40" i="9"/>
  <c r="K31" i="9" s="1"/>
  <c r="K32" i="9" s="1"/>
  <c r="O39" i="9"/>
  <c r="K29" i="9"/>
  <c r="K30" i="9"/>
  <c r="R6" i="54"/>
  <c r="B50" i="63" s="1"/>
  <c r="N76" i="9"/>
  <c r="C46" i="9"/>
  <c r="K33" i="9"/>
  <c r="K34" i="9" s="1"/>
  <c r="O41" i="9"/>
  <c r="I14" i="66"/>
  <c r="B8" i="66" s="1"/>
  <c r="R8" i="54"/>
  <c r="B54" i="63" s="1"/>
  <c r="A25" i="51"/>
  <c r="B18" i="63" s="1"/>
  <c r="D58" i="21"/>
  <c r="E58" i="21" s="1"/>
  <c r="F58" i="21" s="1"/>
  <c r="D70" i="39"/>
  <c r="E70" i="39" s="1"/>
  <c r="D58" i="33"/>
  <c r="E58" i="33" s="1"/>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25" i="12"/>
  <c r="C27" i="43"/>
  <c r="C31" i="43"/>
  <c r="H51" i="46"/>
  <c r="X7" i="46"/>
  <c r="E17" i="46"/>
  <c r="N17" i="46"/>
  <c r="O17" i="46"/>
  <c r="M17" i="46"/>
  <c r="L17" i="46"/>
  <c r="G22" i="46"/>
  <c r="E28" i="6"/>
  <c r="AP7" i="1"/>
  <c r="E52" i="37"/>
  <c r="F52" i="37" s="1"/>
  <c r="G52" i="37" s="1"/>
  <c r="H70" i="46"/>
  <c r="H73" i="46"/>
  <c r="H50" i="46"/>
  <c r="H48" i="46"/>
  <c r="F35" i="46"/>
  <c r="I17" i="46"/>
  <c r="G17" i="46" s="1"/>
  <c r="C16" i="46" s="1"/>
  <c r="H63" i="46"/>
  <c r="AD11" i="46"/>
  <c r="AD13" i="46" s="1"/>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P21" i="46"/>
  <c r="B8" i="59"/>
  <c r="B7" i="59"/>
  <c r="S7" i="59" s="1"/>
  <c r="D8" i="59"/>
  <c r="P22" i="46"/>
  <c r="P23" i="46"/>
  <c r="P25" i="46"/>
  <c r="B73" i="39"/>
  <c r="P24" i="46"/>
  <c r="B68" i="40"/>
  <c r="D72" i="39"/>
  <c r="D7" i="59"/>
  <c r="K14" i="1"/>
  <c r="M14" i="1" s="1"/>
  <c r="E30" i="6"/>
  <c r="C7" i="46"/>
  <c r="G20" i="46"/>
  <c r="E41" i="46" s="1"/>
  <c r="C41" i="46" s="1"/>
  <c r="M26" i="15"/>
  <c r="M25" i="44"/>
  <c r="L49" i="44"/>
  <c r="F14" i="67"/>
  <c r="F42" i="15"/>
  <c r="B11" i="67"/>
  <c r="F37" i="15"/>
  <c r="F37" i="44"/>
  <c r="F11" i="67"/>
  <c r="F26" i="15"/>
  <c r="N6" i="65"/>
  <c r="C19" i="44"/>
  <c r="F40" i="15"/>
  <c r="M29" i="15"/>
  <c r="M8" i="44"/>
  <c r="F11" i="44"/>
  <c r="B8" i="67"/>
  <c r="M28" i="44"/>
  <c r="F38" i="15"/>
  <c r="M11" i="44"/>
  <c r="F7" i="15"/>
  <c r="L48" i="15"/>
  <c r="F16" i="15"/>
  <c r="F46" i="44"/>
  <c r="F13" i="15"/>
  <c r="E11" i="67"/>
  <c r="M26" i="44"/>
  <c r="M24" i="15"/>
  <c r="F28" i="44"/>
  <c r="N5" i="65"/>
  <c r="M30" i="44"/>
  <c r="M28" i="15"/>
  <c r="M24" i="44"/>
  <c r="M6" i="15"/>
  <c r="E12" i="67"/>
  <c r="E14" i="67"/>
  <c r="E10" i="67"/>
  <c r="B12" i="67"/>
  <c r="F15" i="44"/>
  <c r="F18" i="44"/>
  <c r="M10" i="44"/>
  <c r="N7" i="65"/>
  <c r="F8" i="44"/>
  <c r="F39" i="44"/>
  <c r="M23" i="15"/>
  <c r="B13" i="67"/>
  <c r="F43" i="44"/>
  <c r="M22" i="15"/>
  <c r="N4" i="65"/>
  <c r="L47" i="15"/>
  <c r="F9" i="67"/>
  <c r="F9" i="44"/>
  <c r="F43" i="15"/>
  <c r="M31" i="44"/>
  <c r="F12" i="67"/>
  <c r="F35" i="15"/>
  <c r="F6" i="15"/>
  <c r="F10" i="44"/>
  <c r="F45" i="44"/>
  <c r="F8" i="15"/>
  <c r="J15" i="15"/>
  <c r="M8" i="15"/>
  <c r="M21" i="15"/>
  <c r="M29" i="44"/>
  <c r="L48" i="44"/>
  <c r="F10" i="67"/>
  <c r="F40" i="44"/>
  <c r="E8" i="67"/>
  <c r="F9" i="15"/>
  <c r="B9" i="67"/>
  <c r="E13" i="67"/>
  <c r="N3" i="65"/>
  <c r="M9" i="15"/>
  <c r="B10" i="67"/>
  <c r="M27" i="15"/>
  <c r="B14" i="67"/>
  <c r="F13" i="67"/>
  <c r="F41" i="15"/>
  <c r="F38" i="44"/>
  <c r="J17" i="44"/>
  <c r="F36" i="15"/>
  <c r="F8" i="67"/>
  <c r="M23" i="44"/>
  <c r="J36" i="15"/>
  <c r="E9" i="67"/>
  <c r="W10" i="39" l="1"/>
  <c r="D26" i="44"/>
  <c r="S45" i="39"/>
  <c r="AA45" i="39"/>
  <c r="AA47" i="39"/>
  <c r="S47" i="39"/>
  <c r="J47" i="39"/>
  <c r="H47" i="39"/>
  <c r="J45" i="39"/>
  <c r="H45" i="39"/>
  <c r="AA37" i="39"/>
  <c r="C15" i="12"/>
  <c r="AC31" i="39"/>
  <c r="S25" i="39"/>
  <c r="W25" i="39"/>
  <c r="AC21" i="39"/>
  <c r="F83" i="39"/>
  <c r="G83" i="39" s="1"/>
  <c r="H83" i="39" s="1"/>
  <c r="I83" i="39" s="1"/>
  <c r="J83" i="39" s="1"/>
  <c r="K83" i="39" s="1"/>
  <c r="L83" i="39" s="1"/>
  <c r="M83" i="39" s="1"/>
  <c r="F13" i="39"/>
  <c r="S13" i="39" s="1"/>
  <c r="G6" i="1"/>
  <c r="K17" i="4"/>
  <c r="A22" i="51" s="1"/>
  <c r="B16" i="63" s="1"/>
  <c r="G12" i="1"/>
  <c r="C29" i="12"/>
  <c r="C15" i="43"/>
  <c r="J29" i="39"/>
  <c r="AC29" i="39" s="1"/>
  <c r="H29" i="39"/>
  <c r="F29" i="39"/>
  <c r="AA29" i="39" s="1"/>
  <c r="W29" i="39"/>
  <c r="S29" i="39"/>
  <c r="H27" i="39"/>
  <c r="W27" i="39"/>
  <c r="S27" i="39"/>
  <c r="W23" i="39"/>
  <c r="U23" i="39"/>
  <c r="S23" i="39"/>
  <c r="H19" i="39"/>
  <c r="AC19" i="39"/>
  <c r="AA19" i="39"/>
  <c r="AC17" i="39"/>
  <c r="B64" i="46"/>
  <c r="B59" i="46"/>
  <c r="B53" i="46"/>
  <c r="B48" i="46"/>
  <c r="J13" i="39"/>
  <c r="H13" i="39"/>
  <c r="AB13" i="39" s="1"/>
  <c r="H34" i="39"/>
  <c r="AB34" i="39" s="1"/>
  <c r="W34" i="39"/>
  <c r="U34" i="39"/>
  <c r="C92" i="9"/>
  <c r="E11" i="52"/>
  <c r="G23" i="43"/>
  <c r="D24" i="44"/>
  <c r="G28" i="12"/>
  <c r="D23" i="15"/>
  <c r="G21" i="43"/>
  <c r="G27" i="12"/>
  <c r="G22" i="43"/>
  <c r="B16" i="52"/>
  <c r="E5" i="52"/>
  <c r="E21" i="52"/>
  <c r="E8" i="52"/>
  <c r="B11" i="52"/>
  <c r="E7" i="52"/>
  <c r="AF11" i="46"/>
  <c r="AF13" i="46" s="1"/>
  <c r="F22" i="46"/>
  <c r="E10" i="6"/>
  <c r="E14" i="6"/>
  <c r="E53" i="40"/>
  <c r="E58" i="39"/>
  <c r="F27" i="6"/>
  <c r="F31" i="6" s="1"/>
  <c r="G30" i="6"/>
  <c r="G31" i="6" s="1"/>
  <c r="E27" i="6"/>
  <c r="K26" i="6" s="1"/>
  <c r="M26" i="6" s="1"/>
  <c r="I26" i="6" s="1"/>
  <c r="S26" i="6" s="1"/>
  <c r="E13" i="6"/>
  <c r="E60" i="40" s="1"/>
  <c r="E65" i="39"/>
  <c r="P11" i="1"/>
  <c r="E15" i="6"/>
  <c r="S3" i="46"/>
  <c r="E22" i="46"/>
  <c r="J101" i="46"/>
  <c r="I101" i="46"/>
  <c r="I105" i="46" s="1"/>
  <c r="O9" i="1"/>
  <c r="P9" i="1" s="1"/>
  <c r="O7" i="1"/>
  <c r="P7" i="1" s="1"/>
  <c r="D12" i="11"/>
  <c r="C12" i="11" s="1"/>
  <c r="K19" i="6"/>
  <c r="S6" i="1" s="1"/>
  <c r="K21" i="6"/>
  <c r="M21" i="6" s="1"/>
  <c r="I21" i="6" s="1"/>
  <c r="S21" i="6" s="1"/>
  <c r="E67" i="39"/>
  <c r="E62" i="40"/>
  <c r="E31" i="6"/>
  <c r="O14" i="1"/>
  <c r="P14" i="1" s="1"/>
  <c r="S6" i="46"/>
  <c r="S5" i="46"/>
  <c r="I107" i="46"/>
  <c r="AB11" i="46"/>
  <c r="AB13" i="46" s="1"/>
  <c r="AA11" i="46"/>
  <c r="AA13" i="46" s="1"/>
  <c r="Z7" i="46"/>
  <c r="N104" i="45"/>
  <c r="N101" i="46"/>
  <c r="N103" i="46" s="1"/>
  <c r="E11" i="6"/>
  <c r="E12" i="6"/>
  <c r="F101" i="46"/>
  <c r="F106" i="46" s="1"/>
  <c r="Y11" i="46"/>
  <c r="Y13" i="46" s="1"/>
  <c r="S4" i="46"/>
  <c r="S7" i="46"/>
  <c r="S2" i="46"/>
  <c r="J105" i="46"/>
  <c r="C23" i="46"/>
  <c r="C21" i="46" s="1"/>
  <c r="N109" i="46"/>
  <c r="AE11" i="46"/>
  <c r="AE13" i="46" s="1"/>
  <c r="AI11" i="46"/>
  <c r="AI13" i="46" s="1"/>
  <c r="AH11" i="46"/>
  <c r="AH13" i="46" s="1"/>
  <c r="Z11" i="46"/>
  <c r="Z13" i="46" s="1"/>
  <c r="AG11" i="46"/>
  <c r="AG13" i="46" s="1"/>
  <c r="K101" i="46"/>
  <c r="E101" i="46"/>
  <c r="L101" i="46"/>
  <c r="B113" i="46"/>
  <c r="G101" i="46"/>
  <c r="C101" i="46"/>
  <c r="AJ11" i="46"/>
  <c r="AJ13" i="46" s="1"/>
  <c r="AC11" i="46"/>
  <c r="AC13" i="46" s="1"/>
  <c r="M101" i="46"/>
  <c r="M104" i="46" s="1"/>
  <c r="D101" i="46"/>
  <c r="D106" i="46" s="1"/>
  <c r="J22" i="46"/>
  <c r="H101" i="46"/>
  <c r="H105" i="46" s="1"/>
  <c r="B13" i="52"/>
  <c r="B5" i="52"/>
  <c r="E13" i="52"/>
  <c r="E9" i="52"/>
  <c r="B22" i="52"/>
  <c r="E4" i="52"/>
  <c r="G8" i="1"/>
  <c r="G7" i="1"/>
  <c r="G11" i="1"/>
  <c r="F70" i="39"/>
  <c r="E72" i="39"/>
  <c r="C67" i="40"/>
  <c r="D65" i="40"/>
  <c r="G13" i="1"/>
  <c r="H1" i="65"/>
  <c r="G10" i="1"/>
  <c r="S14" i="39"/>
  <c r="W14" i="39"/>
  <c r="S40" i="39"/>
  <c r="U40" i="39"/>
  <c r="E10" i="52"/>
  <c r="B8" i="52"/>
  <c r="B9" i="52"/>
  <c r="E16" i="52"/>
  <c r="B14" i="52"/>
  <c r="E15" i="52"/>
  <c r="E17" i="52"/>
  <c r="B4" i="52"/>
  <c r="B10" i="52"/>
  <c r="E22" i="52"/>
  <c r="B7" i="52"/>
  <c r="E6" i="52"/>
  <c r="B6" i="52"/>
  <c r="E14" i="52"/>
  <c r="C8" i="44"/>
  <c r="F70" i="15"/>
  <c r="C27" i="15"/>
  <c r="Q72" i="15"/>
  <c r="M9" i="44"/>
  <c r="J8" i="44" s="1"/>
  <c r="F68" i="15"/>
  <c r="J22" i="44"/>
  <c r="C36" i="44"/>
  <c r="L58" i="15"/>
  <c r="L59" i="15"/>
  <c r="F64" i="15"/>
  <c r="F63" i="15"/>
  <c r="L59" i="44"/>
  <c r="L60" i="44"/>
  <c r="C4" i="65"/>
  <c r="B39" i="1" s="1"/>
  <c r="I54" i="15"/>
  <c r="L56" i="15"/>
  <c r="J57" i="15"/>
  <c r="J55" i="15" s="1"/>
  <c r="J58" i="15" s="1"/>
  <c r="Q51" i="15" s="1"/>
  <c r="J53" i="15"/>
  <c r="M7" i="15"/>
  <c r="F49" i="15"/>
  <c r="J20" i="15"/>
  <c r="Q73" i="44"/>
  <c r="C6" i="15"/>
  <c r="F65" i="15"/>
  <c r="J60" i="44"/>
  <c r="I55" i="44"/>
  <c r="J61" i="44"/>
  <c r="Q50" i="44" s="1"/>
  <c r="J54" i="44"/>
  <c r="J58" i="44"/>
  <c r="J56" i="44" s="1"/>
  <c r="J59" i="44" s="1"/>
  <c r="Q52" i="44" s="1"/>
  <c r="L57" i="44"/>
  <c r="F62" i="15"/>
  <c r="C61" i="15" s="1"/>
  <c r="C34" i="15"/>
  <c r="C29" i="44"/>
  <c r="F67" i="15"/>
  <c r="F50" i="15"/>
  <c r="H52" i="37"/>
  <c r="I52" i="37" s="1"/>
  <c r="J52" i="37" s="1"/>
  <c r="K52" i="37" s="1"/>
  <c r="L52" i="37" s="1"/>
  <c r="M52" i="37" s="1"/>
  <c r="N52" i="37" s="1"/>
  <c r="O52" i="37" s="1"/>
  <c r="D5" i="46"/>
  <c r="C5" i="46"/>
  <c r="I46" i="36"/>
  <c r="J46" i="36" s="1"/>
  <c r="K46" i="36" s="1"/>
  <c r="L46" i="36" s="1"/>
  <c r="M46" i="36" s="1"/>
  <c r="N46" i="36" s="1"/>
  <c r="O46" i="36" s="1"/>
  <c r="I48" i="35"/>
  <c r="J48" i="35" s="1"/>
  <c r="K48" i="35" s="1"/>
  <c r="L48" i="35" s="1"/>
  <c r="M48" i="35" s="1"/>
  <c r="N48" i="35" s="1"/>
  <c r="O48" i="35" s="1"/>
  <c r="J7" i="35"/>
  <c r="F7" i="34"/>
  <c r="H59" i="34"/>
  <c r="I59" i="34" s="1"/>
  <c r="J59" i="34" s="1"/>
  <c r="K59" i="34" s="1"/>
  <c r="L59" i="34" s="1"/>
  <c r="M59" i="34" s="1"/>
  <c r="N59" i="34" s="1"/>
  <c r="O59" i="34" s="1"/>
  <c r="H7" i="34"/>
  <c r="I106" i="46"/>
  <c r="G58" i="21"/>
  <c r="J7" i="36"/>
  <c r="B6" i="59"/>
  <c r="B5" i="59" s="1"/>
  <c r="T7" i="59"/>
  <c r="C6" i="59"/>
  <c r="F6" i="59"/>
  <c r="F5" i="59" s="1"/>
  <c r="V7" i="59"/>
  <c r="F58" i="33"/>
  <c r="U25" i="33"/>
  <c r="S33" i="40"/>
  <c r="AC14" i="40"/>
  <c r="F71" i="9"/>
  <c r="F66" i="9"/>
  <c r="P72" i="9" s="1"/>
  <c r="AZ352" i="3"/>
  <c r="AZ304" i="3"/>
  <c r="AZ323" i="3"/>
  <c r="W41" i="34"/>
  <c r="AC41" i="34"/>
  <c r="AZ520" i="3"/>
  <c r="AZ544" i="3"/>
  <c r="AZ558" i="3"/>
  <c r="AZ562" i="3"/>
  <c r="AA38" i="37"/>
  <c r="AC31" i="34"/>
  <c r="W31" i="34"/>
  <c r="U40" i="37"/>
  <c r="AB40" i="37"/>
  <c r="S27" i="33"/>
  <c r="AA27" i="33"/>
  <c r="U13" i="21"/>
  <c r="AB13" i="21"/>
  <c r="U14" i="21"/>
  <c r="AB14" i="21"/>
  <c r="AA19" i="21"/>
  <c r="S19" i="21"/>
  <c r="W33" i="21"/>
  <c r="AC33" i="21"/>
  <c r="AB9" i="21"/>
  <c r="U9" i="21"/>
  <c r="AB43" i="21"/>
  <c r="U43" i="21"/>
  <c r="N69" i="9"/>
  <c r="R7" i="54"/>
  <c r="B52" i="63" s="1"/>
  <c r="AA10" i="35"/>
  <c r="S10" i="35"/>
  <c r="AZ492" i="3"/>
  <c r="AZ493" i="3"/>
  <c r="AA27" i="37"/>
  <c r="S27" i="37"/>
  <c r="AC35" i="35"/>
  <c r="W35" i="35"/>
  <c r="AC46" i="33"/>
  <c r="W46" i="33"/>
  <c r="AA45" i="21"/>
  <c r="S45" i="21"/>
  <c r="AB46" i="21"/>
  <c r="U46" i="21"/>
  <c r="AB28" i="21"/>
  <c r="U28" i="21"/>
  <c r="W37" i="33"/>
  <c r="AC37" i="33"/>
  <c r="AA22" i="35"/>
  <c r="S22" i="35"/>
  <c r="AC9" i="33"/>
  <c r="W9" i="33"/>
  <c r="AC24" i="35"/>
  <c r="W24" i="35"/>
  <c r="J14" i="33"/>
  <c r="F14" i="33"/>
  <c r="J28" i="33"/>
  <c r="AB8" i="36"/>
  <c r="C23" i="39"/>
  <c r="AC35" i="21"/>
  <c r="S8" i="21"/>
  <c r="W39" i="34"/>
  <c r="U26" i="36"/>
  <c r="W23" i="36"/>
  <c r="J9" i="21"/>
  <c r="G570" i="3"/>
  <c r="F9" i="33"/>
  <c r="H9" i="33"/>
  <c r="F12" i="33"/>
  <c r="H12" i="33"/>
  <c r="F34" i="35"/>
  <c r="H34" i="35"/>
  <c r="G540" i="3"/>
  <c r="G516" i="3"/>
  <c r="G504" i="3"/>
  <c r="G496" i="3"/>
  <c r="AZ392" i="3"/>
  <c r="AZ397" i="3"/>
  <c r="O8" i="1"/>
  <c r="AZ402" i="3"/>
  <c r="A30" i="64"/>
  <c r="A30" i="51"/>
  <c r="B22" i="63" s="1"/>
  <c r="A2" i="55"/>
  <c r="B55" i="63" s="1"/>
  <c r="AZ409" i="3"/>
  <c r="AZ429" i="3"/>
  <c r="AZ435" i="3"/>
  <c r="AZ448" i="3"/>
  <c r="AZ453" i="3"/>
  <c r="AZ460" i="3"/>
  <c r="AZ464" i="3"/>
  <c r="AZ476" i="3"/>
  <c r="AZ480" i="3"/>
  <c r="AZ368" i="3"/>
  <c r="AZ384" i="3"/>
  <c r="AZ386" i="3"/>
  <c r="AZ214" i="3"/>
  <c r="AZ218" i="3"/>
  <c r="AZ230" i="3"/>
  <c r="AZ234" i="3"/>
  <c r="AZ246" i="3"/>
  <c r="AZ250" i="3"/>
  <c r="AZ267" i="3"/>
  <c r="AZ271" i="3"/>
  <c r="AZ283" i="3"/>
  <c r="AZ287" i="3"/>
  <c r="AZ156" i="3"/>
  <c r="AZ159" i="3"/>
  <c r="AZ172" i="3"/>
  <c r="AZ175" i="3"/>
  <c r="AZ202" i="3"/>
  <c r="AZ21" i="3"/>
  <c r="AZ5" i="3" s="1"/>
  <c r="AZ28" i="3"/>
  <c r="AZ34" i="3"/>
  <c r="AZ37" i="3"/>
  <c r="AZ44" i="3"/>
  <c r="AZ50" i="3"/>
  <c r="AZ53" i="3"/>
  <c r="AZ65" i="3"/>
  <c r="AZ68" i="3"/>
  <c r="AZ75" i="3"/>
  <c r="AZ81" i="3"/>
  <c r="AZ85" i="3"/>
  <c r="AZ88" i="3"/>
  <c r="AZ95" i="3"/>
  <c r="AZ101" i="3"/>
  <c r="AZ104" i="3"/>
  <c r="AZ111" i="3"/>
  <c r="AZ57" i="3"/>
  <c r="AZ60" i="3"/>
  <c r="K13" i="1"/>
  <c r="M13" i="1" s="1"/>
  <c r="K12" i="1"/>
  <c r="D1" i="57"/>
  <c r="E10" i="57" s="1"/>
  <c r="C19" i="59"/>
  <c r="D18" i="59"/>
  <c r="D21" i="59"/>
  <c r="C22" i="59"/>
  <c r="C27" i="59"/>
  <c r="D26" i="59"/>
  <c r="T51" i="59"/>
  <c r="D51" i="59"/>
  <c r="T43" i="59"/>
  <c r="D43" i="59"/>
  <c r="T39" i="59"/>
  <c r="D39" i="59"/>
  <c r="C30" i="59"/>
  <c r="D29" i="59"/>
  <c r="AB5" i="59"/>
  <c r="AB10" i="59"/>
  <c r="AB16" i="59"/>
  <c r="N55" i="59"/>
  <c r="B54" i="59"/>
  <c r="Y24" i="59"/>
  <c r="Z24" i="59" s="1"/>
  <c r="AB21" i="59"/>
  <c r="Y20" i="59"/>
  <c r="Z20" i="59" s="1"/>
  <c r="AA18" i="59"/>
  <c r="X17" i="59"/>
  <c r="Y16" i="59"/>
  <c r="Z16" i="59" s="1"/>
  <c r="U15" i="59"/>
  <c r="E14" i="59"/>
  <c r="E13" i="59" s="1"/>
  <c r="Y11" i="59"/>
  <c r="Z11" i="59" s="1"/>
  <c r="AB11" i="59"/>
  <c r="X10" i="59"/>
  <c r="S21" i="21"/>
  <c r="S21" i="37"/>
  <c r="O52" i="59"/>
  <c r="C62" i="59"/>
  <c r="D33" i="59"/>
  <c r="AB13" i="59"/>
  <c r="AB3" i="59"/>
  <c r="AA15" i="59"/>
  <c r="AA13" i="59"/>
  <c r="AA3" i="59"/>
  <c r="X14" i="59"/>
  <c r="X12" i="59"/>
  <c r="X16" i="59"/>
  <c r="Y5" i="59"/>
  <c r="Z5" i="59" s="1"/>
  <c r="Y10" i="59"/>
  <c r="Z10" i="59" s="1"/>
  <c r="F17" i="59"/>
  <c r="F18" i="59" s="1"/>
  <c r="F19" i="59" s="1"/>
  <c r="V19" i="59" s="1"/>
  <c r="AA17" i="59"/>
  <c r="X18" i="59"/>
  <c r="AA19" i="59"/>
  <c r="B21" i="59"/>
  <c r="B22" i="59" s="1"/>
  <c r="B23" i="59" s="1"/>
  <c r="S23" i="59" s="1"/>
  <c r="AB20" i="59"/>
  <c r="Y21" i="59"/>
  <c r="Z21" i="59" s="1"/>
  <c r="AB22" i="59"/>
  <c r="Y23" i="59"/>
  <c r="Z23" i="59" s="1"/>
  <c r="X24" i="59"/>
  <c r="E25" i="59"/>
  <c r="E26" i="59" s="1"/>
  <c r="E27" i="59" s="1"/>
  <c r="U27" i="59" s="1"/>
  <c r="F25" i="59"/>
  <c r="F26" i="59" s="1"/>
  <c r="F27" i="59" s="1"/>
  <c r="V27" i="59" s="1"/>
  <c r="X25" i="59"/>
  <c r="AA25" i="59"/>
  <c r="F54" i="59"/>
  <c r="X5" i="59"/>
  <c r="AA5" i="59"/>
  <c r="N4" i="63"/>
  <c r="C13" i="59"/>
  <c r="D13" i="59" s="1"/>
  <c r="X8" i="59"/>
  <c r="B15" i="59"/>
  <c r="X11" i="59"/>
  <c r="AA10" i="59"/>
  <c r="AA8" i="59"/>
  <c r="F31" i="15"/>
  <c r="J5" i="65"/>
  <c r="F33" i="44"/>
  <c r="I5" i="65"/>
  <c r="F58" i="15"/>
  <c r="I4" i="65"/>
  <c r="C16" i="15"/>
  <c r="J3" i="65"/>
  <c r="M17" i="15"/>
  <c r="J4" i="65"/>
  <c r="C18" i="44"/>
  <c r="I7" i="65"/>
  <c r="I6" i="65"/>
  <c r="I3" i="65"/>
  <c r="J7" i="65"/>
  <c r="M19" i="44"/>
  <c r="J6" i="65"/>
  <c r="C17" i="15"/>
  <c r="AB45" i="39" l="1"/>
  <c r="U45" i="39"/>
  <c r="AB47" i="39"/>
  <c r="U47" i="39"/>
  <c r="W45" i="39"/>
  <c r="AC45" i="39"/>
  <c r="AC47" i="39"/>
  <c r="W47" i="39"/>
  <c r="AA13" i="39"/>
  <c r="U29" i="39"/>
  <c r="AB29" i="39"/>
  <c r="AB27" i="39"/>
  <c r="U27" i="39"/>
  <c r="U19" i="39"/>
  <c r="AB19" i="39"/>
  <c r="U13" i="39"/>
  <c r="AC13" i="39"/>
  <c r="W13" i="39"/>
  <c r="M105" i="46"/>
  <c r="D22" i="46"/>
  <c r="M103" i="46"/>
  <c r="F102" i="46"/>
  <c r="K24" i="6"/>
  <c r="M24" i="6" s="1"/>
  <c r="I24" i="6" s="1"/>
  <c r="S24" i="6" s="1"/>
  <c r="K22" i="6"/>
  <c r="M22" i="6" s="1"/>
  <c r="I22" i="6" s="1"/>
  <c r="S22" i="6" s="1"/>
  <c r="I102" i="46"/>
  <c r="K25" i="6"/>
  <c r="M25" i="6" s="1"/>
  <c r="I25" i="6" s="1"/>
  <c r="S25" i="6" s="1"/>
  <c r="K20" i="6"/>
  <c r="K27" i="6" s="1"/>
  <c r="K23" i="6"/>
  <c r="M23" i="6" s="1"/>
  <c r="I23" i="6" s="1"/>
  <c r="S23" i="6" s="1"/>
  <c r="E61" i="40"/>
  <c r="E66" i="39"/>
  <c r="M106" i="46"/>
  <c r="N104" i="46"/>
  <c r="F104" i="46"/>
  <c r="H102" i="46"/>
  <c r="J106" i="46"/>
  <c r="J107" i="46"/>
  <c r="J103" i="46"/>
  <c r="H104" i="46"/>
  <c r="D103" i="46"/>
  <c r="J104" i="46"/>
  <c r="J109" i="46"/>
  <c r="J102" i="46"/>
  <c r="I109" i="46"/>
  <c r="I104" i="46"/>
  <c r="I103" i="46"/>
  <c r="F109" i="46"/>
  <c r="F103" i="46"/>
  <c r="E63" i="39"/>
  <c r="E16" i="6"/>
  <c r="E58" i="40"/>
  <c r="F105" i="46"/>
  <c r="F107" i="46"/>
  <c r="D109" i="46"/>
  <c r="C48" i="15"/>
  <c r="E64" i="39"/>
  <c r="E59" i="40"/>
  <c r="N105" i="46"/>
  <c r="N107" i="46"/>
  <c r="N106" i="46"/>
  <c r="N102" i="46"/>
  <c r="M19" i="6"/>
  <c r="C107" i="46"/>
  <c r="C102" i="46"/>
  <c r="C105" i="46"/>
  <c r="C109" i="46"/>
  <c r="C103" i="46"/>
  <c r="C104" i="46"/>
  <c r="C106" i="46"/>
  <c r="I115" i="46"/>
  <c r="J115" i="46" s="1"/>
  <c r="K115" i="46" s="1"/>
  <c r="L115" i="46" s="1"/>
  <c r="M115" i="46" s="1"/>
  <c r="I118" i="46"/>
  <c r="J118" i="46" s="1"/>
  <c r="K118" i="46" s="1"/>
  <c r="L118" i="46" s="1"/>
  <c r="M118" i="46" s="1"/>
  <c r="D116" i="46"/>
  <c r="E116" i="46" s="1"/>
  <c r="F116" i="46" s="1"/>
  <c r="G116" i="46" s="1"/>
  <c r="H116" i="46" s="1"/>
  <c r="D115" i="46"/>
  <c r="E115" i="46" s="1"/>
  <c r="F115" i="46" s="1"/>
  <c r="G115" i="46" s="1"/>
  <c r="H115" i="46" s="1"/>
  <c r="I117" i="46"/>
  <c r="J117" i="46" s="1"/>
  <c r="K117" i="46" s="1"/>
  <c r="L117" i="46" s="1"/>
  <c r="M117" i="46" s="1"/>
  <c r="I116" i="46"/>
  <c r="J116" i="46" s="1"/>
  <c r="K116" i="46" s="1"/>
  <c r="L116" i="46" s="1"/>
  <c r="M116" i="46" s="1"/>
  <c r="B115" i="46"/>
  <c r="C115" i="46" s="1"/>
  <c r="D117" i="46"/>
  <c r="E117" i="46" s="1"/>
  <c r="F117" i="46" s="1"/>
  <c r="G117" i="46" s="1"/>
  <c r="H117" i="46" s="1"/>
  <c r="B117" i="46"/>
  <c r="C117" i="46" s="1"/>
  <c r="B116" i="46"/>
  <c r="C116" i="46" s="1"/>
  <c r="D118" i="46"/>
  <c r="E118" i="46" s="1"/>
  <c r="F118" i="46" s="1"/>
  <c r="G118" i="46"/>
  <c r="H118" i="46" s="1"/>
  <c r="B118" i="46"/>
  <c r="C118" i="46" s="1"/>
  <c r="E106" i="46"/>
  <c r="E103" i="46"/>
  <c r="E107" i="46"/>
  <c r="E104" i="46"/>
  <c r="E105" i="46"/>
  <c r="E102" i="46"/>
  <c r="E109" i="46"/>
  <c r="M102" i="46"/>
  <c r="M109" i="46"/>
  <c r="M107" i="46"/>
  <c r="H107" i="46"/>
  <c r="H103" i="46"/>
  <c r="H109" i="46"/>
  <c r="H106" i="46"/>
  <c r="D107" i="46"/>
  <c r="D102" i="46"/>
  <c r="D104" i="46"/>
  <c r="D105" i="46"/>
  <c r="G106" i="46"/>
  <c r="G104" i="46"/>
  <c r="G107" i="46"/>
  <c r="G103" i="46"/>
  <c r="G105" i="46"/>
  <c r="G102" i="46"/>
  <c r="G109" i="46"/>
  <c r="L105" i="46"/>
  <c r="L106" i="46"/>
  <c r="L103" i="46"/>
  <c r="L102" i="46"/>
  <c r="L104" i="46"/>
  <c r="L109" i="46"/>
  <c r="L107" i="46"/>
  <c r="K103" i="46"/>
  <c r="K106" i="46"/>
  <c r="K105" i="46"/>
  <c r="K109" i="46"/>
  <c r="K107" i="46"/>
  <c r="K102" i="46"/>
  <c r="K104" i="46"/>
  <c r="J1" i="65"/>
  <c r="E20" i="46"/>
  <c r="O28" i="46" s="1"/>
  <c r="I1" i="65"/>
  <c r="E65" i="40"/>
  <c r="D67" i="40"/>
  <c r="H7" i="36"/>
  <c r="AB7" i="36" s="1"/>
  <c r="T36" i="36" s="1"/>
  <c r="G36" i="36" s="1"/>
  <c r="F7" i="35"/>
  <c r="H7" i="35"/>
  <c r="AB7" i="35" s="1"/>
  <c r="T38" i="35" s="1"/>
  <c r="G38" i="35" s="1"/>
  <c r="F7" i="36"/>
  <c r="F72" i="39"/>
  <c r="G70" i="39"/>
  <c r="E3" i="6"/>
  <c r="N54" i="59"/>
  <c r="B53" i="59"/>
  <c r="C31" i="59"/>
  <c r="D30" i="59"/>
  <c r="T27" i="59"/>
  <c r="D27" i="59"/>
  <c r="T19" i="59"/>
  <c r="D19" i="59"/>
  <c r="M12" i="1"/>
  <c r="Q16" i="1"/>
  <c r="H16" i="1"/>
  <c r="AP16" i="1"/>
  <c r="F22" i="11" s="1"/>
  <c r="K16" i="1"/>
  <c r="S15" i="59"/>
  <c r="B14" i="59"/>
  <c r="B13" i="59" s="1"/>
  <c r="F53" i="59"/>
  <c r="Q54" i="59"/>
  <c r="C19" i="46"/>
  <c r="C36" i="46" s="1"/>
  <c r="C61" i="59"/>
  <c r="D61" i="59" s="1"/>
  <c r="D62" i="59"/>
  <c r="C23" i="59"/>
  <c r="D22" i="59"/>
  <c r="O13" i="1"/>
  <c r="P13" i="1" s="1"/>
  <c r="P8" i="1"/>
  <c r="AA34" i="35"/>
  <c r="S34" i="35"/>
  <c r="S12" i="33"/>
  <c r="AA12" i="33"/>
  <c r="AA9" i="33"/>
  <c r="S9" i="33"/>
  <c r="W9" i="21"/>
  <c r="AC9" i="21"/>
  <c r="W28" i="33"/>
  <c r="AC28" i="33"/>
  <c r="AC14" i="33"/>
  <c r="W14" i="33"/>
  <c r="M86" i="9"/>
  <c r="N86" i="9" s="1"/>
  <c r="M84" i="9"/>
  <c r="N84" i="9" s="1"/>
  <c r="M88" i="9"/>
  <c r="N88" i="9" s="1"/>
  <c r="M87" i="9"/>
  <c r="N87" i="9" s="1"/>
  <c r="M85" i="9"/>
  <c r="N85" i="9" s="1"/>
  <c r="M83" i="9"/>
  <c r="N83" i="9" s="1"/>
  <c r="N89" i="9" s="1"/>
  <c r="O89" i="9" s="1"/>
  <c r="G58" i="33"/>
  <c r="AC7" i="36"/>
  <c r="V36" i="36" s="1"/>
  <c r="I36" i="36" s="1"/>
  <c r="W7" i="36"/>
  <c r="H58" i="21"/>
  <c r="U7" i="34"/>
  <c r="AB7" i="34"/>
  <c r="T49" i="34" s="1"/>
  <c r="G49" i="34" s="1"/>
  <c r="AA7" i="34"/>
  <c r="R49" i="34" s="1"/>
  <c r="S7" i="34"/>
  <c r="AA7" i="35"/>
  <c r="R38" i="35" s="1"/>
  <c r="S7" i="35"/>
  <c r="U7" i="35"/>
  <c r="S7" i="36"/>
  <c r="AA7" i="36"/>
  <c r="R36" i="36" s="1"/>
  <c r="C34" i="46"/>
  <c r="C35" i="46"/>
  <c r="C38" i="46"/>
  <c r="C39" i="46"/>
  <c r="J7" i="37"/>
  <c r="H7" i="37"/>
  <c r="L47" i="44"/>
  <c r="Q54" i="44"/>
  <c r="F1" i="44"/>
  <c r="F1" i="15"/>
  <c r="Q53" i="15"/>
  <c r="Q75" i="44"/>
  <c r="Q62" i="44"/>
  <c r="Q75" i="15"/>
  <c r="Q62" i="15"/>
  <c r="J6" i="15"/>
  <c r="G5" i="3"/>
  <c r="B3" i="3" s="1"/>
  <c r="E516" i="3" s="1"/>
  <c r="AB34" i="35"/>
  <c r="U34" i="35"/>
  <c r="U12" i="33"/>
  <c r="AB12" i="33"/>
  <c r="AB9" i="33"/>
  <c r="U9" i="33"/>
  <c r="AA14" i="33"/>
  <c r="S14" i="33"/>
  <c r="C5" i="59"/>
  <c r="D5" i="59" s="1"/>
  <c r="D6" i="59"/>
  <c r="U7" i="36"/>
  <c r="G16" i="1"/>
  <c r="J7" i="34"/>
  <c r="AC7" i="35"/>
  <c r="V38" i="35" s="1"/>
  <c r="I38" i="35" s="1"/>
  <c r="W7" i="35"/>
  <c r="T8" i="46"/>
  <c r="V8" i="46" s="1"/>
  <c r="T5" i="46"/>
  <c r="V5" i="46" s="1"/>
  <c r="T10" i="46"/>
  <c r="V10" i="46" s="1"/>
  <c r="T12" i="46"/>
  <c r="V12" i="46" s="1"/>
  <c r="T16" i="46"/>
  <c r="V16" i="46" s="1"/>
  <c r="T4" i="46"/>
  <c r="V4" i="46" s="1"/>
  <c r="T9" i="46"/>
  <c r="V9" i="46" s="1"/>
  <c r="T3" i="46"/>
  <c r="V3" i="46" s="1"/>
  <c r="F7" i="37"/>
  <c r="C32" i="15"/>
  <c r="J20" i="44"/>
  <c r="F13" i="44"/>
  <c r="C12" i="44" s="1"/>
  <c r="C7" i="44" s="1"/>
  <c r="F11" i="15"/>
  <c r="M11" i="15"/>
  <c r="J10" i="15" s="1"/>
  <c r="M13" i="44"/>
  <c r="J12" i="44" s="1"/>
  <c r="J7" i="44" s="1"/>
  <c r="Q63" i="44"/>
  <c r="Q76" i="44"/>
  <c r="Q74" i="15"/>
  <c r="Q61" i="15"/>
  <c r="C34" i="44"/>
  <c r="E3" i="65"/>
  <c r="E2" i="65"/>
  <c r="M20" i="6" l="1"/>
  <c r="I20" i="6" s="1"/>
  <c r="S20" i="6" s="1"/>
  <c r="S7" i="1"/>
  <c r="I19" i="6"/>
  <c r="M27" i="6"/>
  <c r="D113" i="46"/>
  <c r="P28" i="46"/>
  <c r="M28" i="46"/>
  <c r="B40" i="1"/>
  <c r="F24" i="15" s="1"/>
  <c r="C24" i="15" s="1"/>
  <c r="F17" i="11"/>
  <c r="C17" i="11" s="1"/>
  <c r="F65" i="40"/>
  <c r="E67" i="40"/>
  <c r="T7" i="46"/>
  <c r="V7" i="46" s="1"/>
  <c r="T15" i="46"/>
  <c r="V15" i="46" s="1"/>
  <c r="T2" i="46"/>
  <c r="V2" i="46" s="1"/>
  <c r="T14" i="46"/>
  <c r="V14" i="46" s="1"/>
  <c r="T13" i="46"/>
  <c r="V13" i="46" s="1"/>
  <c r="T6" i="46"/>
  <c r="V6" i="46" s="1"/>
  <c r="C29" i="46"/>
  <c r="E29" i="46" s="1"/>
  <c r="T11" i="46"/>
  <c r="V11" i="46" s="1"/>
  <c r="N28" i="46"/>
  <c r="C37" i="46"/>
  <c r="E37" i="46" s="1"/>
  <c r="C33" i="46"/>
  <c r="E33" i="46" s="1"/>
  <c r="H70" i="39"/>
  <c r="G72" i="39"/>
  <c r="J28" i="44"/>
  <c r="J31" i="44" s="1"/>
  <c r="J26" i="44"/>
  <c r="C52" i="15"/>
  <c r="C47" i="15" s="1"/>
  <c r="C10" i="15"/>
  <c r="C5" i="15" s="1"/>
  <c r="I42" i="35"/>
  <c r="J42" i="35" s="1"/>
  <c r="J12" i="40"/>
  <c r="F12" i="39"/>
  <c r="F12" i="40"/>
  <c r="H12" i="39"/>
  <c r="H12" i="40"/>
  <c r="J12" i="3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H6" i="3" s="1"/>
  <c r="E103" i="3"/>
  <c r="E548" i="3"/>
  <c r="E200" i="3"/>
  <c r="Z6" i="3"/>
  <c r="E62" i="3"/>
  <c r="E454" i="3"/>
  <c r="E389" i="3"/>
  <c r="E520" i="3"/>
  <c r="E230" i="3"/>
  <c r="AK6" i="3"/>
  <c r="E143" i="3"/>
  <c r="AB7" i="37"/>
  <c r="T42" i="37" s="1"/>
  <c r="G42" i="37" s="1"/>
  <c r="U7" i="37"/>
  <c r="G39" i="46"/>
  <c r="I39" i="46" s="1"/>
  <c r="E39" i="46"/>
  <c r="E38" i="46"/>
  <c r="G38" i="46"/>
  <c r="I38" i="46" s="1"/>
  <c r="E35" i="46"/>
  <c r="G35" i="46"/>
  <c r="I35" i="46" s="1"/>
  <c r="G34" i="46"/>
  <c r="I34" i="46" s="1"/>
  <c r="E34" i="46"/>
  <c r="E38" i="35"/>
  <c r="I43" i="35" s="1"/>
  <c r="J43" i="35" s="1"/>
  <c r="R39" i="35"/>
  <c r="R50" i="34"/>
  <c r="E49" i="34"/>
  <c r="I58" i="21"/>
  <c r="I40" i="36"/>
  <c r="J40" i="36" s="1"/>
  <c r="E504" i="3"/>
  <c r="Q52" i="59"/>
  <c r="Q53" i="59"/>
  <c r="O12" i="1"/>
  <c r="O16" i="1" s="1"/>
  <c r="M16" i="1"/>
  <c r="P12" i="1"/>
  <c r="P16" i="1" s="1"/>
  <c r="C13" i="12" s="1"/>
  <c r="T31" i="59"/>
  <c r="D31" i="59"/>
  <c r="AY6" i="3"/>
  <c r="C40" i="44"/>
  <c r="AA7" i="37"/>
  <c r="R42" i="37" s="1"/>
  <c r="S7" i="37"/>
  <c r="C30" i="46"/>
  <c r="E30" i="46" s="1"/>
  <c r="AC7" i="34"/>
  <c r="V49" i="34" s="1"/>
  <c r="I49" i="34" s="1"/>
  <c r="W7" i="34"/>
  <c r="G41" i="36"/>
  <c r="H41" i="36" s="1"/>
  <c r="G40" i="36"/>
  <c r="H40" i="36" s="1"/>
  <c r="E570" i="3"/>
  <c r="E496" i="3"/>
  <c r="J18" i="15"/>
  <c r="J5" i="15"/>
  <c r="W7" i="37"/>
  <c r="AC7" i="37"/>
  <c r="V42" i="37" s="1"/>
  <c r="I42" i="37" s="1"/>
  <c r="G37" i="46"/>
  <c r="I37" i="46" s="1"/>
  <c r="G33" i="46"/>
  <c r="I33" i="46" s="1"/>
  <c r="G36" i="46"/>
  <c r="I36" i="46" s="1"/>
  <c r="E36" i="46"/>
  <c r="R37" i="36"/>
  <c r="E36" i="36"/>
  <c r="G42" i="35"/>
  <c r="H42" i="35" s="1"/>
  <c r="G43" i="35"/>
  <c r="H43" i="35" s="1"/>
  <c r="G53" i="34"/>
  <c r="H53" i="34" s="1"/>
  <c r="H58" i="33"/>
  <c r="E540" i="3"/>
  <c r="T23" i="59"/>
  <c r="D23" i="59"/>
  <c r="M20" i="46" s="1"/>
  <c r="F18" i="11"/>
  <c r="C18" i="11" s="1"/>
  <c r="F24" i="43"/>
  <c r="C26" i="43" s="1"/>
  <c r="D24" i="43" s="1"/>
  <c r="F33" i="12"/>
  <c r="C34" i="12" s="1"/>
  <c r="D33" i="12" s="1"/>
  <c r="N52" i="59"/>
  <c r="N53" i="59"/>
  <c r="D16" i="43"/>
  <c r="C16" i="43" s="1"/>
  <c r="D16" i="12"/>
  <c r="L38" i="9"/>
  <c r="B14" i="66" s="1"/>
  <c r="B1" i="66" s="1"/>
  <c r="D45" i="9"/>
  <c r="D10" i="11"/>
  <c r="E6" i="6"/>
  <c r="D44" i="9"/>
  <c r="D46" i="9"/>
  <c r="C21" i="4"/>
  <c r="O5" i="54" s="1"/>
  <c r="B45" i="63" s="1"/>
  <c r="F7" i="67"/>
  <c r="L52" i="44"/>
  <c r="T7" i="1" l="1"/>
  <c r="S16" i="1"/>
  <c r="F26" i="44"/>
  <c r="C26" i="44" s="1"/>
  <c r="AC6" i="3"/>
  <c r="E6" i="3" s="1"/>
  <c r="S19" i="6"/>
  <c r="S27" i="6" s="1"/>
  <c r="I27" i="6"/>
  <c r="F21" i="43"/>
  <c r="C23" i="43" s="1"/>
  <c r="D21" i="43" s="1"/>
  <c r="F26" i="12"/>
  <c r="C27" i="12" s="1"/>
  <c r="D26" i="12" s="1"/>
  <c r="C32" i="12" s="1"/>
  <c r="D30" i="12" s="1"/>
  <c r="I70" i="39"/>
  <c r="H72" i="39"/>
  <c r="C19" i="11"/>
  <c r="C20" i="11" s="1"/>
  <c r="C21" i="11" s="1"/>
  <c r="C22" i="11" s="1"/>
  <c r="C23" i="11" s="1"/>
  <c r="B2" i="11" s="1"/>
  <c r="F67" i="40"/>
  <c r="G65" i="40"/>
  <c r="Q69" i="44"/>
  <c r="L58" i="44"/>
  <c r="L61" i="44" s="1"/>
  <c r="E4" i="67"/>
  <c r="C17" i="12"/>
  <c r="C14" i="12"/>
  <c r="Q49" i="44"/>
  <c r="Q55" i="44" s="1"/>
  <c r="Q67" i="44"/>
  <c r="Q58" i="44"/>
  <c r="D22" i="12"/>
  <c r="C22" i="12" s="1"/>
  <c r="C20" i="12" s="1"/>
  <c r="D13" i="11"/>
  <c r="C13" i="11" s="1"/>
  <c r="C16" i="12"/>
  <c r="D19" i="12"/>
  <c r="C19" i="12" s="1"/>
  <c r="E40" i="36"/>
  <c r="F40" i="36" s="1"/>
  <c r="E41" i="36"/>
  <c r="F41" i="36" s="1"/>
  <c r="I46" i="37"/>
  <c r="J46" i="37" s="1"/>
  <c r="I53" i="34"/>
  <c r="J53" i="34" s="1"/>
  <c r="I54" i="34"/>
  <c r="J54" i="34" s="1"/>
  <c r="C27" i="46"/>
  <c r="E42" i="37"/>
  <c r="I47" i="37" s="1"/>
  <c r="J47" i="37" s="1"/>
  <c r="R43" i="37"/>
  <c r="I41" i="36"/>
  <c r="J41" i="36" s="1"/>
  <c r="E54" i="34"/>
  <c r="F54" i="34" s="1"/>
  <c r="E53" i="34"/>
  <c r="F53" i="34" s="1"/>
  <c r="C39" i="35"/>
  <c r="B3" i="35" s="1"/>
  <c r="B2" i="35" s="1"/>
  <c r="C38" i="35"/>
  <c r="AB12" i="40"/>
  <c r="U12" i="40"/>
  <c r="S12" i="40"/>
  <c r="AA12" i="40"/>
  <c r="AC12" i="40"/>
  <c r="W12" i="40"/>
  <c r="C59" i="15"/>
  <c r="C65" i="15"/>
  <c r="C6" i="66"/>
  <c r="C7" i="66"/>
  <c r="C8" i="66"/>
  <c r="I58" i="33"/>
  <c r="G54" i="34"/>
  <c r="H54" i="34" s="1"/>
  <c r="C36" i="36"/>
  <c r="C37" i="36"/>
  <c r="B3" i="36" s="1"/>
  <c r="B2" i="36" s="1"/>
  <c r="J26" i="15"/>
  <c r="J29" i="15" s="1"/>
  <c r="J24" i="15"/>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13" i="43"/>
  <c r="L16" i="1"/>
  <c r="N16" i="1"/>
  <c r="C29" i="43" s="1"/>
  <c r="J58" i="21"/>
  <c r="C49" i="34"/>
  <c r="C50" i="34"/>
  <c r="B3" i="34" s="1"/>
  <c r="B2" i="34" s="1"/>
  <c r="E43" i="35"/>
  <c r="F43" i="35" s="1"/>
  <c r="E42" i="35"/>
  <c r="F42" i="35" s="1"/>
  <c r="G46" i="37"/>
  <c r="H46" i="37" s="1"/>
  <c r="G47" i="37"/>
  <c r="H47" i="37" s="1"/>
  <c r="AC12" i="39"/>
  <c r="W12" i="39"/>
  <c r="U12" i="39"/>
  <c r="AB12" i="39"/>
  <c r="AA12" i="39"/>
  <c r="S12" i="39"/>
  <c r="C38" i="15"/>
  <c r="E7" i="67"/>
  <c r="T12" i="1" l="1"/>
  <c r="T9" i="1"/>
  <c r="T11" i="1"/>
  <c r="T8" i="1"/>
  <c r="T6" i="1"/>
  <c r="T10" i="1"/>
  <c r="T13" i="1"/>
  <c r="T16" i="1"/>
  <c r="H65" i="40"/>
  <c r="G67" i="40"/>
  <c r="J70" i="39"/>
  <c r="I72" i="39"/>
  <c r="C18" i="12"/>
  <c r="C23" i="12" s="1"/>
  <c r="C28" i="12" s="1"/>
  <c r="C26" i="12" s="1"/>
  <c r="C31" i="12" s="1"/>
  <c r="C30" i="12" s="1"/>
  <c r="E3" i="67"/>
  <c r="B3" i="11"/>
  <c r="B5" i="11"/>
  <c r="B4" i="11"/>
  <c r="K58" i="21"/>
  <c r="E63" i="40"/>
  <c r="D19" i="6"/>
  <c r="D25" i="6"/>
  <c r="D13" i="6"/>
  <c r="H24" i="6"/>
  <c r="D23" i="6"/>
  <c r="D28" i="6"/>
  <c r="D8" i="6"/>
  <c r="E45" i="9"/>
  <c r="F44" i="9"/>
  <c r="K38" i="9"/>
  <c r="C14" i="66" s="1"/>
  <c r="B2" i="66" s="1"/>
  <c r="D26" i="6"/>
  <c r="D22" i="6"/>
  <c r="D12" i="6"/>
  <c r="H25" i="6"/>
  <c r="D5" i="6"/>
  <c r="H22" i="6"/>
  <c r="H26" i="6"/>
  <c r="F46" i="9"/>
  <c r="H19" i="6"/>
  <c r="C22" i="4"/>
  <c r="D21" i="6"/>
  <c r="D10" i="6"/>
  <c r="H21" i="6"/>
  <c r="D6" i="6"/>
  <c r="D14" i="6"/>
  <c r="D20" i="6"/>
  <c r="H23" i="6"/>
  <c r="F45" i="9"/>
  <c r="E68" i="39"/>
  <c r="D24" i="6"/>
  <c r="R24" i="6" s="1"/>
  <c r="D11" i="6"/>
  <c r="H20" i="6"/>
  <c r="D9" i="6"/>
  <c r="D29" i="6"/>
  <c r="D15" i="6"/>
  <c r="E44" i="9"/>
  <c r="E46" i="9"/>
  <c r="B2" i="46"/>
  <c r="C43" i="37"/>
  <c r="B3" i="37" s="1"/>
  <c r="B2" i="37" s="1"/>
  <c r="C42" i="37"/>
  <c r="Q68" i="44"/>
  <c r="Q77" i="44" s="1"/>
  <c r="Q59" i="44"/>
  <c r="Q64" i="44" s="1"/>
  <c r="C17" i="43"/>
  <c r="C14" i="43"/>
  <c r="J58" i="33"/>
  <c r="K58" i="33" s="1"/>
  <c r="L58" i="33" s="1"/>
  <c r="M58" i="33" s="1"/>
  <c r="N58" i="33" s="1"/>
  <c r="O58" i="33" s="1"/>
  <c r="F7" i="33"/>
  <c r="J7" i="33"/>
  <c r="E47" i="37"/>
  <c r="F47" i="37" s="1"/>
  <c r="E46" i="37"/>
  <c r="F46" i="37" s="1"/>
  <c r="C16" i="44"/>
  <c r="B7" i="67"/>
  <c r="C14" i="15"/>
  <c r="C20" i="44" l="1"/>
  <c r="C17" i="44"/>
  <c r="C18" i="15"/>
  <c r="C15" i="15"/>
  <c r="H27" i="6"/>
  <c r="D30" i="6"/>
  <c r="D16" i="6"/>
  <c r="H7" i="33"/>
  <c r="K70" i="39"/>
  <c r="J72" i="39"/>
  <c r="H67" i="40"/>
  <c r="I65" i="40"/>
  <c r="C18" i="43"/>
  <c r="C19" i="43" s="1"/>
  <c r="C22" i="43" s="1"/>
  <c r="C21" i="43" s="1"/>
  <c r="B2" i="67"/>
  <c r="AA7" i="33"/>
  <c r="R48" i="33" s="1"/>
  <c r="S7" i="33"/>
  <c r="R21" i="6"/>
  <c r="R26" i="6"/>
  <c r="R23" i="6"/>
  <c r="R19" i="6"/>
  <c r="D27" i="6"/>
  <c r="D31" i="6" s="1"/>
  <c r="U7" i="33"/>
  <c r="AB7" i="33"/>
  <c r="T48" i="33" s="1"/>
  <c r="G48" i="33" s="1"/>
  <c r="AC7" i="33"/>
  <c r="V48" i="33" s="1"/>
  <c r="I48" i="33" s="1"/>
  <c r="W7" i="33"/>
  <c r="D4" i="46"/>
  <c r="B4" i="46"/>
  <c r="B3" i="46"/>
  <c r="R20" i="6"/>
  <c r="R7" i="1" s="1"/>
  <c r="A20" i="64"/>
  <c r="A6" i="51"/>
  <c r="B7" i="63" s="1"/>
  <c r="A6" i="64"/>
  <c r="A20" i="51"/>
  <c r="B15" i="63" s="1"/>
  <c r="N5" i="54"/>
  <c r="B43" i="63" s="1"/>
  <c r="R22" i="6"/>
  <c r="D7" i="66"/>
  <c r="D8" i="66"/>
  <c r="D6" i="66"/>
  <c r="R25" i="6"/>
  <c r="L58" i="21"/>
  <c r="C35" i="12"/>
  <c r="C33" i="12" s="1"/>
  <c r="C36" i="12" s="1"/>
  <c r="B2" i="12" s="1"/>
  <c r="C19" i="9"/>
  <c r="L43" i="9" l="1"/>
  <c r="C19" i="15"/>
  <c r="C21" i="44"/>
  <c r="C22" i="44" s="1"/>
  <c r="C25" i="44" s="1"/>
  <c r="C20" i="15"/>
  <c r="C26" i="15" s="1"/>
  <c r="R27" i="6"/>
  <c r="R6" i="1"/>
  <c r="R16" i="1" s="1"/>
  <c r="L70" i="39"/>
  <c r="K72" i="39"/>
  <c r="I67" i="40"/>
  <c r="J65" i="40"/>
  <c r="B5" i="12"/>
  <c r="B3" i="12"/>
  <c r="B4" i="12"/>
  <c r="M58" i="21"/>
  <c r="I52" i="33"/>
  <c r="J52" i="33" s="1"/>
  <c r="I6" i="6"/>
  <c r="I5" i="6"/>
  <c r="E48" i="33"/>
  <c r="R49" i="33"/>
  <c r="G52" i="33"/>
  <c r="H52" i="33" s="1"/>
  <c r="G53" i="33"/>
  <c r="H53" i="33" s="1"/>
  <c r="C25" i="43"/>
  <c r="C24" i="43" s="1"/>
  <c r="C28" i="43" s="1"/>
  <c r="C30" i="43" s="1"/>
  <c r="C32" i="43" s="1"/>
  <c r="B2" i="43" s="1"/>
  <c r="B4" i="67"/>
  <c r="B3" i="67"/>
  <c r="C21" i="9"/>
  <c r="C20" i="9"/>
  <c r="C28" i="44" l="1"/>
  <c r="C31" i="44" s="1"/>
  <c r="C23" i="15"/>
  <c r="C29" i="15" s="1"/>
  <c r="J67" i="40"/>
  <c r="K65" i="40"/>
  <c r="M70" i="39"/>
  <c r="L72" i="39"/>
  <c r="B4" i="43"/>
  <c r="B3" i="43"/>
  <c r="B5" i="43"/>
  <c r="E52" i="33"/>
  <c r="F52" i="33" s="1"/>
  <c r="E53" i="33"/>
  <c r="F53" i="33" s="1"/>
  <c r="I53" i="33"/>
  <c r="J53" i="33" s="1"/>
  <c r="C48" i="33"/>
  <c r="C49" i="33"/>
  <c r="B3" i="33" s="1"/>
  <c r="B2" i="33" s="1"/>
  <c r="N58" i="21"/>
  <c r="C33" i="15" l="1"/>
  <c r="C31" i="15" s="1"/>
  <c r="J59" i="15"/>
  <c r="J60" i="15" s="1"/>
  <c r="C36" i="15"/>
  <c r="J19" i="15"/>
  <c r="J17" i="15" s="1"/>
  <c r="Q50" i="15"/>
  <c r="C13" i="15"/>
  <c r="J14" i="15"/>
  <c r="C56" i="15"/>
  <c r="J21" i="44"/>
  <c r="J19" i="44" s="1"/>
  <c r="C35" i="44"/>
  <c r="C33" i="44" s="1"/>
  <c r="C38" i="44"/>
  <c r="J16" i="44"/>
  <c r="Q51" i="44"/>
  <c r="C15" i="44"/>
  <c r="M72" i="39"/>
  <c r="N70" i="39"/>
  <c r="N72" i="39" s="1"/>
  <c r="F9" i="39" s="1"/>
  <c r="L65" i="40"/>
  <c r="K67" i="40"/>
  <c r="H9" i="39"/>
  <c r="O58" i="21"/>
  <c r="J7" i="21" s="1"/>
  <c r="F7" i="21"/>
  <c r="C60" i="15" l="1"/>
  <c r="C58" i="15" s="1"/>
  <c r="C63" i="15"/>
  <c r="C55" i="15"/>
  <c r="C64" i="15" s="1"/>
  <c r="J35" i="15"/>
  <c r="C37" i="15"/>
  <c r="C30" i="15" s="1"/>
  <c r="C39" i="15" s="1"/>
  <c r="Q71" i="15"/>
  <c r="Q49" i="15"/>
  <c r="L46" i="15"/>
  <c r="Q72" i="44"/>
  <c r="C43" i="44"/>
  <c r="C39" i="44"/>
  <c r="C32" i="44" s="1"/>
  <c r="C42" i="44" s="1"/>
  <c r="J24" i="44"/>
  <c r="J15" i="44"/>
  <c r="J25" i="44" s="1"/>
  <c r="J22" i="15"/>
  <c r="J13" i="15"/>
  <c r="J23" i="15" s="1"/>
  <c r="U9" i="39"/>
  <c r="AB9" i="39"/>
  <c r="T49" i="39" s="1"/>
  <c r="G49" i="39" s="1"/>
  <c r="L67" i="40"/>
  <c r="M65" i="40"/>
  <c r="S9" i="39"/>
  <c r="AA9" i="39"/>
  <c r="R49" i="39" s="1"/>
  <c r="H7" i="21"/>
  <c r="U7" i="21" s="1"/>
  <c r="J9" i="39"/>
  <c r="AB7" i="21"/>
  <c r="T48" i="21" s="1"/>
  <c r="G48" i="21" s="1"/>
  <c r="AA7" i="21"/>
  <c r="R48" i="21" s="1"/>
  <c r="S7" i="21"/>
  <c r="AC7" i="21"/>
  <c r="V48" i="21" s="1"/>
  <c r="I48" i="21" s="1"/>
  <c r="W7" i="21"/>
  <c r="L51" i="15"/>
  <c r="Q68" i="15" l="1"/>
  <c r="L57" i="15"/>
  <c r="L60" i="15" s="1"/>
  <c r="J16" i="15"/>
  <c r="J25" i="15" s="1"/>
  <c r="J18" i="44"/>
  <c r="J27" i="44" s="1"/>
  <c r="Q71" i="44"/>
  <c r="Q70" i="44" s="1"/>
  <c r="C44" i="44"/>
  <c r="C45" i="44" s="1"/>
  <c r="B2" i="44" s="1"/>
  <c r="J39" i="15"/>
  <c r="J40" i="15" s="1"/>
  <c r="C57" i="15"/>
  <c r="C66" i="15" s="1"/>
  <c r="C67" i="15" s="1"/>
  <c r="Q70" i="15"/>
  <c r="Q69" i="15" s="1"/>
  <c r="C40" i="15"/>
  <c r="W9" i="39"/>
  <c r="AC9" i="39"/>
  <c r="V49" i="39" s="1"/>
  <c r="I49" i="39" s="1"/>
  <c r="G54" i="39" s="1"/>
  <c r="H54" i="39" s="1"/>
  <c r="E49" i="39"/>
  <c r="N65" i="40"/>
  <c r="N67" i="40" s="1"/>
  <c r="J9" i="40" s="1"/>
  <c r="M67" i="40"/>
  <c r="F9" i="40" s="1"/>
  <c r="G53" i="39"/>
  <c r="H53" i="39" s="1"/>
  <c r="H9" i="40"/>
  <c r="I52" i="21"/>
  <c r="J52" i="21" s="1"/>
  <c r="E48" i="21"/>
  <c r="R49" i="21"/>
  <c r="G52" i="21"/>
  <c r="H52" i="21" s="1"/>
  <c r="G53" i="21"/>
  <c r="H53" i="21" s="1"/>
  <c r="R50" i="39" l="1"/>
  <c r="Q48" i="15"/>
  <c r="Q54" i="15" s="1"/>
  <c r="C43" i="15"/>
  <c r="Q57" i="15"/>
  <c r="B2" i="15"/>
  <c r="B3" i="15" s="1"/>
  <c r="Q66" i="15"/>
  <c r="J42" i="15"/>
  <c r="J43" i="15" s="1"/>
  <c r="B4" i="44"/>
  <c r="B3" i="44"/>
  <c r="B5" i="44"/>
  <c r="Q58" i="15"/>
  <c r="Q67" i="15"/>
  <c r="Q76" i="15" s="1"/>
  <c r="C70" i="15"/>
  <c r="C46" i="15"/>
  <c r="AA9" i="40"/>
  <c r="R44" i="40" s="1"/>
  <c r="S9" i="40"/>
  <c r="AB9" i="40"/>
  <c r="T44" i="40" s="1"/>
  <c r="G44" i="40" s="1"/>
  <c r="U9" i="40"/>
  <c r="AC9" i="40"/>
  <c r="V44" i="40" s="1"/>
  <c r="I44" i="40" s="1"/>
  <c r="W9" i="40"/>
  <c r="C50" i="39"/>
  <c r="C49" i="39"/>
  <c r="E54" i="39"/>
  <c r="F54" i="39" s="1"/>
  <c r="E53" i="39"/>
  <c r="F53" i="39" s="1"/>
  <c r="I54" i="39"/>
  <c r="J54" i="39" s="1"/>
  <c r="I53" i="39"/>
  <c r="J53" i="39" s="1"/>
  <c r="E53" i="21"/>
  <c r="F53" i="21" s="1"/>
  <c r="E52" i="21"/>
  <c r="F52" i="21" s="1"/>
  <c r="C48" i="21"/>
  <c r="C49" i="21"/>
  <c r="B3" i="21" s="1"/>
  <c r="B2" i="21" s="1"/>
  <c r="I53" i="21"/>
  <c r="J53" i="21" s="1"/>
  <c r="Q63" i="15" l="1"/>
  <c r="B59" i="39"/>
  <c r="F59" i="39" s="1"/>
  <c r="B65" i="39"/>
  <c r="F65" i="39" s="1"/>
  <c r="B63" i="39"/>
  <c r="F63" i="39" s="1"/>
  <c r="B64" i="39"/>
  <c r="F64" i="39" s="1"/>
  <c r="B66" i="39"/>
  <c r="F66" i="39" s="1"/>
  <c r="B61" i="39"/>
  <c r="F61" i="39" s="1"/>
  <c r="B67" i="39"/>
  <c r="F67" i="39" s="1"/>
  <c r="B60" i="39"/>
  <c r="F60" i="39" s="1"/>
  <c r="B62" i="39"/>
  <c r="F62" i="39" s="1"/>
  <c r="B58" i="39"/>
  <c r="F58" i="39" s="1"/>
  <c r="I48" i="40"/>
  <c r="J48" i="40" s="1"/>
  <c r="G49" i="40"/>
  <c r="H49" i="40" s="1"/>
  <c r="G48" i="40"/>
  <c r="H48" i="40" s="1"/>
  <c r="R45" i="40"/>
  <c r="E44" i="40"/>
  <c r="F68" i="39" l="1"/>
  <c r="B2" i="39" s="1"/>
  <c r="B3" i="39" s="1"/>
  <c r="C45" i="40"/>
  <c r="C44" i="40"/>
  <c r="E48" i="40"/>
  <c r="F48" i="40" s="1"/>
  <c r="E49" i="40"/>
  <c r="F49" i="40" s="1"/>
  <c r="I49" i="40"/>
  <c r="J49" i="40" s="1"/>
  <c r="D19" i="9"/>
  <c r="D20" i="9"/>
  <c r="B4" i="39" l="1"/>
  <c r="B5" i="39"/>
  <c r="G19" i="9"/>
  <c r="N43" i="9" s="1"/>
  <c r="L44" i="9"/>
  <c r="D22" i="9"/>
  <c r="G20" i="9"/>
  <c r="G22" i="9"/>
  <c r="B55" i="40"/>
  <c r="F55" i="40" s="1"/>
  <c r="B57" i="40"/>
  <c r="F57" i="40" s="1"/>
  <c r="B56" i="40"/>
  <c r="F56" i="40" s="1"/>
  <c r="B61" i="40"/>
  <c r="F61" i="40" s="1"/>
  <c r="B59" i="40"/>
  <c r="F59" i="40" s="1"/>
  <c r="B62" i="40"/>
  <c r="F62" i="40" s="1"/>
  <c r="B53" i="40"/>
  <c r="F53" i="40" s="1"/>
  <c r="F63" i="40"/>
  <c r="B2" i="40" s="1"/>
  <c r="B60" i="40"/>
  <c r="F60" i="40" s="1"/>
  <c r="B58" i="40"/>
  <c r="F58" i="40" s="1"/>
  <c r="B54" i="40"/>
  <c r="F54" i="40" s="1"/>
  <c r="D21" i="9"/>
  <c r="G21" i="9" l="1"/>
  <c r="C32" i="9"/>
  <c r="C33" i="9" s="1"/>
  <c r="B5" i="40"/>
  <c r="B3" i="40"/>
  <c r="B4" i="40"/>
  <c r="O43" i="9" l="1"/>
  <c r="C34" i="9"/>
  <c r="M38" i="9" s="1"/>
  <c r="K27" i="9" s="1"/>
  <c r="O38" i="9"/>
  <c r="K25" i="9" s="1"/>
  <c r="C42" i="9"/>
  <c r="R5" i="54" s="1"/>
  <c r="B48" i="63" s="1"/>
  <c r="C35" i="9"/>
  <c r="F42" i="9" s="1"/>
  <c r="E42" i="9"/>
  <c r="P5" i="54" s="1"/>
  <c r="B46" i="63" s="1"/>
  <c r="N38" i="9"/>
  <c r="K28" i="9" s="1"/>
  <c r="D42" i="9"/>
  <c r="Q5" i="54" s="1"/>
  <c r="B47" i="63" s="1"/>
  <c r="N68" i="9" l="1"/>
  <c r="K26" i="9"/>
  <c r="D14" i="66"/>
  <c r="F14" i="66" s="1"/>
  <c r="D63" i="9"/>
  <c r="C90" i="9" s="1"/>
  <c r="E14" i="66"/>
  <c r="B5" i="66" l="1"/>
  <c r="C5" i="66" s="1"/>
  <c r="D71" i="9"/>
  <c r="D66" i="9" s="1"/>
  <c r="N72" i="9" s="1"/>
  <c r="C82" i="9"/>
  <c r="C81" i="9" s="1"/>
  <c r="C85" i="9" s="1"/>
  <c r="C86" i="9" s="1"/>
  <c r="D72" i="9" s="1"/>
  <c r="C103" i="9"/>
  <c r="C111" i="9"/>
  <c r="C104" i="9" s="1"/>
  <c r="D70" i="9"/>
  <c r="D77" i="9"/>
  <c r="N75" i="9" s="1"/>
  <c r="C96" i="9"/>
  <c r="C91" i="9" s="1"/>
  <c r="C97" i="9" s="1"/>
  <c r="D5" i="66"/>
  <c r="C113" i="9" l="1"/>
  <c r="C114" i="9" s="1"/>
  <c r="E114" i="9" s="1"/>
  <c r="E115" i="9" s="1"/>
  <c r="C98" i="9"/>
  <c r="E98" i="9" s="1"/>
  <c r="E99"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<sst xmlns="http://schemas.openxmlformats.org/spreadsheetml/2006/main" count="7133" uniqueCount="3164">
  <si>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</si>
  <si>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</si>
  <si>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</si>
  <si>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</si>
  <si>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</si>
  <si>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</si>
  <si>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</si>
  <si>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</si>
  <si>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</si>
  <si>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</si>
  <si>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</si>
  <si>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</si>
  <si>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</si>
  <si>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</si>
  <si>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</si>
  <si>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</si>
  <si>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</si>
  <si>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</si>
  <si>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</si>
  <si>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</si>
  <si>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</si>
  <si>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</si>
  <si>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</si>
  <si>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</si>
  <si>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</si>
  <si>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</si>
  <si>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</si>
  <si>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</si>
  <si>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</si>
  <si>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</si>
  <si>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</si>
  <si>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</si>
  <si>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</si>
  <si>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</si>
  <si>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</si>
  <si>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</si>
  <si>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</si>
  <si>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</si>
  <si>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</si>
  <si>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</si>
  <si>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</si>
  <si>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</si>
  <si>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</si>
  <si>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</si>
  <si>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</si>
  <si>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</si>
  <si>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</si>
  <si>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</si>
  <si>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</si>
  <si>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</si>
  <si>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</si>
  <si>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</si>
  <si>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</si>
  <si>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</si>
  <si>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</si>
  <si>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</si>
  <si>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</si>
  <si>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</si>
  <si>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</si>
  <si>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</si>
  <si>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</si>
  <si>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</si>
  <si>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</si>
  <si>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</si>
  <si>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</si>
  <si>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</si>
  <si>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</si>
  <si>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</si>
  <si>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</si>
  <si>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</si>
  <si>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</si>
  <si>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</si>
  <si>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</si>
  <si>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</si>
  <si>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</si>
  <si>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</si>
  <si>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</si>
  <si>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</si>
  <si>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</si>
  <si>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</si>
  <si>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</si>
  <si>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</si>
  <si>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</si>
  <si>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</si>
  <si>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</si>
  <si>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</si>
  <si>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</si>
  <si>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</si>
  <si>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</si>
  <si>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</si>
  <si>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</si>
  <si>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</si>
  <si>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</si>
  <si>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</si>
  <si>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</si>
  <si>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</si>
  <si>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</si>
  <si>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</si>
  <si>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</si>
  <si>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</si>
  <si>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</si>
  <si>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</si>
  <si>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</si>
  <si>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</si>
  <si>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</si>
  <si>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</si>
  <si>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</si>
  <si>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</si>
  <si>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</si>
  <si>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</si>
  <si>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</si>
  <si>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</si>
  <si>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</si>
  <si>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</si>
  <si>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</si>
  <si>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</si>
  <si>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</si>
  <si>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</si>
  <si>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</si>
  <si>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</si>
  <si>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</si>
  <si>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</si>
  <si>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</si>
  <si>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</si>
  <si>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</si>
  <si>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</si>
  <si>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</si>
  <si>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</si>
  <si>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</si>
  <si>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</si>
  <si>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</si>
  <si>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</si>
  <si>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</si>
  <si>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</si>
  <si>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</si>
  <si>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</si>
  <si>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</si>
  <si>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</si>
  <si>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</si>
  <si>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</si>
  <si>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</si>
  <si>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</si>
  <si>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</si>
  <si>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</si>
  <si>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</si>
  <si>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</si>
  <si>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</si>
  <si>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</si>
  <si>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</si>
  <si>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</si>
  <si>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</si>
  <si>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</si>
  <si>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</si>
  <si>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</si>
  <si>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</si>
  <si>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</si>
  <si>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</si>
  <si>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</si>
  <si>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</si>
  <si>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</si>
  <si>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</si>
  <si>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</si>
  <si>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</si>
  <si>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</si>
  <si>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</si>
  <si>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</si>
  <si>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</si>
  <si>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</si>
  <si>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</si>
  <si>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</si>
  <si>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</si>
  <si>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</si>
  <si>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</si>
  <si>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</si>
  <si>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</si>
  <si>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</si>
  <si>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</si>
  <si>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</si>
  <si>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</si>
  <si>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</si>
  <si>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</si>
  <si>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</si>
  <si>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</si>
  <si>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</si>
  <si>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</si>
  <si>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</si>
  <si>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</si>
  <si>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</si>
  <si>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</si>
  <si>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</si>
  <si>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</si>
  <si>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</si>
  <si>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</si>
  <si>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</si>
  <si>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</si>
  <si>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</si>
  <si>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</si>
  <si>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</si>
  <si>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</si>
  <si>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</si>
  <si>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</si>
  <si>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</si>
  <si>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</si>
  <si>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</si>
  <si>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</si>
  <si>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</si>
  <si>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</si>
  <si>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</si>
  <si>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</si>
  <si>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</si>
  <si>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</si>
  <si>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</si>
  <si>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</si>
  <si>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</si>
  <si>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</si>
  <si>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</si>
  <si>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</si>
  <si>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</si>
  <si>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</si>
  <si>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</si>
  <si>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</si>
  <si>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</si>
  <si>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</si>
  <si>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</si>
  <si>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</si>
  <si>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</si>
  <si>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</si>
  <si>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</si>
  <si>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</si>
  <si>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</si>
  <si>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</si>
  <si>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</si>
  <si>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</si>
  <si>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</si>
  <si>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</si>
  <si>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</si>
  <si>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</si>
  <si>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</si>
  <si>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</si>
  <si>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</si>
  <si>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</si>
  <si>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</si>
  <si>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</si>
  <si>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</si>
  <si>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</si>
  <si>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</si>
  <si>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</si>
  <si>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</si>
  <si>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</si>
  <si>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</si>
  <si>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</si>
  <si>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</si>
  <si>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</si>
  <si>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</si>
  <si>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</si>
  <si>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</si>
  <si>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</si>
  <si>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</si>
  <si>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</si>
  <si>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</si>
  <si>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</si>
  <si>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</si>
  <si>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</si>
  <si>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</si>
  <si>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</si>
  <si>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</si>
  <si>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</si>
  <si>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</si>
  <si>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</si>
  <si>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</si>
  <si>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</si>
  <si>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</si>
  <si>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</si>
  <si>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</si>
  <si>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</si>
  <si>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</si>
  <si>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</si>
  <si>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</si>
  <si>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</si>
  <si>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</si>
  <si>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</si>
  <si>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</si>
  <si>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</si>
  <si>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</si>
  <si>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</si>
  <si>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</si>
  <si>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</si>
  <si>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</si>
  <si>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</si>
  <si>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</si>
  <si>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</si>
  <si>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</si>
  <si>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</si>
  <si>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</si>
  <si>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</si>
  <si>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</si>
  <si>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</si>
  <si>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</si>
  <si>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</si>
  <si>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</si>
  <si>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</si>
  <si>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</si>
  <si>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</si>
  <si>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</si>
  <si>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</si>
  <si>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</si>
  <si>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</si>
  <si>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</si>
  <si>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</si>
  <si>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</si>
  <si>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</si>
  <si>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</si>
  <si>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</si>
  <si>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</si>
  <si>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</si>
  <si>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</si>
  <si>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</si>
  <si>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</si>
  <si>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</si>
  <si>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</si>
  <si>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</si>
  <si>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</si>
  <si>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</si>
  <si>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</si>
  <si>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</si>
  <si>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</si>
  <si>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</si>
  <si>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</si>
  <si>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</si>
  <si>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</si>
  <si>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</si>
  <si>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</si>
  <si>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</si>
  <si>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</si>
  <si>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</si>
  <si>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</si>
  <si>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</si>
  <si>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</si>
  <si>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</si>
  <si>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</si>
  <si>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</si>
  <si>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</si>
  <si>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</si>
  <si>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</si>
  <si>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</si>
  <si>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</si>
  <si>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</si>
  <si>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</si>
  <si>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</si>
  <si>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</si>
  <si>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</si>
  <si>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</si>
  <si>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</si>
  <si>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</si>
  <si>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</si>
  <si>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</si>
  <si>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</si>
  <si>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</si>
  <si>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</si>
  <si>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</si>
  <si>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</si>
  <si>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</si>
  <si>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</si>
  <si>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</si>
  <si>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</si>
  <si>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</si>
  <si>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</si>
  <si>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</si>
  <si>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</si>
  <si>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</si>
  <si>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</si>
  <si>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</si>
  <si>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</si>
  <si>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</si>
  <si>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</si>
  <si>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</si>
  <si>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</si>
  <si>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</si>
  <si>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</si>
  <si>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</si>
  <si>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</si>
  <si>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</si>
  <si>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</si>
  <si>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</si>
  <si>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</si>
  <si>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</si>
  <si>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</si>
  <si>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</si>
  <si>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</si>
  <si>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</si>
  <si>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</si>
  <si>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</si>
  <si>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</si>
  <si>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</si>
  <si>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</si>
  <si>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</si>
  <si>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</si>
  <si>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</si>
  <si>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</si>
  <si>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</si>
  <si>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</si>
  <si>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</si>
  <si>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</si>
  <si>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</si>
  <si>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</si>
  <si>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</si>
  <si>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</si>
  <si>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</si>
  <si>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</si>
  <si>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</si>
  <si>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</si>
  <si>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</si>
  <si>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</si>
  <si>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</si>
  <si>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</si>
  <si>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</si>
  <si>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</si>
  <si>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</si>
  <si>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</si>
  <si>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</si>
  <si>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</si>
  <si>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</si>
  <si>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</si>
  <si>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</si>
  <si>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</si>
  <si>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</si>
  <si>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</si>
  <si>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</si>
  <si>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</si>
  <si>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</si>
  <si>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</si>
  <si>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</si>
  <si>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</si>
  <si>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</si>
  <si>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</si>
  <si>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</si>
  <si>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</si>
  <si>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</si>
  <si>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</si>
  <si>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</si>
  <si>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</si>
  <si>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</si>
  <si>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</si>
  <si>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</si>
  <si>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</si>
  <si>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</si>
  <si>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</si>
  <si>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</si>
  <si>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</si>
  <si>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</si>
  <si>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</si>
  <si>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</si>
  <si>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</si>
  <si>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</si>
  <si>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</si>
  <si>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</si>
  <si>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</si>
  <si>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</si>
  <si>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</si>
  <si>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</si>
  <si>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</si>
  <si>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</si>
  <si>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</si>
  <si>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</si>
  <si>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</si>
  <si>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</si>
  <si>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</si>
  <si>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</si>
  <si>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</si>
  <si>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</si>
  <si>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</si>
  <si>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</si>
  <si>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</si>
  <si>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</si>
  <si>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</si>
  <si>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</si>
  <si>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</si>
  <si>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</si>
  <si>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</si>
  <si>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</si>
  <si>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</si>
  <si>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</si>
  <si>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</si>
  <si>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</si>
  <si>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</si>
  <si>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</si>
  <si>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</si>
  <si>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</si>
  <si>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</si>
  <si>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</si>
  <si>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</si>
  <si>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</si>
  <si>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</si>
  <si>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</si>
  <si>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</si>
  <si>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</si>
  <si>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</si>
  <si>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</si>
  <si>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</si>
  <si>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</si>
  <si>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</si>
  <si>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</si>
  <si>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</si>
  <si>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</si>
  <si>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</si>
  <si>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</si>
  <si>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</si>
  <si>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</si>
  <si>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</si>
  <si>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</si>
  <si>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</si>
  <si>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</si>
  <si>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</si>
  <si>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</si>
  <si>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</si>
  <si>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</si>
  <si>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</si>
  <si>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</si>
  <si>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</si>
  <si>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</si>
  <si>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</si>
  <si>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</si>
  <si>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</si>
  <si>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</si>
  <si>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</si>
  <si>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</si>
  <si>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</si>
  <si>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</si>
  <si>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</si>
  <si>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</si>
  <si>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</si>
  <si>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</si>
  <si>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</si>
  <si>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</si>
  <si>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</si>
  <si>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</si>
  <si>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</si>
  <si>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</si>
  <si>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</si>
  <si>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</si>
  <si>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</si>
  <si>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</si>
  <si>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</si>
  <si>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</si>
  <si>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</si>
  <si>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</si>
  <si>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</si>
  <si>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</si>
  <si>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</si>
  <si>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</si>
  <si>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</si>
  <si>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</si>
  <si>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</si>
  <si>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</si>
  <si>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</si>
  <si>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</si>
  <si>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</si>
  <si>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</si>
  <si>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</si>
  <si>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</si>
  <si>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</si>
  <si>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</si>
  <si>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</si>
  <si>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</si>
  <si>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</si>
  <si>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</si>
  <si>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</si>
  <si>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</si>
  <si>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</si>
  <si>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</si>
  <si>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</si>
  <si>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</si>
  <si>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</si>
  <si>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</si>
  <si>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</si>
  <si>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</si>
  <si>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</si>
  <si>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</si>
  <si>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</si>
  <si>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</si>
  <si>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</si>
  <si>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</si>
  <si>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</si>
  <si>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</si>
  <si>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</si>
  <si>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</si>
  <si>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</si>
  <si>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</si>
  <si>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</si>
  <si>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</si>
  <si>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</si>
  <si>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</si>
  <si>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</si>
  <si>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</si>
  <si>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</si>
  <si>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</si>
  <si>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</si>
  <si>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</si>
  <si>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</si>
  <si>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</si>
  <si>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</si>
  <si>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</si>
  <si>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</si>
  <si>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</si>
  <si>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</si>
  <si>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</si>
  <si>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</si>
  <si>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</si>
  <si>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</si>
  <si>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</si>
  <si>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</si>
  <si>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</si>
  <si>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</si>
  <si>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</si>
  <si>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</si>
  <si>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</si>
  <si>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</si>
  <si>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</si>
  <si>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</si>
  <si>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</si>
  <si>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</si>
  <si>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</si>
  <si>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</si>
  <si>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</si>
  <si>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</si>
  <si>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</si>
  <si>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</si>
  <si>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</si>
  <si>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</si>
  <si>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</si>
  <si>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</si>
  <si>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</si>
  <si>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</si>
  <si>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</si>
  <si>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</si>
  <si>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</si>
  <si>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</si>
  <si>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</si>
  <si>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</si>
  <si>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</si>
  <si>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</si>
  <si>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</si>
  <si>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</si>
  <si>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</si>
  <si>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</si>
  <si>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</si>
  <si>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</si>
  <si>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</si>
  <si>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</si>
  <si>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</si>
  <si>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</si>
  <si>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</si>
  <si>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</si>
  <si>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</si>
  <si>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</si>
  <si>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</si>
  <si>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</si>
  <si>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</si>
  <si>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</si>
  <si>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</si>
  <si>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</si>
  <si>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</si>
  <si>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</si>
  <si>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</si>
  <si>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</si>
  <si>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</si>
  <si>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</si>
  <si>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</si>
  <si>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</si>
  <si>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</si>
  <si>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</si>
  <si>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</si>
  <si>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</si>
  <si>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</si>
  <si>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</si>
  <si>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</si>
  <si>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</si>
  <si>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</si>
  <si>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</si>
  <si>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</si>
  <si>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</si>
  <si>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</si>
  <si>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</si>
  <si>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</si>
  <si>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</si>
  <si>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</si>
  <si>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</si>
  <si>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</si>
  <si>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</si>
  <si>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</si>
  <si>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</si>
  <si>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</si>
  <si>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</si>
  <si>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</si>
  <si>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</si>
  <si>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</si>
  <si>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</si>
  <si>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</si>
  <si>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</si>
  <si>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</si>
  <si>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</si>
  <si>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</si>
  <si>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</si>
  <si>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</si>
  <si>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</si>
  <si>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</si>
  <si>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</si>
  <si>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</si>
  <si>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</si>
  <si>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</si>
  <si>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</si>
  <si>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</si>
  <si>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</si>
  <si>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</si>
  <si>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</si>
  <si>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</si>
  <si>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</si>
  <si>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</si>
  <si>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</si>
  <si>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</si>
  <si>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</si>
  <si>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</si>
  <si>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</si>
  <si>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</si>
  <si>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</si>
  <si>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</si>
  <si>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</si>
  <si>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</si>
  <si>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</si>
  <si>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</si>
  <si>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</si>
  <si>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</si>
  <si>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</si>
  <si>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</si>
  <si>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</si>
  <si>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</si>
  <si>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</si>
  <si>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</si>
  <si>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</si>
  <si>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</si>
  <si>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</si>
  <si>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</si>
  <si>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</si>
  <si>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</si>
  <si>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</si>
  <si>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</si>
  <si>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</si>
  <si>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</si>
  <si>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</si>
  <si>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</si>
  <si>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</si>
  <si>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</si>
  <si>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</si>
  <si>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</si>
  <si>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</si>
  <si>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</si>
  <si>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</si>
  <si>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</si>
  <si>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</si>
  <si>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</si>
  <si>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</si>
  <si>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</si>
  <si>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</si>
  <si>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</si>
  <si>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</si>
  <si>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</si>
  <si>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</si>
  <si>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</si>
  <si>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</si>
  <si>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</si>
  <si>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</si>
  <si>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</si>
  <si>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</si>
  <si>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</si>
  <si>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</si>
  <si>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</si>
  <si>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</si>
  <si>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</si>
  <si>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</si>
  <si>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</si>
  <si>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</si>
  <si>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</si>
  <si>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</si>
  <si>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</si>
  <si>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</si>
  <si>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</si>
  <si>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</si>
  <si>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</si>
  <si>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</si>
  <si>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</si>
  <si>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</si>
  <si>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</si>
  <si>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</si>
  <si>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</si>
  <si>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</si>
  <si>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</si>
  <si>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</si>
  <si>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</si>
  <si>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</si>
  <si>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</si>
  <si>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</si>
  <si>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</si>
  <si>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</si>
  <si>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</si>
  <si>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</si>
  <si>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</si>
  <si>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</si>
  <si>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</si>
  <si>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</si>
  <si>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</si>
  <si>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</si>
  <si>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</si>
  <si>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</si>
  <si>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</si>
  <si>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</si>
  <si>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</si>
  <si>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</si>
  <si>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</si>
  <si>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</si>
  <si>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</si>
  <si>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</si>
  <si>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</si>
  <si>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</si>
  <si>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</si>
  <si>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</si>
  <si>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</si>
  <si>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</si>
  <si>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</si>
  <si>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</si>
  <si>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</si>
  <si>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</si>
  <si>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</si>
  <si>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</si>
  <si>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</si>
  <si>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</si>
  <si>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</si>
  <si>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</si>
  <si>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</si>
  <si>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</si>
  <si>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</si>
  <si>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</si>
  <si>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</si>
  <si>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</si>
  <si>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</si>
  <si>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</si>
  <si>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</si>
  <si>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</si>
  <si>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</si>
  <si>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</si>
  <si>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</si>
  <si>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</si>
  <si>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</si>
  <si>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</si>
  <si>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</si>
  <si>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</si>
  <si>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</si>
  <si>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</si>
  <si>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</si>
  <si>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</si>
  <si>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</si>
  <si>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</si>
  <si>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</si>
  <si>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</si>
  <si>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</si>
  <si>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</si>
  <si>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</si>
  <si>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</si>
  <si>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</si>
  <si>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</si>
  <si>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</si>
  <si>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</si>
  <si>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</si>
  <si>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</si>
  <si>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</si>
  <si>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</si>
  <si>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</si>
  <si>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</si>
  <si>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</si>
  <si>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</si>
  <si>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</si>
  <si>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</si>
  <si>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</si>
  <si>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</si>
  <si>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</si>
  <si>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</si>
  <si>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</si>
  <si>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</si>
  <si>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</si>
  <si>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</si>
  <si>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</si>
  <si>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</si>
  <si>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</si>
  <si>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</si>
  <si>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</si>
  <si>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</si>
  <si>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</si>
  <si>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</si>
  <si>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</si>
  <si>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</si>
  <si>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</si>
  <si>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</si>
  <si>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</si>
  <si>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</si>
  <si>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</si>
  <si>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</si>
  <si>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</si>
  <si>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</si>
  <si>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</si>
  <si>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</si>
  <si>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</si>
  <si>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</si>
  <si>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</si>
  <si>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</si>
  <si>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</si>
  <si>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</si>
  <si>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</si>
  <si>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</si>
  <si>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</si>
  <si>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</si>
  <si>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</si>
  <si>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</si>
  <si>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</si>
  <si>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</si>
  <si>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</si>
  <si>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</si>
  <si>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</si>
  <si>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</si>
  <si>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</si>
  <si>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</si>
  <si>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</si>
  <si>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</si>
  <si>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</si>
  <si>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</si>
  <si>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</si>
  <si>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</si>
  <si>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</si>
  <si>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</si>
  <si>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</si>
  <si>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</si>
  <si>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</si>
  <si>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</si>
  <si>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</si>
  <si>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</si>
  <si>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</si>
  <si>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</si>
  <si>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</si>
  <si>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</si>
  <si>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</si>
  <si>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</si>
  <si>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</si>
  <si>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</si>
  <si>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</si>
  <si>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</si>
  <si>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</si>
  <si>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</si>
  <si>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</si>
  <si>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</si>
  <si>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</si>
  <si>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</si>
  <si>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</si>
  <si>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</si>
  <si>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</si>
  <si>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</si>
  <si>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</si>
  <si>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</si>
  <si>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</si>
  <si>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</si>
  <si>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</si>
  <si>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</si>
  <si>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</si>
  <si>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</si>
  <si>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</si>
  <si>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</si>
  <si>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</si>
  <si>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</si>
  <si>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</si>
  <si>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</si>
  <si>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</si>
  <si>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</si>
  <si>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</si>
  <si>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</si>
  <si>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</si>
  <si>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</si>
  <si>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</si>
  <si>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</si>
  <si>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</si>
  <si>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</si>
  <si>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</si>
  <si>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</si>
  <si>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</si>
  <si>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</si>
  <si>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</si>
  <si>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</si>
  <si>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</si>
  <si>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</si>
  <si>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</si>
  <si>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</si>
  <si>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</si>
  <si>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</si>
  <si>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</si>
  <si>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</si>
  <si>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</si>
  <si>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</si>
  <si>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</si>
  <si>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</si>
  <si>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</si>
  <si>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</si>
  <si>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</si>
  <si>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</si>
  <si>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</si>
  <si>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</si>
  <si>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</si>
  <si>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</si>
  <si>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</si>
  <si>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</si>
  <si>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</si>
  <si>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</si>
  <si>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</si>
  <si>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</si>
  <si>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</si>
  <si>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</si>
  <si>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</si>
  <si>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</si>
  <si>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</si>
  <si>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</si>
  <si>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</si>
  <si>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</si>
  <si>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</si>
  <si>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</si>
  <si>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</si>
  <si>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</si>
  <si>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</si>
  <si>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</si>
  <si>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</si>
  <si>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</si>
  <si>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</si>
  <si>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</si>
  <si>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</si>
  <si>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</si>
  <si>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</si>
  <si>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</si>
  <si>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</si>
  <si>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</si>
  <si>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</si>
  <si>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</si>
  <si>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</si>
  <si>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</si>
  <si>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</si>
  <si>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</si>
  <si>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</si>
  <si>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</si>
  <si>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</si>
  <si>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</si>
  <si>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</si>
  <si>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</si>
  <si>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</si>
  <si>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</si>
  <si>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</si>
  <si>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</si>
  <si>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</si>
  <si>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</si>
  <si>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</si>
  <si>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</si>
  <si>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</si>
  <si>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</si>
  <si>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</si>
  <si>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</si>
  <si>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</si>
  <si>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</si>
  <si>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</si>
  <si>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</si>
  <si>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</si>
  <si>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</si>
  <si>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</si>
  <si>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</si>
  <si>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</si>
  <si>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</si>
  <si>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</si>
  <si>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</si>
  <si>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</si>
  <si>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</si>
  <si>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</si>
  <si>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</si>
  <si>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</si>
  <si>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</si>
  <si>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</si>
  <si>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</si>
  <si>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</si>
  <si>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</si>
  <si>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</si>
  <si>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</si>
  <si>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</si>
  <si>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</si>
  <si>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</si>
  <si>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</si>
  <si>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</si>
  <si>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</si>
  <si>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</si>
  <si>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</si>
  <si>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</si>
  <si>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</si>
  <si>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</si>
  <si>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</si>
  <si>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</si>
  <si>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</si>
  <si>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</si>
  <si>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</si>
  <si>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</si>
  <si>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</si>
  <si>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</si>
  <si>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</si>
  <si>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</si>
  <si>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</si>
  <si>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</si>
  <si>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</si>
  <si>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</si>
  <si>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</si>
  <si>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</si>
  <si>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</si>
  <si>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</si>
  <si>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</si>
  <si>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</si>
  <si>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</si>
  <si>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</si>
  <si>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</si>
  <si>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</si>
  <si>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</si>
  <si>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</si>
  <si>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</si>
  <si>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</si>
  <si>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</si>
  <si>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</si>
  <si>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</si>
  <si>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</si>
  <si>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</si>
  <si>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</si>
  <si>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</si>
  <si>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</si>
  <si>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</si>
  <si>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</si>
  <si>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</si>
  <si>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</si>
  <si>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</si>
  <si>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</si>
  <si>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</si>
  <si>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</si>
  <si>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</si>
  <si>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</si>
  <si>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</si>
  <si>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</si>
  <si>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</si>
  <si>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</si>
  <si>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</si>
  <si>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</si>
  <si>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</si>
  <si>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</si>
  <si>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</si>
  <si>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</si>
  <si>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</si>
  <si>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</si>
  <si>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</si>
  <si>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</si>
  <si>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</si>
  <si>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</si>
  <si>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</si>
  <si>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</si>
  <si>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</si>
  <si>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</si>
  <si>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</si>
  <si>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</si>
  <si>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</si>
  <si>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</si>
  <si>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</si>
  <si>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</si>
  <si>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</si>
  <si>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</si>
  <si>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</si>
  <si>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</si>
  <si>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</si>
  <si>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</si>
  <si>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</si>
  <si>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</si>
  <si>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</si>
  <si>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</si>
  <si>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</si>
  <si>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</si>
  <si>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</si>
  <si>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</si>
  <si>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</si>
  <si>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</si>
  <si>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</si>
  <si>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</si>
  <si>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</si>
  <si>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</si>
  <si>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</si>
  <si>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</si>
  <si>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</si>
  <si>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</si>
  <si>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</si>
  <si>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</si>
  <si>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</si>
  <si>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</si>
  <si>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</si>
  <si>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</si>
  <si>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</si>
  <si>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</si>
  <si>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</si>
  <si>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</si>
  <si>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</si>
  <si>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</si>
  <si>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</si>
  <si>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</si>
  <si>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</si>
  <si>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</si>
  <si>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</si>
  <si>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</si>
  <si>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</si>
  <si>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</si>
  <si>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</si>
  <si>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</si>
  <si>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</si>
  <si>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</si>
  <si>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</si>
  <si>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</si>
  <si>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</si>
  <si>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</si>
  <si>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</si>
  <si>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</si>
  <si>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</si>
  <si>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</si>
  <si>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</si>
  <si>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</si>
  <si>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</si>
  <si>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</si>
  <si>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</si>
  <si>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</si>
  <si>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</si>
  <si>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</si>
  <si>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</si>
  <si>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</si>
  <si>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</si>
  <si>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</si>
  <si>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</si>
  <si>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</si>
  <si>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</si>
  <si>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</si>
  <si>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</si>
  <si>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</si>
  <si>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</si>
  <si>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</si>
  <si>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</si>
  <si>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</si>
  <si>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</si>
  <si>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</si>
  <si>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</si>
  <si>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</si>
  <si>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</si>
  <si>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</si>
  <si>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</si>
  <si>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</si>
  <si>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</si>
  <si>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</si>
  <si>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</si>
  <si>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</si>
  <si>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</si>
  <si>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</si>
  <si>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</si>
  <si>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</si>
  <si>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</si>
  <si>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</si>
  <si>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</si>
  <si>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</si>
  <si>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</si>
  <si>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</si>
  <si>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</si>
  <si>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</si>
  <si>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</si>
  <si>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</si>
  <si>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</si>
  <si>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</si>
  <si>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</si>
  <si>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</si>
  <si>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</si>
  <si>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</si>
  <si>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</si>
  <si>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</si>
  <si>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</si>
  <si>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</si>
  <si>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</si>
  <si>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</si>
  <si>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</si>
  <si>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</si>
  <si>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</si>
  <si>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</si>
  <si>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</si>
  <si>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</si>
  <si>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</si>
  <si>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</si>
  <si>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</si>
  <si>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</si>
  <si>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</si>
  <si>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</si>
  <si>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</si>
  <si>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</si>
  <si>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</si>
  <si>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</si>
  <si>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</si>
  <si>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</si>
  <si>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</si>
  <si>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</si>
  <si>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</si>
  <si>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</si>
  <si>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</si>
  <si>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</si>
  <si>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</si>
  <si>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</si>
  <si>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</si>
  <si>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</si>
  <si>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</si>
  <si>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</si>
  <si>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</si>
  <si>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</si>
  <si>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</si>
  <si>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</si>
  <si>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</si>
  <si>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</si>
  <si>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</si>
  <si>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</si>
  <si>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</si>
  <si>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</si>
  <si>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</si>
  <si>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</si>
  <si>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</si>
  <si>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</si>
  <si>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</si>
  <si>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</si>
  <si>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</si>
  <si>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</si>
  <si>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</si>
  <si>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</si>
  <si>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</si>
  <si>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</si>
  <si>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</si>
  <si>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</si>
  <si>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</si>
  <si>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</si>
  <si>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</si>
  <si>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</si>
  <si>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</si>
  <si>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</si>
  <si>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</si>
  <si>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</si>
  <si>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</si>
  <si>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</si>
  <si>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</si>
  <si>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</si>
  <si>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</si>
  <si>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</si>
  <si>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</si>
  <si>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</si>
  <si>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</si>
  <si>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</si>
  <si>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</si>
  <si>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</si>
  <si>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</si>
  <si>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</si>
  <si>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</si>
  <si>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</si>
  <si>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</si>
  <si>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</si>
  <si>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</si>
  <si>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</si>
  <si>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</si>
  <si>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</si>
  <si>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</si>
  <si>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</si>
  <si>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</si>
  <si>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</si>
  <si>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</si>
  <si>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</si>
  <si>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</si>
  <si>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</si>
  <si>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</si>
  <si>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</si>
  <si>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</si>
  <si>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</si>
  <si>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</si>
  <si>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</si>
  <si>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</si>
  <si>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</si>
  <si>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</si>
  <si>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</si>
  <si>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</si>
  <si>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</si>
  <si>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</si>
  <si>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</si>
  <si>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</si>
  <si>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</si>
  <si>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</si>
  <si>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</si>
  <si>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</si>
  <si>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</si>
  <si>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</si>
  <si>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</si>
  <si>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</si>
  <si>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</si>
  <si>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</si>
  <si>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</si>
  <si>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</si>
  <si>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</si>
  <si>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</si>
  <si>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</si>
  <si>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</si>
  <si>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</si>
  <si>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</si>
  <si>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</si>
  <si>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</si>
  <si>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</si>
  <si>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</si>
  <si>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</si>
  <si>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</si>
  <si>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</si>
  <si>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</si>
  <si>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</si>
  <si>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</si>
  <si>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</si>
  <si>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</si>
  <si>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</si>
  <si>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</si>
  <si>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</si>
  <si>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</si>
  <si>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</si>
  <si>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</si>
  <si>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</si>
  <si>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</si>
  <si>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</si>
  <si>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</si>
  <si>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</si>
  <si>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</si>
  <si>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</si>
  <si>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</si>
  <si>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</si>
  <si>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</si>
  <si>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</si>
  <si>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</si>
  <si>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</si>
  <si>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</si>
  <si>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</si>
  <si>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</si>
  <si>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</si>
  <si>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</si>
  <si>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</si>
  <si>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</si>
  <si>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</si>
  <si>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</si>
  <si>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</si>
  <si>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</si>
  <si>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</si>
  <si>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</si>
  <si>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</si>
  <si>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</si>
  <si>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</si>
  <si>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</si>
  <si>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</si>
  <si>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</si>
  <si>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</si>
  <si>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</si>
  <si>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</si>
  <si>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</si>
  <si>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</si>
  <si>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</si>
  <si>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</si>
  <si>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</si>
  <si>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</si>
  <si>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</si>
  <si>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</si>
  <si>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</si>
  <si>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</si>
  <si>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</si>
  <si>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</si>
  <si>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</si>
  <si>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</si>
  <si>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</si>
  <si>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</si>
  <si>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</si>
  <si>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</si>
  <si>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</si>
  <si>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</si>
  <si>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</si>
  <si>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</si>
  <si>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</si>
  <si>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</si>
  <si>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</si>
  <si>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</si>
  <si>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</si>
  <si>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</si>
  <si>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</si>
  <si>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</si>
  <si>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</si>
  <si>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</si>
  <si>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</si>
  <si>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</si>
  <si>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</si>
  <si>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</si>
  <si>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</si>
  <si>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</si>
  <si>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</si>
  <si>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</si>
  <si>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</si>
  <si>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</si>
  <si>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</si>
  <si>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</si>
  <si>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</si>
  <si>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</si>
  <si>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</si>
  <si>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</si>
  <si>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</si>
  <si>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</si>
  <si>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</si>
  <si>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</si>
  <si>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</si>
  <si>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</si>
  <si>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</si>
  <si>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</si>
  <si>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</si>
  <si>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</si>
  <si>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</si>
  <si>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</si>
  <si>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</si>
  <si>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</si>
  <si>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</si>
  <si>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</si>
  <si>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</si>
  <si>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</si>
  <si>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</si>
  <si>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</si>
  <si>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</si>
  <si>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</si>
  <si>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</si>
  <si>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</si>
  <si>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</si>
  <si>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</si>
  <si>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</si>
  <si>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</si>
  <si>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</si>
  <si>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</si>
  <si>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</si>
  <si>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</si>
  <si>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</si>
  <si>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</si>
  <si>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</si>
  <si>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</si>
  <si>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</si>
  <si>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</si>
  <si>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</si>
  <si>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</si>
  <si>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</si>
  <si>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</si>
  <si>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</si>
  <si>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</si>
  <si>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</si>
  <si>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</si>
  <si>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</si>
  <si>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</si>
  <si>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</si>
  <si>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</si>
  <si>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</si>
  <si>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</si>
  <si>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</si>
  <si>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</si>
  <si>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</si>
  <si>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</si>
  <si>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</si>
  <si>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</si>
  <si>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</si>
  <si>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</si>
  <si>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</si>
  <si>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</si>
  <si>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</si>
  <si>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</si>
  <si>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</si>
  <si>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</si>
  <si>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</si>
  <si>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</si>
  <si>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</si>
  <si>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</si>
  <si>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</si>
  <si>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</si>
  <si>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</si>
  <si>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</si>
  <si>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</si>
  <si>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</si>
  <si>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</si>
  <si>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</si>
  <si>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</si>
  <si>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</si>
  <si>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</si>
  <si>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</si>
  <si>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</si>
  <si>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</si>
  <si>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</si>
  <si>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</si>
  <si>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</si>
  <si>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</si>
  <si>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</si>
  <si>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</si>
  <si>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</si>
  <si>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</si>
  <si>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</si>
  <si>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</si>
  <si>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</si>
  <si>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</si>
  <si>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</si>
  <si>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</si>
  <si>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</si>
  <si>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</si>
  <si>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</si>
  <si>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</si>
  <si>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</si>
  <si>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</si>
  <si>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</si>
  <si>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</si>
  <si>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</si>
  <si>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</si>
  <si>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</si>
  <si>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</si>
  <si>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</si>
  <si>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</si>
  <si>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</si>
  <si>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</si>
  <si>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</si>
  <si>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</si>
  <si>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</si>
  <si>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</si>
  <si>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</si>
  <si>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</si>
  <si>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</si>
  <si>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</si>
  <si>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</si>
  <si>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</si>
  <si>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</si>
  <si>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</si>
  <si>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</si>
  <si>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</si>
  <si>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</si>
  <si>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</si>
  <si>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</si>
  <si>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</si>
  <si>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</si>
  <si>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</si>
  <si>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</si>
  <si>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</si>
  <si>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</si>
  <si>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</si>
  <si>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</si>
  <si>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</si>
  <si>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</si>
  <si>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</si>
  <si>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</si>
  <si>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</si>
  <si>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</si>
  <si>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</si>
  <si>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</si>
  <si>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</si>
  <si>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</si>
  <si>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</si>
  <si>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</si>
  <si>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</si>
  <si>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</si>
  <si>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</si>
  <si>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</si>
  <si>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</si>
  <si>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</si>
  <si>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</si>
  <si>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</si>
  <si>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</si>
  <si>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</si>
  <si>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</si>
  <si>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</si>
  <si>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</si>
  <si>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</si>
  <si>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</si>
  <si>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</si>
  <si>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</si>
  <si>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</si>
  <si>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</si>
  <si>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</si>
  <si>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</si>
  <si>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</si>
  <si>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</si>
  <si>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</si>
  <si>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</si>
  <si>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</si>
  <si>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</si>
  <si>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</si>
  <si>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</si>
  <si>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</si>
  <si>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</si>
  <si>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</si>
  <si>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</si>
  <si>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</si>
  <si>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</si>
  <si>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</si>
  <si>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</si>
  <si>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</si>
  <si>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</si>
  <si>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</si>
  <si>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</si>
  <si>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</si>
  <si>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</si>
  <si>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</si>
  <si>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</si>
  <si>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</si>
  <si>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</si>
  <si>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</si>
  <si>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</si>
  <si>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</si>
  <si>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</si>
  <si>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</si>
  <si>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</si>
  <si>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</si>
  <si>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</si>
  <si>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</si>
  <si>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</si>
  <si>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</si>
  <si>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</si>
  <si>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</si>
  <si>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</si>
  <si>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</si>
  <si>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</si>
  <si>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</si>
  <si>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</si>
  <si>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</si>
  <si>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</si>
  <si>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</si>
  <si>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</si>
  <si>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</si>
  <si>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</si>
  <si>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</si>
  <si>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</si>
  <si>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</si>
  <si>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</si>
  <si>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</si>
  <si>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</si>
  <si>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</si>
  <si>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</si>
  <si>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</si>
  <si>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</si>
  <si>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</si>
  <si>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</si>
  <si>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</si>
  <si>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</si>
  <si>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</si>
  <si>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</si>
  <si>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</si>
  <si>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</si>
  <si>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</si>
  <si>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</si>
  <si>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</si>
  <si>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</si>
  <si>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</si>
  <si>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</si>
  <si>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</si>
  <si>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</si>
  <si>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</si>
  <si>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</si>
  <si>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</si>
  <si>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</si>
  <si>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</si>
  <si>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</si>
  <si>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</si>
  <si>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</si>
  <si>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</si>
  <si>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</si>
  <si>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</si>
  <si>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</si>
  <si>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</si>
  <si>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</si>
  <si>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</si>
  <si>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</si>
  <si>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</si>
  <si>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</si>
  <si>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</si>
  <si>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</si>
  <si>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</si>
  <si>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</si>
  <si>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</si>
  <si>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</si>
  <si>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</si>
  <si>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</si>
  <si>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</si>
  <si>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</si>
  <si>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</si>
  <si>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</si>
  <si>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</si>
  <si>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</si>
  <si>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</si>
  <si>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</si>
  <si>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</si>
  <si>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</si>
  <si>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</si>
  <si>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</si>
  <si>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</si>
  <si>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</si>
  <si>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</si>
  <si>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</si>
  <si>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</si>
  <si>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</si>
  <si>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</si>
  <si>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</si>
  <si>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</si>
  <si>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</si>
  <si>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</si>
  <si>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</si>
  <si>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</si>
  <si>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</si>
  <si>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</si>
  <si>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</si>
  <si>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</si>
  <si>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</si>
  <si>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</si>
  <si>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</si>
  <si>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</si>
  <si>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</si>
  <si>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</si>
  <si>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</si>
  <si>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</si>
  <si>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</si>
  <si>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</si>
  <si>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</si>
  <si>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</si>
  <si>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</si>
  <si>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</si>
  <si>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</si>
  <si>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</si>
  <si>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</si>
  <si>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</si>
  <si>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</si>
  <si>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</si>
  <si>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</si>
  <si>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</si>
  <si>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</si>
  <si>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</si>
  <si>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</si>
  <si>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</si>
  <si>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</si>
  <si>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</si>
  <si>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</si>
  <si>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</si>
  <si>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</si>
  <si>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</si>
  <si>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</si>
  <si>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</si>
  <si>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</si>
  <si>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</si>
  <si>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</si>
  <si>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</si>
  <si>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</si>
  <si>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</si>
  <si>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</si>
  <si>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</si>
  <si>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</si>
  <si>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</si>
  <si>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</si>
  <si>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</si>
  <si>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</si>
  <si>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</si>
  <si>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</si>
  <si>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</si>
  <si>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</si>
  <si>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</si>
  <si>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</si>
  <si>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</si>
  <si>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</si>
  <si>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</si>
  <si>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</si>
  <si>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</si>
  <si>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</si>
  <si>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</si>
  <si>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</si>
  <si>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</si>
  <si>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</si>
  <si>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</si>
  <si>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</si>
  <si>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</si>
  <si>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</si>
  <si>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</si>
  <si>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</si>
  <si>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</si>
  <si>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</si>
  <si>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</si>
  <si>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</si>
  <si>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</si>
  <si>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</si>
  <si>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</si>
  <si>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</si>
  <si>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</si>
  <si>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</si>
  <si>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</si>
  <si>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</si>
  <si>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</si>
  <si>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</si>
  <si>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</si>
  <si>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</si>
  <si>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</si>
  <si>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</si>
  <si>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</si>
  <si>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</si>
  <si>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</si>
  <si>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</si>
  <si>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</si>
  <si>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</si>
  <si>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</si>
  <si>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</si>
  <si>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</si>
  <si>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</si>
  <si>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</si>
  <si>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</si>
  <si>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</si>
  <si>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</si>
  <si>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</si>
  <si>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</si>
  <si>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</si>
  <si>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</si>
  <si>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</si>
  <si>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</si>
  <si>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</si>
  <si>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</si>
  <si>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</si>
  <si>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</si>
  <si>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</si>
  <si>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</si>
  <si>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</si>
  <si>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</si>
  <si>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</si>
  <si>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</si>
  <si>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</si>
  <si>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</si>
  <si>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</si>
  <si>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</si>
  <si>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</si>
  <si>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</si>
  <si>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</si>
  <si>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</si>
  <si>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</si>
  <si>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</si>
  <si>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</si>
  <si>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</si>
  <si>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</si>
  <si>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</si>
  <si>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</si>
  <si>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</si>
  <si>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</si>
  <si>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</si>
  <si>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</si>
  <si>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</si>
  <si>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</si>
  <si>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</si>
  <si>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</si>
  <si>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</si>
  <si>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</si>
  <si>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</si>
  <si>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</si>
  <si>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</si>
  <si>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</si>
  <si>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</si>
  <si>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</si>
  <si>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</si>
  <si>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</si>
  <si>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</si>
  <si>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</si>
  <si>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</si>
  <si>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</si>
  <si>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</si>
  <si>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</si>
  <si>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</si>
  <si>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</si>
  <si>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</si>
  <si>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</si>
  <si>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</si>
  <si>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</si>
  <si>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</si>
  <si>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</si>
  <si>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</si>
  <si>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</si>
  <si>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</si>
  <si>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</si>
  <si>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</si>
  <si>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</si>
  <si>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</si>
  <si>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</si>
  <si>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</si>
  <si>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</si>
  <si>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</si>
  <si>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</si>
  <si>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</si>
  <si>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</si>
  <si>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</si>
  <si>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</si>
  <si>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</si>
  <si>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</si>
  <si>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</si>
  <si>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</si>
  <si>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</si>
  <si>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</si>
  <si>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</si>
  <si>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</si>
  <si>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</si>
  <si>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</si>
  <si>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</si>
  <si>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</si>
  <si>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</si>
  <si>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</si>
  <si>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</si>
  <si>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</si>
  <si>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</si>
  <si>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</si>
  <si>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</si>
  <si>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</si>
  <si>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</si>
  <si>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</si>
  <si>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</si>
  <si>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</si>
  <si>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</si>
  <si>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</si>
  <si>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</si>
  <si>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</si>
  <si>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</si>
  <si>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</si>
  <si>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</si>
  <si>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</si>
  <si>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</si>
  <si>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</si>
  <si>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</si>
  <si>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</si>
  <si>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</si>
  <si>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</si>
  <si>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</si>
  <si>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</si>
  <si>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</si>
  <si>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</si>
  <si>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</si>
  <si>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</si>
  <si>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</si>
  <si>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</si>
  <si>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</si>
  <si>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</si>
  <si>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</si>
  <si>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</si>
  <si>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</si>
  <si>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</si>
  <si>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</si>
  <si>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</si>
  <si>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</si>
  <si>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</si>
  <si>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</si>
  <si>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</si>
  <si>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</si>
  <si>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</si>
  <si>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</si>
  <si>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</si>
  <si>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</si>
  <si>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</si>
  <si>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</si>
  <si>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</si>
  <si>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</si>
  <si>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</si>
  <si>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</si>
  <si>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</si>
  <si>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</si>
  <si>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</si>
  <si>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</si>
  <si>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</si>
  <si>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</si>
  <si>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</si>
  <si>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</si>
  <si>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</si>
  <si>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</si>
  <si>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</si>
  <si>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</si>
  <si>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</si>
  <si>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</si>
  <si>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</si>
  <si>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</si>
  <si>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</si>
  <si>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</si>
  <si>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</si>
  <si>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</si>
  <si>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</si>
  <si>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</si>
  <si>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</si>
  <si>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</si>
  <si>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</si>
  <si>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</si>
  <si>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</si>
  <si>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</si>
  <si>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</si>
  <si>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</si>
  <si>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</si>
  <si>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</si>
  <si>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</si>
  <si>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</si>
  <si>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</si>
  <si>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</si>
  <si>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</si>
  <si>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</si>
  <si>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</si>
  <si>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</si>
  <si>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</si>
  <si>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</si>
  <si>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</si>
  <si>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</si>
  <si>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</si>
  <si>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</si>
  <si>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</si>
  <si>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</si>
  <si>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</si>
  <si>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</si>
  <si>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</si>
  <si>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</si>
  <si>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</si>
  <si>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</si>
  <si>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</si>
  <si>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</si>
  <si>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</si>
  <si>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</si>
  <si>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</si>
  <si>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</si>
  <si>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</si>
  <si>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</si>
  <si>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</si>
  <si>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</si>
  <si>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</si>
  <si>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</si>
  <si>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</si>
  <si>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</si>
  <si>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</si>
  <si>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</si>
  <si>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</si>
  <si>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</si>
  <si>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</si>
  <si>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</si>
  <si>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</si>
  <si>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</si>
  <si>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</si>
  <si>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</si>
  <si>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</si>
  <si>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</si>
  <si>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</si>
  <si>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</si>
  <si>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</si>
  <si>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</si>
  <si>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</si>
  <si>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</si>
  <si>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</si>
  <si>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</si>
  <si>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</si>
  <si>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</si>
  <si>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</si>
  <si>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</si>
  <si>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</si>
  <si>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</si>
  <si>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</si>
  <si>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</si>
  <si>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</si>
  <si>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</si>
  <si>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</si>
  <si>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</si>
  <si>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</si>
  <si>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</si>
  <si>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</si>
  <si>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</si>
  <si>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</si>
  <si>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</si>
  <si>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</si>
  <si>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</si>
  <si>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</si>
  <si>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</si>
  <si>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</si>
  <si>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</si>
  <si>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</si>
  <si>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</si>
  <si>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</si>
  <si>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</si>
  <si>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</si>
  <si>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</si>
  <si>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</si>
  <si>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</si>
  <si>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</si>
  <si>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</si>
  <si>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</si>
  <si>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</si>
  <si>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</si>
  <si>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</si>
  <si>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</si>
  <si>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</si>
  <si>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</si>
  <si>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</si>
  <si>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</si>
  <si>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</si>
  <si>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</si>
  <si>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</si>
  <si>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</si>
  <si>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</si>
  <si>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</si>
  <si>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</si>
  <si>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</si>
  <si>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</si>
  <si>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</si>
  <si>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</si>
  <si>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</si>
  <si>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</si>
  <si>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</si>
  <si>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</si>
  <si>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</si>
  <si>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</si>
  <si>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</si>
  <si>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</si>
  <si>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</si>
  <si>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</si>
  <si>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</si>
  <si>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</si>
  <si>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</si>
  <si>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</si>
  <si>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</si>
  <si>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</si>
  <si>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</si>
  <si>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</si>
  <si>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</si>
  <si>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</si>
  <si>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</si>
  <si>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</si>
  <si>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</si>
  <si>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</si>
  <si>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</si>
  <si>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</si>
  <si>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</si>
  <si>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</si>
  <si>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</si>
  <si>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</si>
  <si>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</si>
  <si>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</si>
  <si>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</si>
  <si>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</si>
  <si>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</si>
  <si>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</si>
  <si>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</si>
  <si>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</si>
  <si>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</si>
  <si>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</si>
  <si>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</si>
  <si>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</si>
  <si>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</si>
  <si>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</si>
  <si>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</si>
  <si>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</si>
  <si>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</si>
  <si>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</si>
  <si>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</si>
  <si>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</si>
  <si>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</si>
  <si>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</si>
  <si>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</si>
  <si>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</si>
  <si>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</si>
  <si>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</si>
  <si>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</si>
  <si>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</si>
  <si>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</si>
  <si>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</si>
  <si>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</si>
  <si>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</si>
  <si>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</si>
  <si>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</si>
  <si>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</si>
  <si>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</si>
  <si>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</si>
  <si>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</si>
  <si>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</si>
  <si>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</si>
  <si>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</si>
  <si>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</si>
  <si>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</si>
  <si>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</si>
  <si>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</si>
  <si>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</si>
  <si>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</si>
  <si>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</si>
  <si>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</si>
  <si>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</si>
  <si>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</si>
  <si>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</si>
  <si>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</si>
  <si>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</si>
  <si>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</si>
  <si>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</si>
  <si>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</si>
  <si>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</si>
  <si>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</si>
  <si>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</si>
  <si>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</si>
  <si>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</si>
  <si>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</si>
  <si>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</si>
  <si>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</si>
  <si>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</si>
  <si>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</si>
  <si>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</si>
  <si>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</si>
  <si>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</si>
  <si>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</si>
  <si>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</si>
  <si>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</si>
  <si>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</si>
  <si>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</si>
  <si>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</si>
  <si>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</si>
  <si>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</si>
  <si>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</si>
  <si>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</si>
  <si>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</si>
  <si>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</si>
  <si>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</si>
  <si>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</si>
  <si>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</si>
  <si>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</si>
  <si>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</si>
  <si>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</si>
  <si>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</si>
  <si>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</si>
  <si>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</si>
  <si>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</si>
  <si>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</si>
  <si>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</si>
  <si>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</si>
  <si>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</si>
  <si>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</si>
  <si>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</si>
  <si>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</si>
  <si>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</si>
  <si>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</si>
  <si>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</si>
  <si>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</si>
  <si>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</si>
  <si>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</si>
  <si>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</si>
  <si>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</si>
  <si>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</si>
  <si>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</si>
  <si>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</si>
  <si>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</si>
  <si>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</si>
  <si>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</si>
  <si>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</si>
  <si>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</si>
  <si>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</si>
  <si>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</si>
  <si>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</si>
  <si>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</si>
  <si>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</si>
  <si>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</si>
  <si>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</si>
  <si>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</si>
  <si>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</si>
  <si>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</si>
  <si>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</si>
  <si>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</si>
  <si>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</si>
  <si>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</si>
  <si>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</si>
  <si>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</si>
  <si>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</si>
  <si>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</si>
  <si>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</si>
  <si>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</si>
  <si>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</si>
  <si>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</si>
  <si>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</si>
  <si>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</si>
  <si>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</si>
  <si>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</si>
  <si>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</si>
  <si>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</si>
  <si>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</si>
  <si>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</si>
  <si>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</si>
  <si>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</si>
  <si>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</si>
  <si>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</si>
  <si>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</si>
  <si>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</si>
  <si>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</si>
  <si>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</si>
  <si>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</si>
  <si>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</si>
  <si>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</si>
  <si>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</si>
  <si>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</si>
  <si>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</si>
  <si>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</si>
  <si>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</si>
  <si>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</si>
  <si>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</si>
  <si>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</si>
  <si>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</si>
  <si>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</si>
  <si>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</si>
  <si>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</si>
  <si>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</si>
  <si>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</si>
  <si>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</si>
  <si>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</si>
  <si>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</si>
  <si>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</si>
  <si>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</si>
  <si>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</si>
  <si>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</si>
  <si>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</si>
  <si>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</si>
  <si>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</si>
  <si>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</si>
  <si>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</si>
  <si>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</si>
  <si>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</si>
  <si>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</si>
  <si>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</si>
  <si>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</si>
  <si>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</si>
  <si>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</si>
  <si>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</si>
  <si>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</si>
  <si>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</si>
  <si>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</si>
  <si>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</si>
  <si>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</si>
  <si>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</si>
  <si>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</si>
  <si>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</si>
  <si>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</si>
  <si>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</si>
  <si>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</si>
  <si>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</si>
  <si>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</si>
  <si>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</si>
  <si>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</si>
  <si>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</si>
  <si>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</si>
  <si>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</si>
  <si>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</si>
  <si>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</si>
  <si>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</si>
  <si>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</si>
  <si>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</si>
  <si>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</si>
  <si>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</si>
  <si>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</si>
  <si>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</si>
  <si>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</si>
  <si>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</si>
  <si>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</si>
  <si>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</si>
  <si>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</si>
  <si>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</si>
  <si>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</si>
  <si>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</si>
  <si>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</si>
  <si>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</si>
  <si>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</si>
  <si>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</si>
  <si>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</si>
  <si>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</si>
  <si>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</si>
  <si>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</si>
  <si>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</si>
  <si>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</si>
  <si>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</si>
  <si>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</si>
  <si>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</si>
  <si>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</si>
  <si>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</si>
  <si>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</si>
  <si>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</si>
  <si>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</si>
  <si>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</si>
  <si>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</si>
  <si>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</si>
  <si>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</si>
  <si>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</si>
  <si>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</si>
  <si>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</si>
  <si>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</si>
  <si>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</si>
  <si>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</si>
  <si>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</si>
  <si>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</si>
  <si>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</si>
  <si>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</si>
  <si>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</si>
  <si>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</si>
  <si>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</si>
  <si>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</si>
  <si>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</si>
  <si>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</si>
  <si>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</si>
  <si>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</si>
  <si>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</si>
  <si>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</si>
  <si>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</si>
  <si>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</si>
  <si>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</si>
  <si>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</si>
  <si>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</si>
  <si>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</si>
  <si>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</si>
  <si>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</si>
  <si>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</si>
  <si>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</si>
  <si>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</si>
  <si>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</si>
  <si>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</si>
  <si>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</si>
  <si>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</si>
  <si>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</si>
  <si>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</si>
  <si>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</si>
  <si>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</si>
  <si>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</si>
  <si>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</si>
  <si>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</si>
  <si>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</si>
  <si>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</si>
  <si>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</si>
  <si>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</si>
  <si>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</si>
  <si>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</si>
  <si>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</si>
  <si>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</si>
  <si>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</si>
  <si>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</si>
  <si>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</si>
  <si>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</si>
  <si>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</si>
  <si>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</si>
  <si>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</si>
  <si>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</si>
  <si>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</si>
  <si>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</si>
  <si>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</si>
  <si>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</si>
  <si>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</si>
  <si>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</si>
  <si>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</si>
  <si>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</si>
  <si>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</si>
  <si>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</si>
  <si>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</si>
  <si>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</si>
  <si>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</si>
  <si>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</si>
  <si>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</si>
  <si>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</si>
  <si>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</si>
  <si>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</si>
  <si>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</si>
  <si>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</si>
  <si>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</si>
  <si>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</si>
  <si>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</si>
  <si>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</si>
  <si>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</si>
  <si>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</si>
  <si>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</si>
  <si>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</si>
  <si>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</si>
  <si>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</si>
  <si>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</si>
  <si>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</si>
  <si>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</si>
  <si>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</si>
  <si>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</si>
  <si>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</si>
  <si>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</si>
  <si>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</si>
  <si>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</si>
  <si>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</si>
  <si>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</si>
  <si>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</si>
  <si>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</si>
  <si>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</si>
  <si>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</si>
  <si>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</si>
  <si>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</si>
  <si>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</si>
  <si>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</si>
  <si>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</si>
  <si>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</si>
  <si>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</si>
  <si>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</si>
  <si>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</si>
  <si>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</si>
  <si>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</si>
  <si>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</si>
  <si>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</si>
  <si>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</si>
  <si>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</si>
  <si>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</si>
  <si>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</si>
  <si>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</si>
  <si>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</si>
  <si>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</si>
  <si>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</si>
  <si>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</si>
  <si>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</si>
  <si>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</si>
  <si>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</si>
  <si>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</si>
  <si>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</si>
  <si>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</si>
  <si>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</si>
  <si>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</si>
  <si>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</si>
  <si>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</si>
  <si>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</si>
  <si>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</si>
  <si>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</si>
  <si>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</si>
  <si>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</si>
  <si>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</si>
  <si>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</si>
  <si>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</si>
  <si>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</si>
  <si>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</si>
  <si>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</si>
  <si>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</si>
  <si>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</si>
  <si>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</si>
  <si>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</si>
  <si>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</si>
  <si>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</si>
  <si>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</si>
  <si>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</si>
  <si>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</si>
  <si>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</si>
  <si>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</si>
  <si>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</si>
  <si>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</si>
  <si>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</si>
  <si>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</si>
  <si>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</si>
  <si>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</si>
  <si>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</si>
  <si>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</si>
  <si>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</si>
  <si>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</si>
  <si>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</si>
  <si>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</si>
  <si>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</si>
  <si>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</si>
  <si>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</si>
  <si>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</si>
  <si>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</si>
  <si>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</si>
  <si>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</si>
  <si>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</si>
  <si>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</si>
  <si>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</si>
  <si>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</si>
  <si>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</si>
  <si>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</si>
  <si>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</si>
  <si>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</si>
  <si>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</si>
  <si>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</si>
  <si>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</si>
  <si>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</si>
  <si>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</si>
  <si>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</si>
  <si>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</si>
  <si>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</si>
  <si>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</si>
  <si>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</si>
  <si>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</si>
  <si>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</si>
  <si>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</si>
  <si>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</si>
  <si>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</si>
  <si>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</si>
  <si>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</si>
  <si>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</si>
  <si>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</si>
  <si>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</si>
  <si>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</si>
  <si>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</si>
  <si>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</si>
  <si>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</si>
  <si>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</si>
  <si>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</si>
  <si>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</si>
  <si>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</si>
  <si>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</si>
  <si>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</si>
  <si>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</si>
  <si>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</si>
  <si>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</si>
  <si>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</si>
  <si>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</si>
  <si>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</si>
  <si>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</si>
  <si>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</si>
  <si>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</si>
  <si>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</si>
  <si>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</si>
  <si>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</si>
  <si>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</si>
  <si>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</si>
  <si>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</si>
  <si>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</si>
  <si>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</si>
  <si>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</si>
  <si>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</si>
  <si>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</si>
  <si>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</si>
  <si>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</si>
  <si>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</si>
  <si>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</si>
  <si>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</si>
  <si>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</si>
  <si>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</si>
  <si>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</si>
  <si>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</si>
  <si>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</si>
  <si>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</si>
  <si>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</si>
  <si>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</si>
  <si>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</si>
  <si>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</si>
  <si>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</si>
  <si>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</si>
  <si>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</si>
  <si>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</si>
  <si>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</si>
  <si>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</si>
  <si>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</si>
  <si>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</si>
  <si>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</si>
  <si>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</si>
  <si>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</si>
  <si>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</si>
  <si>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</si>
  <si>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</si>
  <si>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</si>
  <si>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</si>
  <si>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</si>
  <si>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</si>
  <si>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</si>
  <si>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</si>
  <si>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</si>
  <si>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</si>
  <si>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</si>
  <si>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</si>
  <si>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</si>
  <si>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</si>
  <si>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</si>
  <si>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</si>
  <si>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</si>
  <si>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</si>
  <si>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</si>
  <si>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</si>
  <si>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</si>
  <si>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</si>
  <si>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</si>
  <si>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</si>
  <si>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</si>
  <si>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</si>
  <si>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</si>
  <si>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</si>
  <si>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</si>
  <si>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</si>
  <si>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</si>
  <si>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</si>
  <si>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</si>
  <si>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</si>
  <si>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</si>
  <si>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</si>
  <si>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</si>
  <si>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</si>
  <si>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</si>
  <si>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</si>
  <si>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</si>
  <si>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</si>
  <si>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</si>
  <si>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</si>
  <si>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</si>
  <si>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</si>
  <si>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</si>
  <si>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</si>
  <si>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</si>
  <si>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</si>
  <si>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</si>
  <si>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</si>
  <si>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</si>
  <si>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</si>
  <si>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</si>
  <si>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</si>
  <si>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</si>
  <si>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</si>
  <si>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</si>
  <si>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</si>
  <si>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</si>
  <si>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</si>
  <si>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</si>
  <si>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</si>
  <si>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</si>
  <si>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</si>
  <si>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</si>
  <si>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</si>
  <si>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</si>
  <si>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</si>
  <si>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</si>
  <si>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</si>
  <si>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</si>
  <si>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</si>
  <si>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</si>
  <si>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</si>
  <si>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</si>
  <si>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</si>
  <si>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</si>
  <si>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</si>
  <si>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</si>
  <si>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</si>
  <si>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</si>
  <si>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</si>
  <si>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</si>
  <si>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</si>
  <si>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</si>
  <si>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</si>
  <si>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</si>
  <si>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</si>
  <si>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</si>
  <si>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</si>
  <si>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</si>
  <si>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</si>
  <si>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</si>
  <si>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</si>
  <si>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</si>
  <si>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</si>
  <si>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</si>
  <si>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</si>
  <si>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</si>
  <si>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</si>
  <si>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</si>
  <si>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</si>
  <si>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</si>
  <si>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</si>
  <si>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</si>
  <si>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</si>
  <si>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</si>
  <si>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</si>
  <si>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</si>
  <si>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</si>
  <si>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</si>
  <si>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</si>
  <si>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</si>
  <si>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</si>
  <si>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</si>
  <si>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</si>
  <si>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</si>
  <si>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</si>
  <si>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</si>
  <si>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</si>
  <si>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</si>
  <si>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</si>
  <si>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</si>
  <si>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</si>
  <si>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</si>
  <si>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</si>
  <si>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</si>
  <si>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</si>
  <si>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</si>
  <si>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</si>
  <si>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</si>
  <si>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</si>
  <si>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</si>
  <si>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</si>
  <si>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</si>
  <si>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</si>
  <si>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</si>
  <si>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</si>
  <si>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</si>
  <si>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</si>
  <si>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</si>
  <si>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</si>
  <si>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</si>
  <si>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</si>
  <si>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</si>
  <si>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</si>
  <si>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</si>
  <si>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</si>
  <si>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</si>
  <si>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</si>
  <si>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</si>
  <si>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</si>
  <si>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</si>
  <si>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</si>
  <si>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</si>
  <si>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</si>
  <si>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</si>
  <si>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</si>
  <si>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</si>
  <si>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</si>
  <si>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</si>
  <si>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</si>
  <si>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</si>
  <si>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</si>
  <si>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</si>
  <si>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</si>
  <si>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</si>
  <si>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</si>
  <si>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</si>
  <si>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</si>
  <si>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</si>
  <si>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</si>
  <si>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</si>
  <si>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</si>
  <si>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</si>
  <si>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</si>
  <si>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</si>
  <si>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</si>
  <si>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</si>
  <si>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</si>
  <si>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</si>
  <si>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</si>
  <si>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</si>
  <si>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</si>
  <si>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</si>
  <si>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</si>
  <si>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</si>
  <si>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</si>
  <si>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</si>
  <si>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</si>
  <si>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</si>
  <si>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</si>
  <si>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</si>
  <si>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</si>
  <si>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</si>
  <si>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</si>
  <si>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</si>
  <si>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</si>
  <si>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</si>
  <si>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</si>
  <si>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</si>
  <si>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</si>
  <si>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</si>
  <si>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</si>
  <si>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</si>
  <si>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</si>
  <si>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</si>
  <si>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</si>
  <si>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</si>
  <si>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</si>
  <si>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</si>
  <si>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</si>
  <si>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</si>
  <si>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</si>
  <si>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</si>
  <si>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</si>
  <si>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</si>
  <si>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</si>
  <si>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</si>
  <si>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</si>
  <si>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</si>
  <si>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</si>
  <si>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</si>
  <si>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</si>
  <si>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</si>
  <si>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</si>
  <si>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</si>
  <si>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</si>
  <si>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</si>
  <si>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</si>
  <si>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</si>
  <si>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</si>
  <si>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</si>
  <si>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</si>
  <si>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</si>
  <si>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</si>
  <si>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</si>
  <si>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</si>
  <si>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</si>
  <si>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</si>
  <si>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</si>
  <si>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</si>
  <si>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</si>
  <si>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</si>
  <si>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</si>
  <si>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地块一</t>
    <phoneticPr fontId="228" type="noConversion"/>
  </si>
  <si>
    <t>住宅</t>
    <phoneticPr fontId="228" type="noConversion"/>
  </si>
  <si>
    <t>土地面积</t>
    <phoneticPr fontId="228" type="noConversion"/>
  </si>
  <si>
    <t>建筑面积</t>
    <phoneticPr fontId="228" type="noConversion"/>
  </si>
  <si>
    <t>商业建筑面积</t>
    <phoneticPr fontId="228" type="noConversion"/>
  </si>
  <si>
    <t>容积率</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</si>
  <si>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</si>
  <si>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</si>
  <si>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</si>
  <si>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</si>
  <si>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</si>
  <si>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</si>
  <si>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</si>
  <si>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</si>
  <si>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</si>
  <si>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</si>
  <si>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</si>
  <si>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</si>
  <si>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</si>
  <si>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郫都区犀浦镇梓潼村二社、五社、五粮村四社</t>
  </si>
  <si>
    <t>成都市</t>
  </si>
  <si>
    <t>综合用地(含住宅)</t>
  </si>
  <si>
    <t>x18地块:容积率≤2且≥1;x18配套地块:容积率≤2.4且≥1.6</t>
  </si>
  <si>
    <t>拍卖</t>
  </si>
  <si>
    <t>2019-05-08</t>
  </si>
  <si>
    <t>成都郫都区梓橦轨道城市发展有限公司</t>
  </si>
  <si>
    <t>5星</t>
  </si>
  <si>
    <t>郫都区红光街道蒋桥村集体</t>
  </si>
  <si>
    <t>住宅用地</t>
  </si>
  <si>
    <t>①号地块:容积率≤2且≥1;③号地块:≤2.4*≥1.2。</t>
  </si>
  <si>
    <t>2019-03-28</t>
  </si>
  <si>
    <t>成都金科房地产开发有限公司</t>
  </si>
  <si>
    <t>3星</t>
  </si>
  <si>
    <t>郫都区郫筒镇凉水村二、四社</t>
  </si>
  <si>
    <t>①号地块:容积率≤2且≥1;③号地块:容积率≤2.4</t>
  </si>
  <si>
    <t>四川正黄置业发展有限公司</t>
  </si>
  <si>
    <t>PD2018-23(菁蓉湖B片区地块)</t>
  </si>
  <si>
    <t>①号地块:容积率≤3;②号地块:容积率≤2.5且≥1;③号地块:容积率≤2.5且≥1;④号地块:容积率≤2。</t>
  </si>
  <si>
    <t>2019-02-20</t>
  </si>
  <si>
    <t>成都华通成科技有限公司</t>
  </si>
  <si>
    <t>郫都区郫筒街道望丛社区集体、郫筒镇晨光社区集体,郫筒镇晨光村集体,郫筒镇晨光村村委会</t>
  </si>
  <si>
    <t>①号地块:≤2.5且≥1(停车楼不计入容积率)②号地块:≤2.4</t>
  </si>
  <si>
    <t>2019-01-09</t>
  </si>
  <si>
    <t>成都锦泉企业管理咨询有限公司</t>
  </si>
  <si>
    <t>郫都区郫筒镇晨光村二社、三社、双喜村一社</t>
  </si>
  <si>
    <t>①号地块:容积率≤2且≥1;②号地块:结合方案合理性确定</t>
  </si>
  <si>
    <t>2018-12-27</t>
  </si>
  <si>
    <t>成都市花样年房地产开发有限公司</t>
  </si>
  <si>
    <t>4星</t>
  </si>
  <si>
    <t>郫都区安德镇泉水村五社、六社</t>
  </si>
  <si>
    <t>①号地块:容积率≤1.5且≥1;②号地块:容积率≤2.4</t>
  </si>
  <si>
    <t>2018-12-12</t>
  </si>
  <si>
    <t>成都人居蜀兴置业有限公司</t>
  </si>
  <si>
    <t>2星</t>
  </si>
  <si>
    <t>成都市郫都区安德街道望乐社区集体、交通村三社</t>
  </si>
  <si>
    <t>＞1.0且≤2.2</t>
  </si>
  <si>
    <t>2018-11-28</t>
  </si>
  <si>
    <t>成都合利房地产开发有限公司</t>
  </si>
  <si>
    <t>郫都区郫筒镇凉水村二社、三社,郫筒街道成灌东路社区集体,郫筒镇天台村四社、红光镇济阳村集体</t>
  </si>
  <si>
    <t>①号地块容积率≤2且≥1</t>
  </si>
  <si>
    <t>2018-10-31</t>
  </si>
  <si>
    <t>广州市时代企业地产投资有限公司</t>
  </si>
  <si>
    <t>郫都区团结镇永定村四社、石堤村十一社</t>
  </si>
  <si>
    <t>①号地块容积率≤1.5且≥1</t>
  </si>
  <si>
    <t>2018-10-11</t>
  </si>
  <si>
    <t>四川传建房地产开发有限公司</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</si>
  <si>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</si>
  <si>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</si>
  <si>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</si>
  <si>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</si>
  <si>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</si>
  <si>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</si>
  <si>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</si>
  <si>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</si>
  <si>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</si>
  <si>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</si>
  <si>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</si>
  <si>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</si>
  <si>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</si>
  <si>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</si>
  <si>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</si>
  <si>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</si>
  <si>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</si>
  <si>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1星</t>
  </si>
  <si>
    <t>成都市郫都区友爱街道春台村1社、2社、顺安村8社</t>
  </si>
  <si>
    <t>＞1.0且≤1.5</t>
  </si>
  <si>
    <t>2018-06-22</t>
  </si>
  <si>
    <t>成都峰壕置业有限公司</t>
  </si>
  <si>
    <t>郫都区德源镇清江村二社、五社</t>
  </si>
  <si>
    <t>①号地块:不大于1.5且不小于1</t>
  </si>
  <si>
    <t>2018-06-14</t>
  </si>
  <si>
    <t>郫都区德源镇清江村二社、三社、花石村一社</t>
  </si>
  <si>
    <t>①号地块:≤2.5且≥1;②号地块:≤3</t>
  </si>
  <si>
    <t>郫都区犀浦镇万福村四社、梓潼村四社、龙吟村5组</t>
  </si>
  <si>
    <t>综合容积率2.45</t>
  </si>
  <si>
    <t>2018-06-05</t>
  </si>
  <si>
    <t>成都碧桂园富高置业有限公司</t>
  </si>
  <si>
    <t>成都市郫都区三道堰街道青杠树村1社、2社</t>
  </si>
  <si>
    <t>＞1.0且≤1.2</t>
  </si>
  <si>
    <t>2018-04-04</t>
  </si>
  <si>
    <t>成都和盟置地有限公司</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</si>
  <si>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</si>
  <si>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</si>
  <si>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</si>
  <si>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</si>
  <si>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</si>
  <si>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</si>
  <si>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</si>
  <si>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t>①号地块＞1.0且≤2.0;②号地块≤2.4</t>
  </si>
  <si>
    <t>成都领地泛太房地产开发有限公司</t>
  </si>
  <si>
    <t>郫都区红光镇合兴村四、七社,铁门村一社、社区集体</t>
  </si>
  <si>
    <t>①号地块＞1.0且≤2.0(计入容积率的建筑面积大于44976平方米且不大于89950平方米)</t>
  </si>
  <si>
    <t>2017-10-17</t>
  </si>
  <si>
    <t>成都万科房地产有限公司</t>
  </si>
  <si>
    <t>郫都区犀浦镇梓潼村3社</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</si>
  <si>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</si>
  <si>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</si>
  <si>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</si>
  <si>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</si>
  <si>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郫都区犀浦镇龙吟村6社</t>
  </si>
  <si>
    <t>1号地块＞1.0且≤2.9</t>
  </si>
  <si>
    <t>2017-08-22</t>
  </si>
  <si>
    <t>郫都区郫筒镇街道一里村一社、城关村三社</t>
  </si>
  <si>
    <t>1号地块＞1.0且≤2.5;2号地块≤2.4</t>
  </si>
  <si>
    <t>北京金隅大成开发有限公司</t>
  </si>
  <si>
    <t>郫都区犀浦镇五粮村1社</t>
  </si>
  <si>
    <t>＞1.0且≤2.4</t>
  </si>
  <si>
    <t>远洋朗基置业有限公司</t>
  </si>
  <si>
    <t>郫县红光镇金土村一二社、三观村四社、仪隆村一社</t>
  </si>
  <si>
    <t>大于1并且小于或等于2.5</t>
  </si>
  <si>
    <t>2016-09-29</t>
  </si>
  <si>
    <t>成都银宇置业有限公司</t>
  </si>
  <si>
    <t>郫县安靖镇喜安村5社</t>
  </si>
  <si>
    <t>大于1并且小于或等于3.67、大于1并且小于或等于3.55</t>
  </si>
  <si>
    <t>2016-09-26</t>
  </si>
  <si>
    <t>成都安渝项目投资有限公司</t>
  </si>
  <si>
    <t>郫县红光镇金土村二社、仪隆村一社</t>
  </si>
  <si>
    <t>2016-09-02</t>
  </si>
  <si>
    <t>计算容积率</t>
    <phoneticPr fontId="228" type="noConversion"/>
  </si>
  <si>
    <t>长旺国际发展有限公司</t>
    <phoneticPr fontId="228" type="noConversion"/>
  </si>
  <si>
    <t>起始楼面价</t>
    <phoneticPr fontId="228" type="noConversion"/>
  </si>
  <si>
    <t>否</t>
    <phoneticPr fontId="26" type="noConversion"/>
  </si>
  <si>
    <t>是</t>
    <phoneticPr fontId="26" type="noConversion"/>
  </si>
  <si>
    <t>正常</t>
  </si>
  <si>
    <t>地上</t>
  </si>
  <si>
    <t>商业</t>
  </si>
  <si>
    <t>住宅</t>
    <phoneticPr fontId="7" type="noConversion"/>
  </si>
  <si>
    <t>商业</t>
    <phoneticPr fontId="7" type="noConversion"/>
  </si>
  <si>
    <t>主干道</t>
  </si>
  <si>
    <t>主干道</t>
    <phoneticPr fontId="26" type="noConversion"/>
  </si>
  <si>
    <t>次干道</t>
  </si>
  <si>
    <t>次干道</t>
    <phoneticPr fontId="26" type="noConversion"/>
  </si>
  <si>
    <t>支路</t>
  </si>
  <si>
    <t>支路</t>
    <phoneticPr fontId="26" type="noConversion"/>
  </si>
  <si>
    <t>一般</t>
  </si>
  <si>
    <t>一般</t>
    <phoneticPr fontId="21" type="noConversion"/>
  </si>
  <si>
    <t>一般</t>
    <phoneticPr fontId="21" type="noConversion"/>
  </si>
  <si>
    <t>一般</t>
    <phoneticPr fontId="21" type="noConversion"/>
  </si>
  <si>
    <t>六通</t>
    <phoneticPr fontId="21" type="noConversion"/>
  </si>
  <si>
    <t>支路</t>
    <phoneticPr fontId="21" type="noConversion"/>
  </si>
  <si>
    <t>较好</t>
  </si>
  <si>
    <t>好</t>
  </si>
  <si>
    <t>剩余法-待开发</t>
  </si>
  <si>
    <t>比较法-住宅、综合</t>
  </si>
  <si>
    <t>楼面地价</t>
  </si>
  <si>
    <t>否</t>
    <phoneticPr fontId="26" type="noConversion"/>
  </si>
  <si>
    <t>高溢价</t>
    <phoneticPr fontId="26" type="noConversion"/>
  </si>
  <si>
    <t>低溢价</t>
  </si>
  <si>
    <t>低溢价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</si>
</sst>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0" fillId="9" borderId="0" xfId="0" applyFill="1" applyAlignment="1"/>
    <xf numFmtId="0" fontId="145" fillId="0" borderId="0" xfId="0" applyFont="1" applyAlignment="1"/>
    <xf numFmtId="0" fontId="0" fillId="0" borderId="0" xfId="0" applyAlignment="1">
      <alignment horizontal="center" vertical="center" wrapText="1"/>
    </xf>
    <xf numFmtId="0" fontId="0" fillId="0" borderId="0" xfId="0" applyFont="1" applyAlignment="1">
      <alignment horizontal="center" vertical="center" wrapText="1"/>
    </xf>
    <xf numFmtId="0" fontId="145" fillId="0" borderId="0" xfId="0" applyFont="1" applyAlignment="1">
      <alignment horizontal="center" vertical="center" wrapText="1"/>
    </xf>
    <xf numFmtId="0" fontId="0" fillId="0" borderId="0" xfId="0" applyFill="1" applyAlignment="1"/>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9525</xdr:rowOff>
    </xdr:from>
    <xdr:to>
      <xdr:col>14</xdr:col>
      <xdr:colOff>152400</xdr:colOff>
      <xdr:row>38</xdr:row>
      <xdr:rowOff>74295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95475"/>
          <a:ext cx="10058400" cy="4693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4</xdr:col>
      <xdr:colOff>771525</xdr:colOff>
      <xdr:row>62</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71600"/>
          <a:ext cx="6667500" cy="4752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83474.2平方米。根据《建设工程规划许可证》[]、《出让合同》[]，估价对象规划建筑面积为300507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2019年8月23日（评估专业人员勘察现场之日）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根据《国有土地使用证》[]，估价对象（分摊）出让国有建设用地使用权面积为83474.2平方米。根据《建设工程规划许可证》[]、《出让合同》[]，估价对象规划建筑面积为300507平方米。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9月1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83474.2</v>
      </c>
    </row>
    <row r="44" spans="1:2">
      <c r="A44" s="2833" t="s">
        <v>2740</v>
      </c>
      <c r="B44" s="2834" t="str">
        <f>'预评函-2'!O3</f>
        <v>规划建筑面积/㎡</v>
      </c>
    </row>
    <row r="45" spans="1:2">
      <c r="A45" s="2833" t="s">
        <v>2722</v>
      </c>
      <c r="B45" s="2834">
        <f>'预评函-2'!O5</f>
        <v>300507</v>
      </c>
    </row>
    <row r="46" spans="1:2">
      <c r="A46" s="2833" t="s">
        <v>2723</v>
      </c>
      <c r="B46" s="2834">
        <f ca="1">'预评函-2'!P5</f>
        <v>23082</v>
      </c>
    </row>
    <row r="47" spans="1:2">
      <c r="A47" s="2833" t="s">
        <v>2724</v>
      </c>
      <c r="B47" s="2834">
        <f ca="1">'预评函-2'!Q5</f>
        <v>6412</v>
      </c>
    </row>
    <row r="48" spans="1:2">
      <c r="A48" s="2833" t="s">
        <v>2725</v>
      </c>
      <c r="B48" s="2834">
        <f ca="1">'预评函-2'!R5</f>
        <v>192678</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8" t="str">
        <f>IF(B10="北京市","北京市",C10)&amp;F10&amp;B16&amp;"国有建设用地使用权"&amp;B9&amp;"预评估"</f>
        <v>出让国有建设用地使用权预评估</v>
      </c>
      <c r="C1" s="3229"/>
      <c r="D1" s="3229"/>
      <c r="E1" s="3229"/>
      <c r="F1" s="3229"/>
      <c r="G1" s="3229"/>
      <c r="H1" s="3229"/>
      <c r="I1" s="3230"/>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43700</v>
      </c>
      <c r="C3" s="1647" t="s">
        <v>1995</v>
      </c>
      <c r="D3" s="1646">
        <f>B3</f>
        <v>43700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34"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35"/>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1"/>
      <c r="C12" s="3232"/>
      <c r="D12" s="3233"/>
      <c r="E12" s="1683" t="s">
        <v>2061</v>
      </c>
      <c r="F12" s="3249" t="s">
        <v>2890</v>
      </c>
      <c r="G12" s="3250"/>
      <c r="H12" s="3250"/>
      <c r="I12" s="3251"/>
      <c r="J12" s="1678"/>
      <c r="K12" s="1758"/>
      <c r="L12" s="1707"/>
      <c r="M12" s="1707"/>
      <c r="N12" s="1678"/>
      <c r="O12" s="1679"/>
      <c r="P12" s="1678"/>
      <c r="Q12" s="1678"/>
      <c r="R12" s="1678"/>
      <c r="S12" s="1678"/>
      <c r="T12" s="1678"/>
      <c r="U12" s="1678"/>
    </row>
    <row r="13" spans="1:21">
      <c r="A13" s="1671" t="s">
        <v>2059</v>
      </c>
      <c r="B13" s="3231"/>
      <c r="C13" s="3232"/>
      <c r="D13" s="3233"/>
      <c r="E13" s="1683" t="s">
        <v>2061</v>
      </c>
      <c r="F13" s="3249" t="s">
        <v>2891</v>
      </c>
      <c r="G13" s="3250"/>
      <c r="H13" s="3250"/>
      <c r="I13" s="3251"/>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2987</v>
      </c>
      <c r="C16" s="1683" t="s">
        <v>1948</v>
      </c>
      <c r="D16" s="2610" t="s">
        <v>1949</v>
      </c>
      <c r="E16" s="1706"/>
      <c r="F16" s="1706"/>
      <c r="G16" s="1706"/>
      <c r="H16" s="1706"/>
      <c r="I16" s="1670" t="s">
        <v>1954</v>
      </c>
      <c r="J16" s="1678"/>
      <c r="K16" s="2420" t="str">
        <f>IF(D17="","",D16&amp;TEXT(D17,"yyyy年m月d日;;"))</f>
        <v>住宅2078年9月1日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65259</v>
      </c>
      <c r="E17" s="1684"/>
      <c r="F17" s="1684"/>
      <c r="G17" s="1684"/>
      <c r="H17" s="1684"/>
      <c r="I17" s="1684"/>
      <c r="J17" s="1678"/>
      <c r="K17" s="2419" t="str">
        <f>CONCATENATE(K16,L16,M16,N16,O16,P16,Q16,R16,S16,T16,,U16)</f>
        <v>住宅2078年9月1日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59.06</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6"/>
      <c r="E20" s="3247"/>
      <c r="F20" s="3247"/>
      <c r="G20" s="3247"/>
      <c r="H20" s="3247"/>
      <c r="I20" s="3248"/>
      <c r="J20" s="1678"/>
      <c r="K20" s="1758"/>
      <c r="L20" s="1707"/>
      <c r="M20" s="1707"/>
      <c r="N20" s="1678"/>
      <c r="O20" s="1679"/>
      <c r="P20" s="1678"/>
      <c r="Q20" s="1678"/>
      <c r="R20" s="1678"/>
      <c r="S20" s="1678"/>
      <c r="T20" s="1678"/>
      <c r="U20" s="1678"/>
    </row>
    <row r="21" spans="1:21">
      <c r="A21" s="1747" t="s">
        <v>1958</v>
      </c>
      <c r="B21" s="1748" t="s">
        <v>1959</v>
      </c>
      <c r="C21" s="1743">
        <f>'数据-汇总表'!E3</f>
        <v>300507</v>
      </c>
      <c r="D21" s="1744" t="s">
        <v>1960</v>
      </c>
      <c r="E21" s="3236" t="s">
        <v>1998</v>
      </c>
      <c r="F21" s="3237"/>
      <c r="G21" s="3237"/>
      <c r="H21" s="3237"/>
      <c r="I21" s="3238"/>
      <c r="J21" s="1678"/>
      <c r="K21" s="1758"/>
      <c r="L21" s="1707"/>
      <c r="M21" s="1707"/>
      <c r="N21" s="1678"/>
      <c r="O21" s="1679"/>
      <c r="P21" s="1678"/>
      <c r="Q21" s="1678"/>
      <c r="R21" s="1678"/>
      <c r="S21" s="1678"/>
      <c r="T21" s="1678"/>
      <c r="U21" s="1678"/>
    </row>
    <row r="22" spans="1:21">
      <c r="A22" s="3095" t="s">
        <v>952</v>
      </c>
      <c r="B22" s="1645" t="s">
        <v>1961</v>
      </c>
      <c r="C22" s="1670">
        <f>'数据-汇总表'!D3</f>
        <v>83474.2</v>
      </c>
      <c r="D22" s="1671" t="s">
        <v>1960</v>
      </c>
      <c r="E22" s="3236" t="s">
        <v>2892</v>
      </c>
      <c r="F22" s="3237"/>
      <c r="G22" s="3237"/>
      <c r="H22" s="3237"/>
      <c r="I22" s="323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9" t="s">
        <v>1966</v>
      </c>
      <c r="C24" s="3240"/>
      <c r="D24" s="3241" t="s">
        <v>1967</v>
      </c>
      <c r="E24" s="3242"/>
      <c r="F24" s="1692" t="s">
        <v>1968</v>
      </c>
      <c r="G24" s="1678"/>
      <c r="H24" s="1678"/>
      <c r="I24" s="1691"/>
      <c r="J24" s="1678"/>
      <c r="K24" s="322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4" t="s">
        <v>2001</v>
      </c>
      <c r="B31" s="1748" t="s">
        <v>2002</v>
      </c>
      <c r="C31" s="3252"/>
      <c r="D31" s="3253"/>
      <c r="E31" s="1678"/>
      <c r="F31" s="1678"/>
      <c r="G31" s="1678"/>
      <c r="H31" s="1678"/>
      <c r="I31" s="1691"/>
      <c r="J31" s="1678"/>
      <c r="K31" s="2422"/>
      <c r="L31" s="1678"/>
      <c r="M31" s="1678"/>
      <c r="N31" s="1678"/>
      <c r="O31" s="1678"/>
      <c r="P31" s="1678"/>
      <c r="Q31" s="1678"/>
      <c r="R31" s="1678"/>
      <c r="S31" s="1678"/>
      <c r="T31" s="1678"/>
      <c r="U31" s="1678"/>
    </row>
    <row r="32" spans="1:21">
      <c r="A32" s="325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5"/>
      <c r="B34" s="1645" t="s">
        <v>2005</v>
      </c>
      <c r="C34" s="3256"/>
      <c r="D34" s="3257"/>
      <c r="E34" s="1678"/>
      <c r="F34" s="1678"/>
      <c r="G34" s="1678"/>
      <c r="H34" s="1678"/>
      <c r="I34" s="1691"/>
      <c r="J34" s="1678"/>
      <c r="K34" s="2422"/>
      <c r="L34" s="1678"/>
      <c r="M34" s="1678"/>
      <c r="N34" s="1678"/>
      <c r="O34" s="1678"/>
      <c r="P34" s="1678"/>
      <c r="Q34" s="1678"/>
      <c r="R34" s="1678"/>
      <c r="S34" s="1678"/>
      <c r="T34" s="1678"/>
      <c r="U34" s="1678"/>
    </row>
    <row r="35" spans="1:21">
      <c r="A35" s="3258" t="s">
        <v>847</v>
      </c>
      <c r="B35" s="1706"/>
      <c r="C35" s="1760" t="str">
        <f>IF(B35="场地平整","——","具体情况：")</f>
        <v>具体情况：</v>
      </c>
      <c r="D35" s="3260"/>
      <c r="E35" s="3261"/>
      <c r="F35" s="3261"/>
      <c r="G35" s="3261"/>
      <c r="H35" s="3261"/>
      <c r="I35" s="3262"/>
      <c r="J35" s="1678"/>
      <c r="K35" s="1759"/>
      <c r="L35" s="1707"/>
      <c r="M35" s="1707"/>
      <c r="N35" s="1678"/>
      <c r="O35" s="1679"/>
      <c r="P35" s="1678"/>
      <c r="Q35" s="1678"/>
      <c r="R35" s="1678"/>
      <c r="S35" s="1678"/>
      <c r="T35" s="1678"/>
      <c r="U35" s="1678"/>
    </row>
    <row r="36" spans="1:21">
      <c r="A36" s="3254"/>
      <c r="B36" s="3263" t="s">
        <v>2054</v>
      </c>
      <c r="C36" s="3264"/>
      <c r="D36" s="1776"/>
      <c r="E36" s="3265"/>
      <c r="F36" s="3265"/>
      <c r="G36" s="1671" t="str">
        <f>IF(B35="场地未平整","估价结果处理","")</f>
        <v/>
      </c>
      <c r="H36" s="3266"/>
      <c r="I36" s="3266"/>
      <c r="J36" s="1678"/>
      <c r="K36" s="1759"/>
      <c r="L36" s="1707"/>
      <c r="M36" s="1707"/>
      <c r="N36" s="1678"/>
      <c r="O36" s="1679"/>
      <c r="P36" s="1678"/>
      <c r="Q36" s="1678"/>
      <c r="R36" s="1678"/>
      <c r="S36" s="1678"/>
      <c r="T36" s="1678"/>
      <c r="U36" s="1678"/>
    </row>
    <row r="37" spans="1:21" ht="28.5">
      <c r="A37" s="3254"/>
      <c r="B37" s="324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4"/>
      <c r="B38" s="3244"/>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5"/>
      <c r="B39" s="324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6" t="s">
        <v>1985</v>
      </c>
      <c r="T40" s="1715" t="str">
        <f>NUMBERSTRING(7-K40,1)&amp;"通"</f>
        <v>七通</v>
      </c>
      <c r="U40" s="1678"/>
    </row>
    <row r="41" spans="1:21">
      <c r="A41" s="1647"/>
      <c r="B41" s="3259" t="s">
        <v>1721</v>
      </c>
      <c r="C41" s="3259"/>
      <c r="D41" s="3259"/>
      <c r="E41" s="325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5" sqref="F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信息!B3</f>
        <v>83474.2</v>
      </c>
      <c r="B3" s="22">
        <f>IF(C3="否",G5-AT5,G5)</f>
        <v>300507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300507</v>
      </c>
      <c r="H5" s="27">
        <f t="shared" ref="H5:AT5" si="0">SUM(H13:H641)</f>
        <v>300507</v>
      </c>
      <c r="I5" s="27">
        <f t="shared" si="0"/>
        <v>250423</v>
      </c>
      <c r="J5" s="27">
        <f t="shared" si="0"/>
        <v>0</v>
      </c>
      <c r="K5" s="27">
        <f t="shared" si="0"/>
        <v>50084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300507</v>
      </c>
      <c r="BA5" s="29">
        <f t="shared" si="1"/>
        <v>300507</v>
      </c>
      <c r="BB5" s="29">
        <f t="shared" si="1"/>
        <v>250423</v>
      </c>
      <c r="BC5" s="29">
        <f t="shared" si="1"/>
        <v>50084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83474.2</v>
      </c>
      <c r="F6" s="27" t="s">
        <v>1</v>
      </c>
      <c r="G6" s="27" t="s">
        <v>2</v>
      </c>
      <c r="H6" s="33">
        <f>SUMIF(I$12:AB$12,"总值",I6:AB6)</f>
        <v>83474.2</v>
      </c>
      <c r="I6" s="27">
        <f t="shared" ref="I6:AB6" si="2">ROUND($A$3*I5/$B$3,2)</f>
        <v>69561.97</v>
      </c>
      <c r="J6" s="27">
        <f t="shared" si="2"/>
        <v>0</v>
      </c>
      <c r="K6" s="27">
        <f t="shared" si="2"/>
        <v>13912.23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83474.2</v>
      </c>
      <c r="AZ6" s="27" t="s">
        <v>3</v>
      </c>
      <c r="BA6" s="27">
        <f>ROUND($AY$6*BA5/$AZ$5,2)</f>
        <v>83474.2</v>
      </c>
      <c r="BB6" s="27">
        <f>ROUND($AY$6*BB5/$AZ$5,2)</f>
        <v>69561.97</v>
      </c>
      <c r="BC6" s="27">
        <f t="shared" ref="BC6:BH6" si="4">ROUND($AY$6*BC5/$AZ$5,2)</f>
        <v>13912.23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3139</v>
      </c>
      <c r="J9" s="51"/>
      <c r="K9" s="2971" t="s">
        <v>3139</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3140</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83474.2</v>
      </c>
      <c r="F13" s="81"/>
      <c r="G13" s="82">
        <f t="shared" ref="G13:G20" si="7">H13+AC13+AT13</f>
        <v>300507</v>
      </c>
      <c r="H13" s="33">
        <f t="shared" ref="H13:H20" si="8">SUMIF(I$12:AB$12,"总值",I13:AB13)</f>
        <v>300507</v>
      </c>
      <c r="I13" s="2970">
        <f>信息!C3-信息!D3</f>
        <v>250423</v>
      </c>
      <c r="J13" s="2970"/>
      <c r="K13" s="2970">
        <f>信息!D3</f>
        <v>50084</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83474.2</v>
      </c>
      <c r="AZ13" s="27">
        <f t="shared" ref="AZ13:AZ20" si="12">BA13+BL13</f>
        <v>300507</v>
      </c>
      <c r="BA13" s="27">
        <f t="shared" ref="BA13:BA20" si="13">SUM(BB13:BK13)</f>
        <v>300507</v>
      </c>
      <c r="BB13" s="27">
        <f t="shared" ref="BB13:BB20" si="14">IF($D13="是",I13-J13,0)</f>
        <v>250423</v>
      </c>
      <c r="BC13" s="27">
        <f t="shared" ref="BC13:BC20" si="15">IF($D13="是",K13-L13,0)</f>
        <v>50084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6" sqref="H2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8" t="s">
        <v>203</v>
      </c>
      <c r="B2" s="3278"/>
      <c r="C2" s="3278"/>
      <c r="D2" s="1960" t="s">
        <v>204</v>
      </c>
      <c r="E2" s="106" t="s">
        <v>205</v>
      </c>
      <c r="F2" s="1969"/>
      <c r="G2" s="1194"/>
      <c r="H2" s="1195"/>
      <c r="I2" s="1196" t="s">
        <v>857</v>
      </c>
      <c r="J2" s="1969"/>
      <c r="K2" s="1969"/>
      <c r="L2" s="1969"/>
    </row>
    <row r="3" spans="1:16" ht="15.75" thickBot="1">
      <c r="A3" s="3279" t="s">
        <v>206</v>
      </c>
      <c r="B3" s="3279"/>
      <c r="C3" s="3279"/>
      <c r="D3" s="107">
        <f>'数据-基础表'!AY6</f>
        <v>83474.2</v>
      </c>
      <c r="E3" s="107">
        <f>'数据-基础表'!AZ5</f>
        <v>300507</v>
      </c>
      <c r="F3" s="1969"/>
      <c r="G3" s="280" t="s">
        <v>858</v>
      </c>
      <c r="H3" s="275" t="s">
        <v>859</v>
      </c>
      <c r="I3" s="1961">
        <f>ROUND('数据-基础表'!B3/'数据-基础表'!A3,2)</f>
        <v>3.6</v>
      </c>
      <c r="J3" s="1969"/>
      <c r="K3" s="1969"/>
      <c r="L3" s="1969"/>
    </row>
    <row r="4" spans="1:16" ht="15">
      <c r="A4" s="3280"/>
      <c r="B4" s="3281"/>
      <c r="C4" s="3282"/>
      <c r="D4" s="108" t="s">
        <v>204</v>
      </c>
      <c r="E4" s="109" t="s">
        <v>205</v>
      </c>
      <c r="F4" s="1969"/>
      <c r="G4" s="1197"/>
      <c r="H4" s="275" t="s">
        <v>860</v>
      </c>
      <c r="I4" s="1961">
        <f>ROUND(SUMIF('数据-基础表'!I9:AS9,"地上",'数据-基础表'!I5:AS5)/'数据-基础表'!A3,2)</f>
        <v>3.6</v>
      </c>
      <c r="J4" s="1969"/>
      <c r="K4" s="1969"/>
      <c r="L4" s="1969"/>
    </row>
    <row r="5" spans="1:16">
      <c r="A5" s="110" t="s">
        <v>207</v>
      </c>
      <c r="B5" s="3283" t="s">
        <v>230</v>
      </c>
      <c r="C5" s="3283"/>
      <c r="D5" s="111">
        <f>ROUND($D$3*E5/$E$3,2)</f>
        <v>69561.97</v>
      </c>
      <c r="E5" s="112">
        <f>SUMIF('数据-基础表'!$11:$11,"住宅",'数据-基础表'!$5:$5)</f>
        <v>250423</v>
      </c>
      <c r="F5" s="1969"/>
      <c r="G5" s="280" t="s">
        <v>861</v>
      </c>
      <c r="H5" s="275" t="s">
        <v>859</v>
      </c>
      <c r="I5" s="1961">
        <f>ROUND(E31/D31,2)</f>
        <v>3.6</v>
      </c>
      <c r="J5" s="1969"/>
      <c r="K5" s="1969"/>
      <c r="L5" s="1969"/>
    </row>
    <row r="6" spans="1:16" ht="15" thickBot="1">
      <c r="A6" s="113"/>
      <c r="B6" s="3283" t="s">
        <v>208</v>
      </c>
      <c r="C6" s="3283"/>
      <c r="D6" s="111">
        <f>ROUND($D$3*E6/$E$3,2)</f>
        <v>13912.23</v>
      </c>
      <c r="E6" s="112">
        <f>E3-E5</f>
        <v>50084</v>
      </c>
      <c r="F6" s="1969"/>
      <c r="G6" s="1197"/>
      <c r="H6" s="275" t="s">
        <v>860</v>
      </c>
      <c r="I6" s="1961">
        <f>ROUND(F31/D31,2)</f>
        <v>3.6</v>
      </c>
      <c r="J6" s="1969"/>
      <c r="K6" s="1969"/>
      <c r="L6" s="1969"/>
    </row>
    <row r="7" spans="1:16" ht="15">
      <c r="A7" s="3275"/>
      <c r="B7" s="3276"/>
      <c r="C7" s="3277"/>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83474.2</v>
      </c>
      <c r="E8" s="116">
        <f>SUMIF('数据-基础表'!BB10:BK10,"地上",'数据-基础表'!BB5:BK5)</f>
        <v>300507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83474.2</v>
      </c>
      <c r="E16" s="120">
        <f>SUM(E8:E15)</f>
        <v>300507</v>
      </c>
      <c r="F16" s="1969"/>
      <c r="G16" s="1971"/>
      <c r="H16" s="968" t="s">
        <v>219</v>
      </c>
      <c r="I16" s="969"/>
      <c r="J16" s="1969"/>
      <c r="K16" s="3269" t="s">
        <v>2566</v>
      </c>
      <c r="L16" s="3270"/>
      <c r="M16" s="3270"/>
      <c r="N16" s="3270"/>
      <c r="O16" s="3270"/>
      <c r="P16" s="3271"/>
    </row>
    <row r="17" spans="1:19" ht="15">
      <c r="A17" s="121" t="s">
        <v>216</v>
      </c>
      <c r="B17" s="122" t="s">
        <v>217</v>
      </c>
      <c r="C17" s="2283" t="s">
        <v>2313</v>
      </c>
      <c r="D17" s="108" t="s">
        <v>204</v>
      </c>
      <c r="E17" s="124" t="s">
        <v>205</v>
      </c>
      <c r="F17" s="125"/>
      <c r="G17" s="1362"/>
      <c r="H17" s="970" t="s">
        <v>218</v>
      </c>
      <c r="I17" s="971" t="s">
        <v>2312</v>
      </c>
      <c r="J17" s="1969"/>
      <c r="K17" s="3272" t="s">
        <v>2567</v>
      </c>
      <c r="L17" s="3273"/>
      <c r="M17" s="3274"/>
      <c r="N17" s="3272" t="s">
        <v>2568</v>
      </c>
      <c r="O17" s="3273"/>
      <c r="P17" s="327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3141</v>
      </c>
      <c r="D19" s="111">
        <f t="shared" ref="D19:D26" si="1">ROUND($D$3*E19/$E$3,2)</f>
        <v>69561.97</v>
      </c>
      <c r="E19" s="134">
        <f t="shared" ref="E19:E26" si="2">SUM(F19:G19)</f>
        <v>250423</v>
      </c>
      <c r="F19" s="135">
        <f>'数据-基础表'!I13</f>
        <v>250423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69561.97</v>
      </c>
      <c r="S19" s="2286">
        <f t="shared" si="5"/>
        <v>250423</v>
      </c>
    </row>
    <row r="20" spans="1:19">
      <c r="A20" s="138"/>
      <c r="B20" s="115" t="s">
        <v>226</v>
      </c>
      <c r="C20" s="2977" t="s">
        <v>3142</v>
      </c>
      <c r="D20" s="111">
        <f t="shared" si="1"/>
        <v>13912.23</v>
      </c>
      <c r="E20" s="134">
        <f t="shared" si="2"/>
        <v>50084</v>
      </c>
      <c r="F20" s="135">
        <f>'数据-基础表'!K13</f>
        <v>50084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13912.23</v>
      </c>
      <c r="S20" s="2286">
        <f t="shared" si="5"/>
        <v>50084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83474.2</v>
      </c>
      <c r="E27" s="143">
        <f>IF(SUM(E19:E26)='数据-基础表'!BA5,SUM(E19:E26),IF(F27="地上面积有误","面积有误","地下面积有误"))</f>
        <v>300507</v>
      </c>
      <c r="F27" s="134">
        <f>IF(SUM(F19:F26)=E8,SUM(F19:F26),"地上面积有误")</f>
        <v>300507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83474.2</v>
      </c>
      <c r="S27" s="275">
        <f>IF(SUM(S19:S26)=$E$3,SUM(S19:S26),SUM(S19:S26)&amp;"误差"&amp;ROUND(SUM(S19:S26)-E3,2))</f>
        <v>300507</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83474.2</v>
      </c>
      <c r="E31" s="1368">
        <f>E27+E30</f>
        <v>300507</v>
      </c>
      <c r="F31" s="1369">
        <f>F27+F30</f>
        <v>300507</v>
      </c>
      <c r="G31" s="1370">
        <f>G27+G30</f>
        <v>0</v>
      </c>
      <c r="H31" s="1969"/>
      <c r="I31" s="1969"/>
      <c r="J31" s="1969"/>
      <c r="K31" s="1969"/>
      <c r="L31" s="1969"/>
    </row>
    <row r="32" spans="1:19">
      <c r="A32" s="1969"/>
      <c r="B32" s="2327" t="s">
        <v>2321</v>
      </c>
      <c r="C32" s="2611"/>
      <c r="D32" s="1197"/>
      <c r="E32" s="1197">
        <f>SUMIF(C19:C26,"*住宅*",E19:E26)</f>
        <v>250423</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43700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65259</v>
      </c>
      <c r="F6" s="174">
        <f>SUMIF(项目基本情况!D$15:I$15,C6,项目基本情况!D$19:I$19)</f>
        <v>59.06</v>
      </c>
      <c r="G6" s="175">
        <f>IF(ISERROR(ROUND(POWER(1+H6,D6-F6)*(POWER(1+H6,F6)-1)/(POWER(1+H6,D6)-1),3)),0,ROUND(POWER(1+H6,D6-F6)*(POWER(1+H6,F6)-1)/(POWER(1+H6,D6)-1),3))</f>
        <v>0.97</v>
      </c>
      <c r="H6" s="2978">
        <v>4.4999999999999998E-2</v>
      </c>
      <c r="I6" s="2978">
        <v>0.05</v>
      </c>
      <c r="J6" s="176">
        <v>8.5000000000000006E-2</v>
      </c>
      <c r="K6" s="179">
        <f>SUMIF('数据-汇总表'!C$19:C$33,'数据-取费表'!A6,'数据-汇总表'!E$19:E$33)</f>
        <v>250423</v>
      </c>
      <c r="L6" s="2979">
        <f>2000+600</f>
        <v>2600</v>
      </c>
      <c r="M6" s="177">
        <f t="shared" ref="M6:M14" si="0">ROUND(K6*L6/10000,0)</f>
        <v>65110</v>
      </c>
      <c r="N6" s="2980">
        <v>0</v>
      </c>
      <c r="O6" s="177">
        <f>IF($N$5="成新度","——",ROUND(M6*N6,0))</f>
        <v>0</v>
      </c>
      <c r="P6" s="178">
        <f>IF($N$5="成新度","——",M6-O6)</f>
        <v>65110</v>
      </c>
      <c r="Q6" s="2981">
        <v>0.1</v>
      </c>
      <c r="R6" s="179">
        <f>SUMIF('数据-汇总表'!C$19:C$33,A6,'数据-汇总表'!R$19:R$33)</f>
        <v>69561.97</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3140</v>
      </c>
      <c r="D7" s="2293">
        <f>SUMIF(项目基本情况!D$15:I$15,C7,项目基本情况!D$18:I$18)</f>
        <v>0</v>
      </c>
      <c r="E7" s="2294">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78">
        <v>0.05</v>
      </c>
      <c r="I7" s="2978">
        <v>5.5E-2</v>
      </c>
      <c r="J7" s="176">
        <v>8.5000000000000006E-2</v>
      </c>
      <c r="K7" s="179">
        <f>SUMIF('数据-汇总表'!C$19:C$33,'数据-取费表'!A7,'数据-汇总表'!E$19:E$33)</f>
        <v>50084</v>
      </c>
      <c r="L7" s="2979">
        <v>2200</v>
      </c>
      <c r="M7" s="177">
        <f t="shared" si="0"/>
        <v>11018</v>
      </c>
      <c r="N7" s="2980">
        <v>0</v>
      </c>
      <c r="O7" s="177">
        <f t="shared" ref="O7:O14" si="3">IF($N$5="成新度","——",ROUND(M7*N7,0))</f>
        <v>0</v>
      </c>
      <c r="P7" s="178">
        <f t="shared" ref="P7:P14" si="4">IF($N$5="成新度","——",M7-O7)</f>
        <v>11018</v>
      </c>
      <c r="Q7" s="2981">
        <v>0.1</v>
      </c>
      <c r="R7" s="179">
        <f>SUMIF('数据-汇总表'!C$19:C$33,A7,'数据-汇总表'!R$19:R$33)</f>
        <v>13912.23</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v>
      </c>
      <c r="H16" s="203">
        <f>ROUND(SUMPRODUCT(H6:H13,K6:K13)/SUMPRODUCT((H6:H13&gt;0)*(K6:K13)),3)</f>
        <v>4.5999999999999999E-2</v>
      </c>
      <c r="I16" s="204"/>
      <c r="J16" s="204"/>
      <c r="K16" s="205">
        <f>SUM(K6:K15)</f>
        <v>300507</v>
      </c>
      <c r="L16" s="206">
        <f>ROUND(M16*10000/SUM(K6:K14),0)</f>
        <v>2533</v>
      </c>
      <c r="M16" s="206">
        <f>SUM(M6:M14)</f>
        <v>76128</v>
      </c>
      <c r="N16" s="207">
        <f>ROUND(SUMPRODUCT(M6:M14,N6:N14)/M16,3)</f>
        <v>0</v>
      </c>
      <c r="O16" s="206">
        <f>SUM(O6:O14)</f>
        <v>0</v>
      </c>
      <c r="P16" s="206">
        <f>SUM(P6:P14)</f>
        <v>76128</v>
      </c>
      <c r="Q16" s="208">
        <f>ROUND(SUMPRODUCT(Q6:Q13,K6:K13)/SUMPRODUCT((Q6:Q13&gt;0)*(K6:K13)),2)</f>
        <v>0.1</v>
      </c>
      <c r="R16" s="2296">
        <f>SUM(R6:R13)</f>
        <v>83474.2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0.92600000000000005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70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4" t="s">
        <v>1663</v>
      </c>
      <c r="B1" s="3285"/>
      <c r="C1" s="3285"/>
      <c r="D1" s="3285"/>
      <c r="E1" s="3285"/>
      <c r="F1" s="3285"/>
      <c r="G1" s="328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194" t="s">
        <v>3150</v>
      </c>
      <c r="D3" s="1994"/>
      <c r="E3" s="1225" t="s">
        <v>1666</v>
      </c>
      <c r="F3" s="1226" t="s">
        <v>1654</v>
      </c>
      <c r="G3" s="3035" t="s">
        <v>2921</v>
      </c>
      <c r="H3" s="1993"/>
      <c r="I3" s="1993"/>
      <c r="J3" s="1993"/>
      <c r="K3" s="1993"/>
      <c r="L3" s="1993"/>
      <c r="M3" s="1993"/>
      <c r="N3" s="1993"/>
      <c r="O3" s="1993"/>
      <c r="P3" s="1993"/>
      <c r="Q3" s="1993"/>
      <c r="R3" s="1993"/>
    </row>
    <row r="4" spans="1:18" ht="40.5">
      <c r="A4" s="1225"/>
      <c r="B4" s="1227" t="s">
        <v>1667</v>
      </c>
      <c r="C4" s="3195" t="s">
        <v>3151</v>
      </c>
      <c r="D4" s="1994"/>
      <c r="E4" s="1228"/>
      <c r="F4" s="1229" t="s">
        <v>1668</v>
      </c>
      <c r="G4" s="3034" t="s">
        <v>2918</v>
      </c>
      <c r="H4" s="1993"/>
      <c r="I4" s="1993"/>
      <c r="J4" s="1993"/>
      <c r="K4" s="1993"/>
      <c r="L4" s="1993"/>
      <c r="M4" s="1993"/>
      <c r="N4" s="1993"/>
      <c r="O4" s="1993"/>
      <c r="P4" s="1993"/>
      <c r="Q4" s="1993"/>
      <c r="R4" s="1993"/>
    </row>
    <row r="5" spans="1:18" ht="27">
      <c r="A5" s="1225"/>
      <c r="B5" s="1227" t="s">
        <v>1669</v>
      </c>
      <c r="C5" s="3033"/>
      <c r="D5" s="1994"/>
      <c r="E5" s="1228"/>
      <c r="F5" s="1227" t="s">
        <v>2546</v>
      </c>
      <c r="G5" s="3034" t="s">
        <v>2919</v>
      </c>
      <c r="H5" s="1993"/>
      <c r="I5" s="1993"/>
      <c r="J5" s="1993"/>
      <c r="K5" s="1993"/>
      <c r="L5" s="1993"/>
      <c r="M5" s="1993"/>
      <c r="N5" s="1993"/>
      <c r="O5" s="1993"/>
      <c r="P5" s="1993"/>
      <c r="Q5" s="1993"/>
      <c r="R5" s="1993"/>
    </row>
    <row r="6" spans="1:18" ht="27">
      <c r="A6" s="1225"/>
      <c r="B6" s="1227" t="s">
        <v>1655</v>
      </c>
      <c r="C6" s="3196" t="s">
        <v>3151</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196" t="s">
        <v>3152</v>
      </c>
      <c r="D7" s="1995"/>
      <c r="E7" s="1230"/>
      <c r="F7" s="1231" t="s">
        <v>1670</v>
      </c>
      <c r="G7" s="3036" t="s">
        <v>2920</v>
      </c>
      <c r="H7" s="1993"/>
      <c r="I7" s="1993"/>
      <c r="J7" s="1993"/>
      <c r="K7" s="1993"/>
      <c r="L7" s="1993"/>
      <c r="M7" s="1993"/>
      <c r="N7" s="1993"/>
      <c r="O7" s="1993"/>
      <c r="P7" s="1993"/>
      <c r="Q7" s="1993"/>
      <c r="R7" s="1993"/>
    </row>
    <row r="8" spans="1:18">
      <c r="A8" s="1225"/>
      <c r="B8" s="1227" t="s">
        <v>2547</v>
      </c>
      <c r="C8" s="3196" t="s">
        <v>3153</v>
      </c>
      <c r="D8" s="1995"/>
      <c r="E8" s="1995"/>
      <c r="F8" s="1540"/>
      <c r="G8" s="1540"/>
      <c r="H8" s="1993"/>
      <c r="I8" s="1993"/>
      <c r="J8" s="1993"/>
      <c r="K8" s="1993"/>
      <c r="L8" s="1993"/>
      <c r="M8" s="1993"/>
      <c r="N8" s="1993"/>
      <c r="O8" s="1993"/>
      <c r="P8" s="1993"/>
      <c r="Q8" s="1993"/>
      <c r="R8" s="1993"/>
    </row>
    <row r="9" spans="1:18">
      <c r="A9" s="1225"/>
      <c r="B9" s="1227" t="s">
        <v>1656</v>
      </c>
      <c r="C9" s="3195" t="s">
        <v>3151</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197" t="s">
        <v>3154</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t="str">
        <f>C3</f>
        <v>一般</v>
      </c>
      <c r="D15" s="1994"/>
      <c r="E15" s="2549" t="s">
        <v>1658</v>
      </c>
      <c r="F15" s="1238" t="s">
        <v>1673</v>
      </c>
      <c r="G15" s="1240" t="str">
        <f>G3</f>
        <v>估价对象位于XX开发区，园区建设成熟度XX，产业集聚程度XX</v>
      </c>
    </row>
    <row r="16" spans="1:18" ht="40.5">
      <c r="A16" s="2553"/>
      <c r="B16" s="1241" t="s">
        <v>1667</v>
      </c>
      <c r="C16" s="1242" t="str">
        <f>C4</f>
        <v>一般</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一般</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27">
      <c r="A20" s="2553"/>
      <c r="B20" s="1243" t="s">
        <v>1660</v>
      </c>
      <c r="C20" s="1242" t="str">
        <f>C9</f>
        <v>一般</v>
      </c>
      <c r="D20" s="1995"/>
      <c r="E20" s="2550"/>
      <c r="F20" s="1227" t="s">
        <v>2547</v>
      </c>
      <c r="G20" s="1005" t="str">
        <f>G6</f>
        <v>估价对象所在区域基础设施水平</v>
      </c>
    </row>
    <row r="21" spans="1:7" ht="14.25">
      <c r="A21" s="2553"/>
      <c r="B21" s="1227" t="s">
        <v>2546</v>
      </c>
      <c r="C21" s="1005" t="str">
        <f>C7</f>
        <v>一般</v>
      </c>
      <c r="D21" s="1994"/>
      <c r="E21" s="2550"/>
      <c r="F21" s="1243" t="s">
        <v>1661</v>
      </c>
      <c r="G21" s="3037"/>
    </row>
    <row r="22" spans="1:7" ht="14.25">
      <c r="A22" s="2553"/>
      <c r="B22" s="1227" t="s">
        <v>2547</v>
      </c>
      <c r="C22" s="1005" t="str">
        <f>C8</f>
        <v>六通</v>
      </c>
      <c r="D22" s="1994"/>
      <c r="E22" s="2550"/>
      <c r="F22" s="1243" t="s">
        <v>1671</v>
      </c>
      <c r="G22" s="2750"/>
    </row>
    <row r="23" spans="1:7" ht="15" thickBot="1">
      <c r="A23" s="2553"/>
      <c r="B23" s="1243" t="s">
        <v>1661</v>
      </c>
      <c r="C23" s="3037"/>
      <c r="E23" s="2551"/>
      <c r="F23" s="1244" t="s">
        <v>1675</v>
      </c>
      <c r="G23" s="3038"/>
    </row>
    <row r="24" spans="1:7" ht="14.25" thickBot="1">
      <c r="A24" s="2554"/>
      <c r="B24" s="1244" t="s">
        <v>1662</v>
      </c>
      <c r="C24" s="1245" t="str">
        <f>C10</f>
        <v>支路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300507</v>
      </c>
      <c r="C1" s="2998"/>
      <c r="D1" s="2998"/>
      <c r="E1" s="2998"/>
      <c r="F1" s="2998"/>
    </row>
    <row r="2" spans="1:9" ht="16.5">
      <c r="A2" s="2997" t="s">
        <v>2845</v>
      </c>
      <c r="B2" s="2997">
        <f>SUM(C14:C23)</f>
        <v>83474.2</v>
      </c>
      <c r="C2" s="2998"/>
      <c r="D2" s="2998"/>
      <c r="E2" s="2998"/>
      <c r="F2" s="2998"/>
    </row>
    <row r="3" spans="1:9" ht="16.5">
      <c r="A3" s="2997" t="s">
        <v>2846</v>
      </c>
      <c r="B3" s="2999">
        <f>项目基本情况!D3</f>
        <v>43700</v>
      </c>
      <c r="C3" s="2998"/>
      <c r="D3" s="2998"/>
      <c r="E3" s="2998"/>
      <c r="F3" s="2998"/>
    </row>
    <row r="4" spans="1:9" ht="33">
      <c r="A4" s="2997" t="s">
        <v>2847</v>
      </c>
      <c r="B4" s="2997" t="s">
        <v>2848</v>
      </c>
      <c r="C4" s="2997" t="s">
        <v>2849</v>
      </c>
      <c r="D4" s="2997" t="s">
        <v>2850</v>
      </c>
      <c r="E4" s="2998"/>
      <c r="F4" s="2998"/>
    </row>
    <row r="5" spans="1:9" ht="16.5">
      <c r="A5" s="2997" t="s">
        <v>2851</v>
      </c>
      <c r="B5" s="2997">
        <f ca="1">SUM(D14:D23)</f>
        <v>192678</v>
      </c>
      <c r="C5" s="2997">
        <f ca="1">ROUND(B5*10000/$B$1,0)</f>
        <v>6412</v>
      </c>
      <c r="D5" s="2997">
        <f ca="1">ROUND(B5*10000/$B$2,0)</f>
        <v>23082</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300507</v>
      </c>
      <c r="C14" s="3001">
        <f>结果表!K38</f>
        <v>83474.2</v>
      </c>
      <c r="D14" s="3001">
        <f ca="1">结果表!C42</f>
        <v>192678</v>
      </c>
      <c r="E14" s="3001">
        <f ca="1">ROUND(D14*10000/B14,0)</f>
        <v>6412</v>
      </c>
      <c r="F14" s="3001">
        <f ca="1">ROUND(D14*10000/C14,0)</f>
        <v>23082</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31" t="str">
        <f>项目基本情况!K2</f>
        <v>出让国有建设用地使用权</v>
      </c>
      <c r="B2" s="3332"/>
      <c r="C2" s="3333"/>
      <c r="D2" s="3333"/>
      <c r="E2" s="3333"/>
      <c r="F2" s="3333"/>
      <c r="G2" s="3332"/>
      <c r="H2" s="3332"/>
      <c r="I2" s="3334"/>
      <c r="J2" s="2015"/>
      <c r="K2" s="2014"/>
      <c r="L2" s="2014"/>
      <c r="M2" s="2014"/>
      <c r="N2" s="2014"/>
      <c r="O2" s="2014"/>
      <c r="P2" s="2014"/>
      <c r="Q2" s="2014"/>
      <c r="R2" s="2014"/>
      <c r="S2" s="2014"/>
      <c r="T2" s="2014"/>
      <c r="U2" s="2014"/>
      <c r="V2" s="2014"/>
    </row>
    <row r="3" spans="1:22" ht="14.25">
      <c r="A3" s="3342" t="s">
        <v>298</v>
      </c>
      <c r="B3" s="3343"/>
      <c r="C3" s="3343"/>
      <c r="D3" s="3343"/>
      <c r="E3" s="3343"/>
      <c r="F3" s="3343"/>
      <c r="G3" s="3343"/>
      <c r="H3" s="3343"/>
      <c r="I3" s="3343"/>
      <c r="J3" s="2015"/>
      <c r="K3" s="2014"/>
      <c r="L3" s="2014"/>
      <c r="M3" s="2014"/>
      <c r="N3" s="2014"/>
      <c r="O3" s="2014"/>
      <c r="P3" s="2014"/>
      <c r="Q3" s="2014"/>
      <c r="R3" s="2014"/>
      <c r="S3" s="2014"/>
      <c r="T3" s="2014"/>
      <c r="U3" s="2014"/>
      <c r="V3" s="2014"/>
    </row>
    <row r="4" spans="1:22" ht="14.25">
      <c r="A4" s="258" t="s">
        <v>299</v>
      </c>
      <c r="B4" s="259" t="s">
        <v>300</v>
      </c>
      <c r="C4" s="260" t="s">
        <v>3157</v>
      </c>
      <c r="D4" s="260" t="s">
        <v>3158</v>
      </c>
      <c r="E4" s="3306" t="s">
        <v>301</v>
      </c>
      <c r="F4" s="3348"/>
      <c r="G4" s="3348"/>
      <c r="H4" s="3348"/>
      <c r="I4" s="3307"/>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335" t="s">
        <v>302</v>
      </c>
      <c r="B5" s="3336">
        <v>25</v>
      </c>
      <c r="C5" s="3344"/>
      <c r="D5" s="3347"/>
      <c r="E5" s="261" t="s">
        <v>303</v>
      </c>
      <c r="F5" s="262"/>
      <c r="G5" s="262"/>
      <c r="H5" s="262"/>
      <c r="I5" s="263"/>
      <c r="J5" s="2015"/>
      <c r="K5" s="2014"/>
      <c r="L5" s="2014"/>
      <c r="M5" s="2014"/>
      <c r="N5" s="2014"/>
      <c r="O5" s="2014"/>
      <c r="P5" s="2014"/>
      <c r="Q5" s="2014"/>
      <c r="R5" s="2014"/>
      <c r="S5" s="2014"/>
      <c r="T5" s="2014"/>
      <c r="U5" s="2014"/>
      <c r="V5" s="2014"/>
    </row>
    <row r="6" spans="1:22" ht="14.25">
      <c r="A6" s="3335"/>
      <c r="B6" s="3336"/>
      <c r="C6" s="3345"/>
      <c r="D6" s="3347"/>
      <c r="E6" s="261" t="s">
        <v>304</v>
      </c>
      <c r="F6" s="262"/>
      <c r="G6" s="262"/>
      <c r="H6" s="262"/>
      <c r="I6" s="263"/>
      <c r="J6" s="2015"/>
      <c r="K6" s="2014"/>
      <c r="L6" s="2014"/>
      <c r="M6" s="2014"/>
      <c r="N6" s="2014"/>
      <c r="O6" s="2014"/>
      <c r="P6" s="2014"/>
      <c r="Q6" s="2014"/>
      <c r="R6" s="2014"/>
      <c r="S6" s="2014"/>
      <c r="T6" s="2014"/>
      <c r="U6" s="2014"/>
      <c r="V6" s="2014"/>
    </row>
    <row r="7" spans="1:22" ht="14.25">
      <c r="A7" s="3335"/>
      <c r="B7" s="3336"/>
      <c r="C7" s="3346"/>
      <c r="D7" s="3347"/>
      <c r="E7" s="261" t="s">
        <v>305</v>
      </c>
      <c r="F7" s="262"/>
      <c r="G7" s="262"/>
      <c r="H7" s="262"/>
      <c r="I7" s="263"/>
      <c r="J7" s="2015"/>
      <c r="K7" s="2014"/>
      <c r="L7" s="2014"/>
      <c r="M7" s="2014"/>
      <c r="N7" s="2014"/>
      <c r="O7" s="2014"/>
      <c r="P7" s="2014"/>
      <c r="Q7" s="2014"/>
      <c r="R7" s="2014"/>
      <c r="S7" s="2014"/>
      <c r="T7" s="2014"/>
      <c r="U7" s="2014"/>
      <c r="V7" s="2014"/>
    </row>
    <row r="8" spans="1:22" ht="14.25">
      <c r="A8" s="3335" t="s">
        <v>306</v>
      </c>
      <c r="B8" s="3336">
        <v>15</v>
      </c>
      <c r="C8" s="3344"/>
      <c r="D8" s="3347"/>
      <c r="E8" s="261" t="s">
        <v>307</v>
      </c>
      <c r="F8" s="262"/>
      <c r="G8" s="262"/>
      <c r="H8" s="262"/>
      <c r="I8" s="263"/>
      <c r="J8" s="2015"/>
      <c r="K8" s="2014"/>
      <c r="L8" s="2014"/>
      <c r="M8" s="2014"/>
      <c r="N8" s="2014"/>
      <c r="O8" s="2014"/>
      <c r="P8" s="2014"/>
      <c r="Q8" s="2014"/>
      <c r="R8" s="2014"/>
      <c r="S8" s="2014"/>
      <c r="T8" s="2014"/>
      <c r="U8" s="2014"/>
      <c r="V8" s="2014"/>
    </row>
    <row r="9" spans="1:22" ht="14.25">
      <c r="A9" s="3335"/>
      <c r="B9" s="3336"/>
      <c r="C9" s="3346"/>
      <c r="D9" s="3347"/>
      <c r="E9" s="261" t="s">
        <v>308</v>
      </c>
      <c r="F9" s="262"/>
      <c r="G9" s="262"/>
      <c r="H9" s="262"/>
      <c r="I9" s="263"/>
      <c r="J9" s="2015"/>
      <c r="K9" s="2014"/>
      <c r="L9" s="2014"/>
      <c r="M9" s="2014"/>
      <c r="N9" s="2014"/>
      <c r="O9" s="2014"/>
      <c r="P9" s="2014"/>
      <c r="Q9" s="2014"/>
      <c r="R9" s="2014"/>
      <c r="S9" s="2014"/>
      <c r="T9" s="2014"/>
      <c r="U9" s="2014"/>
      <c r="V9" s="2014"/>
    </row>
    <row r="10" spans="1:22" ht="14.25">
      <c r="A10" s="3335" t="s">
        <v>309</v>
      </c>
      <c r="B10" s="3336">
        <v>15</v>
      </c>
      <c r="C10" s="3344"/>
      <c r="D10" s="334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5"/>
      <c r="B11" s="3336"/>
      <c r="C11" s="3346"/>
      <c r="D11" s="334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5" t="s">
        <v>312</v>
      </c>
      <c r="B12" s="3336">
        <v>15</v>
      </c>
      <c r="C12" s="3344"/>
      <c r="D12" s="334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5"/>
      <c r="B13" s="3336"/>
      <c r="C13" s="3346"/>
      <c r="D13" s="334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5" t="s">
        <v>315</v>
      </c>
      <c r="B14" s="3336">
        <v>30</v>
      </c>
      <c r="C14" s="3344">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5"/>
      <c r="B15" s="3336"/>
      <c r="C15" s="3345"/>
      <c r="D15" s="334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5"/>
      <c r="B16" s="3336"/>
      <c r="C16" s="3346"/>
      <c r="D16" s="334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193722</v>
      </c>
      <c r="D19" s="271">
        <f ca="1">SUMIF(INDIRECT("'"&amp;D4&amp;"'"&amp;"!A:A"),结果表!B19,INDIRECT("'"&amp;D4&amp;"'"&amp;"!B:B"))</f>
        <v>191633</v>
      </c>
      <c r="E19" s="268" t="s">
        <v>323</v>
      </c>
      <c r="F19" s="269" t="s">
        <v>322</v>
      </c>
      <c r="G19" s="272">
        <f ca="1">ROUND(C19*$C$18+D19*$D$18,0)</f>
        <v>192678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6447</v>
      </c>
      <c r="D20" s="277">
        <f ca="1">SUMIF(INDIRECT("'"&amp;D4&amp;"'"&amp;"!A:A"),结果表!B20,INDIRECT("'"&amp;D4&amp;"'"&amp;"!B:B"))</f>
        <v>6377</v>
      </c>
      <c r="E20" s="274"/>
      <c r="F20" s="275" t="s">
        <v>325</v>
      </c>
      <c r="G20" s="278">
        <f ca="1">ROUND(C20*$C$18+D20*$D$18,0)</f>
        <v>6412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23207</v>
      </c>
      <c r="D21" s="151">
        <f ca="1">SUMIF(INDIRECT("'"&amp;D4&amp;"'"&amp;"!A:A"),结果表!B21,INDIRECT("'"&amp;D4&amp;"'"&amp;"!B:B"))</f>
        <v>22957</v>
      </c>
      <c r="E21" s="274"/>
      <c r="F21" s="280" t="s">
        <v>327</v>
      </c>
      <c r="G21" s="282">
        <f ca="1">ROUND(C21*$C$18+D21*$D$18,0)</f>
        <v>23082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1.0901045227074579E-2</v>
      </c>
      <c r="E22" s="284"/>
      <c r="F22" s="285"/>
      <c r="G22" s="286">
        <f ca="1">ROUND(G19/('数据-汇总表'!D3/666.67),0)</f>
        <v>1539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出让国有建设用地使用权价格：192678万元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大写金额：人民币壹拾玖亿贰仟陆佰柒拾捌万元整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单位面积地价：23082元/平方米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楼面地价：6412元/平方米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0" t="s">
        <v>336</v>
      </c>
      <c r="B30" s="309"/>
      <c r="C30" s="309"/>
      <c r="D30" s="310"/>
      <c r="E30" s="3081" t="s">
        <v>2965</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192678</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6412</v>
      </c>
      <c r="D33" s="1382" t="s">
        <v>1691</v>
      </c>
      <c r="E33" s="330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23082</v>
      </c>
      <c r="D34" s="1384" t="s">
        <v>1691</v>
      </c>
      <c r="E34" s="330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1539</v>
      </c>
      <c r="D35" s="1387" t="s">
        <v>1693</v>
      </c>
      <c r="E35" s="3310"/>
      <c r="F35" s="301" t="s">
        <v>342</v>
      </c>
      <c r="G35" s="982"/>
      <c r="H35" s="981" t="s">
        <v>343</v>
      </c>
      <c r="I35" s="311"/>
      <c r="J35" s="2014"/>
      <c r="K35" s="3314" t="s">
        <v>350</v>
      </c>
      <c r="L35" s="3314" t="s">
        <v>351</v>
      </c>
      <c r="M35" s="1260" t="s">
        <v>352</v>
      </c>
      <c r="N35" s="3314" t="s">
        <v>353</v>
      </c>
      <c r="O35" s="3314" t="s">
        <v>354</v>
      </c>
      <c r="P35" s="2014"/>
      <c r="V35" s="2014"/>
    </row>
    <row r="36" spans="1:26" ht="16.5" customHeight="1">
      <c r="A36" s="303" t="s">
        <v>344</v>
      </c>
      <c r="B36" s="304" t="s">
        <v>333</v>
      </c>
      <c r="C36" s="305" t="s">
        <v>345</v>
      </c>
      <c r="D36" s="305" t="s">
        <v>346</v>
      </c>
      <c r="E36" s="306" t="s">
        <v>347</v>
      </c>
      <c r="F36" s="311"/>
      <c r="G36" s="311"/>
      <c r="H36" s="311"/>
      <c r="I36" s="311"/>
      <c r="J36" s="2016"/>
      <c r="K36" s="3315"/>
      <c r="L36" s="3315"/>
      <c r="M36" s="1262" t="s">
        <v>355</v>
      </c>
      <c r="N36" s="3315"/>
      <c r="O36" s="3315"/>
      <c r="P36" s="2014"/>
      <c r="V36" s="2014"/>
    </row>
    <row r="37" spans="1:26" ht="16.5" customHeight="1" thickBot="1">
      <c r="A37" s="1256" t="s">
        <v>348</v>
      </c>
      <c r="B37" s="307"/>
      <c r="C37" s="294"/>
      <c r="D37" s="294"/>
      <c r="E37" s="295"/>
      <c r="F37" s="311"/>
      <c r="G37" s="311"/>
      <c r="H37" s="311"/>
      <c r="I37" s="311"/>
      <c r="J37" s="2016"/>
      <c r="K37" s="3316"/>
      <c r="L37" s="3316"/>
      <c r="M37" s="1263"/>
      <c r="N37" s="3316"/>
      <c r="O37" s="3316"/>
      <c r="P37" s="2014"/>
      <c r="V37" s="2014"/>
    </row>
    <row r="38" spans="1:26" ht="16.5" customHeight="1" thickBot="1">
      <c r="A38" s="1256" t="s">
        <v>349</v>
      </c>
      <c r="B38" s="307"/>
      <c r="C38" s="294"/>
      <c r="D38" s="294"/>
      <c r="E38" s="295"/>
      <c r="F38" s="311"/>
      <c r="G38" s="311"/>
      <c r="H38" s="311"/>
      <c r="I38" s="311"/>
      <c r="J38" s="2016"/>
      <c r="K38" s="1264">
        <f>'数据-汇总表'!D3</f>
        <v>83474.2</v>
      </c>
      <c r="L38" s="1265">
        <f>'数据-汇总表'!E3</f>
        <v>300507</v>
      </c>
      <c r="M38" s="1265">
        <f ca="1">C34</f>
        <v>23082</v>
      </c>
      <c r="N38" s="1265">
        <f ca="1">C33</f>
        <v>6412</v>
      </c>
      <c r="O38" s="1266">
        <f ca="1">C32</f>
        <v>192678</v>
      </c>
      <c r="P38" s="2014"/>
      <c r="V38" s="2014"/>
    </row>
    <row r="39" spans="1:26" ht="16.5" customHeight="1" thickBot="1">
      <c r="A39" s="1261"/>
      <c r="B39" s="308"/>
      <c r="C39" s="309"/>
      <c r="D39" s="309"/>
      <c r="E39" s="310"/>
      <c r="F39" s="311"/>
      <c r="G39" s="311"/>
      <c r="H39" s="311"/>
      <c r="I39" s="311"/>
      <c r="J39" s="2016"/>
      <c r="K39" s="3291" t="str">
        <f>MID(A44,3,LEN(A44)-2)</f>
        <v/>
      </c>
      <c r="L39" s="3292"/>
      <c r="M39" s="3292"/>
      <c r="N39" s="3293"/>
      <c r="O39" s="1389" t="str">
        <f>C44</f>
        <v>——</v>
      </c>
      <c r="P39" s="2014"/>
      <c r="V39" s="2014"/>
    </row>
    <row r="40" spans="1:26" ht="19.5" thickBot="1">
      <c r="A40" s="104" t="s">
        <v>873</v>
      </c>
      <c r="B40" s="311"/>
      <c r="C40" s="311"/>
      <c r="D40" s="311"/>
      <c r="E40" s="311"/>
      <c r="F40" s="311"/>
      <c r="G40" s="311"/>
      <c r="H40" s="311"/>
      <c r="I40" s="311"/>
      <c r="J40" s="2016"/>
      <c r="K40" s="3291" t="str">
        <f t="shared" ref="K40:K41" si="0">MID(A45,3,LEN(A45)-2)</f>
        <v/>
      </c>
      <c r="L40" s="3292"/>
      <c r="M40" s="3292"/>
      <c r="N40" s="3293"/>
      <c r="O40" s="1389" t="str">
        <f>C45</f>
        <v>——</v>
      </c>
      <c r="P40" s="2014"/>
      <c r="V40" s="2014"/>
    </row>
    <row r="41" spans="1:26" ht="16.5" thickBot="1">
      <c r="A41" s="312" t="s">
        <v>356</v>
      </c>
      <c r="B41" s="313"/>
      <c r="C41" s="314" t="s">
        <v>357</v>
      </c>
      <c r="D41" s="315" t="s">
        <v>358</v>
      </c>
      <c r="E41" s="315" t="s">
        <v>359</v>
      </c>
      <c r="F41" s="316" t="s">
        <v>360</v>
      </c>
      <c r="G41" s="311"/>
      <c r="H41" s="311"/>
      <c r="I41" s="311"/>
      <c r="J41" s="2016"/>
      <c r="K41" s="3291" t="str">
        <f t="shared" si="0"/>
        <v/>
      </c>
      <c r="L41" s="3292"/>
      <c r="M41" s="3292"/>
      <c r="N41" s="3293"/>
      <c r="O41" s="1389" t="str">
        <f>C46</f>
        <v>——</v>
      </c>
      <c r="P41" s="2014"/>
      <c r="V41" s="2014"/>
    </row>
    <row r="42" spans="1:26" ht="29.25">
      <c r="A42" s="3351" t="s">
        <v>2067</v>
      </c>
      <c r="B42" s="3352"/>
      <c r="C42" s="264">
        <f ca="1">C32</f>
        <v>192678</v>
      </c>
      <c r="D42" s="317">
        <f ca="1">C33</f>
        <v>6412</v>
      </c>
      <c r="E42" s="317">
        <f ca="1">C34</f>
        <v>23082</v>
      </c>
      <c r="F42" s="318">
        <f ca="1">C35</f>
        <v>1539</v>
      </c>
      <c r="G42" s="311"/>
      <c r="H42" s="311"/>
      <c r="I42" s="319"/>
      <c r="J42" s="2016"/>
      <c r="K42" s="1267" t="s">
        <v>361</v>
      </c>
      <c r="L42" s="2033" t="s">
        <v>362</v>
      </c>
      <c r="M42" s="1268" t="s">
        <v>363</v>
      </c>
      <c r="N42" s="2034" t="s">
        <v>364</v>
      </c>
      <c r="O42" s="2035" t="s">
        <v>365</v>
      </c>
      <c r="P42" s="2014"/>
      <c r="V42" s="2014"/>
    </row>
    <row r="43" spans="1:26" ht="30">
      <c r="A43" s="3361" t="s">
        <v>2730</v>
      </c>
      <c r="B43" s="3362"/>
      <c r="C43" s="264">
        <f>IF(H33="正常操作",G33+G34+G35,G34+G35)</f>
        <v>0</v>
      </c>
      <c r="D43" s="317" t="s">
        <v>43</v>
      </c>
      <c r="E43" s="317" t="s">
        <v>44</v>
      </c>
      <c r="F43" s="318" t="s">
        <v>44</v>
      </c>
      <c r="G43" s="2822" t="s">
        <v>952</v>
      </c>
      <c r="H43" s="311"/>
      <c r="I43" s="319"/>
      <c r="J43" s="2016"/>
      <c r="K43" s="1269" t="str">
        <f>C4</f>
        <v>剩余法-待开发</v>
      </c>
      <c r="L43" s="1270">
        <f ca="1">IF(L42="估价结果/万元",C19,C20)</f>
        <v>193722</v>
      </c>
      <c r="M43" s="1271">
        <f>C18</f>
        <v>0.5</v>
      </c>
      <c r="N43" s="1272">
        <f ca="1">IF(N42="测算结果/万元",G19,G20)</f>
        <v>192678</v>
      </c>
      <c r="O43" s="1273">
        <f ca="1">IF(O42="最终结果/万元",C32,C33)</f>
        <v>192678</v>
      </c>
      <c r="P43" s="2014"/>
      <c r="V43" s="2014"/>
    </row>
    <row r="44" spans="1:26" ht="30.75" thickBot="1">
      <c r="A44" s="3351" t="str">
        <f>IF(OR(项目基本情况!E8="抵押价格",项目基本情况!E8="已注销及未注销"),"3.抵押价格","——")</f>
        <v>——</v>
      </c>
      <c r="B44" s="3352"/>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比较法-住宅、综合</v>
      </c>
      <c r="L44" s="1275">
        <f ca="1">IF(L42="估价结果/万元",D19,D20)</f>
        <v>191633</v>
      </c>
      <c r="M44" s="1276">
        <f>D18</f>
        <v>0.5</v>
      </c>
      <c r="N44" s="1277"/>
      <c r="O44" s="1278"/>
      <c r="P44" s="2014"/>
      <c r="V44" s="2014"/>
    </row>
    <row r="45" spans="1:26" ht="15">
      <c r="A45" s="3356" t="str">
        <f>IF(项目基本情况!E8="已注销及未注销","4.抵押担保权已注销时的抵押价格",IF(项目基本情况!E8="已注销","3.抵押担保权已注销时的抵押价格","——"))</f>
        <v>——</v>
      </c>
      <c r="B45" s="335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9" t="s">
        <v>374</v>
      </c>
      <c r="B63" s="3320"/>
      <c r="C63" s="3321"/>
      <c r="D63" s="341">
        <f ca="1">ROUND(C42*F63,0)</f>
        <v>115607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8" t="s">
        <v>378</v>
      </c>
      <c r="B64" s="3359"/>
      <c r="C64" s="3359"/>
      <c r="D64" s="3359"/>
      <c r="E64" s="3359"/>
      <c r="F64" s="3359"/>
      <c r="G64" s="336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5" t="s">
        <v>386</v>
      </c>
      <c r="B66" s="3326"/>
      <c r="C66" s="3326"/>
      <c r="D66" s="261">
        <f ca="1">IF(H66="情况1",0,IF(H66="情况2",D70,IF(H66="情况3",D71,IF(H66="情况4",D72))))</f>
        <v>6056</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5" t="s">
        <v>385</v>
      </c>
      <c r="M66" s="3296"/>
      <c r="N66" s="2423"/>
      <c r="O66" s="2424"/>
      <c r="P66" s="2425"/>
      <c r="Q66" s="2014"/>
      <c r="R66" s="2014"/>
      <c r="S66" s="2014"/>
      <c r="T66" s="2014"/>
      <c r="U66" s="2014"/>
      <c r="V66" s="2014"/>
    </row>
    <row r="67" spans="1:22" ht="25.5" customHeight="1">
      <c r="A67" s="352" t="s">
        <v>390</v>
      </c>
      <c r="B67" s="3338" t="s">
        <v>391</v>
      </c>
      <c r="C67" s="3338"/>
      <c r="D67" s="353">
        <v>0</v>
      </c>
      <c r="E67" s="41" t="s">
        <v>392</v>
      </c>
      <c r="F67" s="62" t="s">
        <v>21</v>
      </c>
      <c r="G67" s="3322"/>
      <c r="H67" s="311"/>
      <c r="I67" s="1288"/>
      <c r="J67" s="2021"/>
      <c r="K67" s="1962">
        <v>2</v>
      </c>
      <c r="L67" s="3294" t="s">
        <v>389</v>
      </c>
      <c r="M67" s="3294"/>
      <c r="N67" s="1321">
        <f>'数据-取费表'!B2</f>
        <v>43700</v>
      </c>
      <c r="O67" s="1321"/>
      <c r="P67" s="1321"/>
      <c r="Q67" s="2014"/>
      <c r="R67" s="2014"/>
      <c r="S67" s="2014"/>
      <c r="T67" s="2014"/>
      <c r="U67" s="2014"/>
      <c r="V67" s="2014"/>
    </row>
    <row r="68" spans="1:22" ht="25.5" customHeight="1">
      <c r="A68" s="354"/>
      <c r="B68" s="3338" t="s">
        <v>394</v>
      </c>
      <c r="C68" s="3338"/>
      <c r="D68" s="355"/>
      <c r="E68" s="77"/>
      <c r="F68" s="356"/>
      <c r="G68" s="3323"/>
      <c r="H68" s="311"/>
      <c r="I68" s="1288"/>
      <c r="J68" s="2021"/>
      <c r="K68" s="1962">
        <v>3</v>
      </c>
      <c r="L68" s="3294" t="s">
        <v>393</v>
      </c>
      <c r="M68" s="3294"/>
      <c r="N68" s="1289">
        <f ca="1">C42</f>
        <v>192678</v>
      </c>
      <c r="O68" s="1289"/>
      <c r="P68" s="1289"/>
      <c r="Q68" s="2014"/>
      <c r="R68" s="2014"/>
      <c r="S68" s="2014"/>
      <c r="T68" s="2014"/>
      <c r="U68" s="2014"/>
      <c r="V68" s="2014"/>
    </row>
    <row r="69" spans="1:22" ht="12" customHeight="1">
      <c r="A69" s="357"/>
      <c r="B69" s="3338" t="s">
        <v>395</v>
      </c>
      <c r="C69" s="3338"/>
      <c r="D69" s="358"/>
      <c r="E69" s="73"/>
      <c r="F69" s="356"/>
      <c r="G69" s="3324"/>
      <c r="H69" s="311"/>
      <c r="I69" s="1288"/>
      <c r="J69" s="2021"/>
      <c r="K69" s="1290">
        <v>4</v>
      </c>
      <c r="L69" s="3300" t="s">
        <v>2883</v>
      </c>
      <c r="M69" s="3301"/>
      <c r="N69" s="1291" t="str">
        <f>C44</f>
        <v>——</v>
      </c>
      <c r="O69" s="1291"/>
      <c r="P69" s="1291"/>
      <c r="Q69" s="2014"/>
      <c r="R69" s="2014"/>
      <c r="S69" s="2014"/>
      <c r="T69" s="2014"/>
      <c r="U69" s="2014"/>
      <c r="V69" s="2014"/>
    </row>
    <row r="70" spans="1:22" ht="24" customHeight="1">
      <c r="A70" s="359" t="s">
        <v>396</v>
      </c>
      <c r="B70" s="3338" t="s">
        <v>397</v>
      </c>
      <c r="C70" s="3338"/>
      <c r="D70" s="358">
        <f ca="1">ROUND(D63*'数据-取费表'!B41/(1+'数据-取费表'!C42),0)</f>
        <v>6056</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7" t="s">
        <v>405</v>
      </c>
      <c r="C71" s="3349"/>
      <c r="D71" s="358">
        <f ca="1">ROUND(D63*'数据-取费表'!B41/(1+'数据-取费表'!C42),0)</f>
        <v>6056</v>
      </c>
      <c r="E71" s="17" t="s">
        <v>398</v>
      </c>
      <c r="F71" s="360">
        <f>'数据-取费表'!B41</f>
        <v>5.5000000000000007E-2</v>
      </c>
      <c r="G71" s="361"/>
      <c r="H71" s="311"/>
      <c r="I71" s="1288"/>
      <c r="J71" s="2021"/>
      <c r="K71" s="3013" t="s">
        <v>399</v>
      </c>
      <c r="L71" s="3302" t="s">
        <v>400</v>
      </c>
      <c r="M71" s="3302"/>
      <c r="N71" s="3013" t="s">
        <v>401</v>
      </c>
      <c r="O71" s="3013" t="s">
        <v>402</v>
      </c>
      <c r="P71" s="3013" t="s">
        <v>403</v>
      </c>
      <c r="Q71" s="2014"/>
      <c r="R71" s="2014"/>
      <c r="S71" s="2014"/>
      <c r="T71" s="2014"/>
      <c r="U71" s="2014"/>
      <c r="V71" s="2014"/>
    </row>
    <row r="72" spans="1:22" ht="12" customHeight="1">
      <c r="A72" s="359" t="s">
        <v>407</v>
      </c>
      <c r="B72" s="3337" t="s">
        <v>408</v>
      </c>
      <c r="C72" s="3349"/>
      <c r="D72" s="358">
        <f ca="1">C86</f>
        <v>5946</v>
      </c>
      <c r="E72" s="73" t="s">
        <v>409</v>
      </c>
      <c r="F72" s="360">
        <f>'数据-取费表'!B41</f>
        <v>5.5000000000000007E-2</v>
      </c>
      <c r="G72" s="361"/>
      <c r="H72" s="1294"/>
      <c r="I72" s="1288"/>
      <c r="J72" s="2021"/>
      <c r="K72" s="1962">
        <v>1</v>
      </c>
      <c r="L72" s="3299" t="s">
        <v>406</v>
      </c>
      <c r="M72" s="3299"/>
      <c r="N72" s="1292">
        <f ca="1">D66</f>
        <v>6056</v>
      </c>
      <c r="O72" s="1845" t="str">
        <f>E66</f>
        <v>销售额×税（费）率</v>
      </c>
      <c r="P72" s="1293">
        <f>F66</f>
        <v>5.5000000000000007E-2</v>
      </c>
      <c r="Q72" s="2014"/>
      <c r="R72" s="2014"/>
      <c r="S72" s="2014"/>
      <c r="T72" s="2014"/>
      <c r="U72" s="2014"/>
      <c r="V72" s="2014"/>
    </row>
    <row r="73" spans="1:22" ht="24" customHeight="1">
      <c r="A73" s="3325" t="s">
        <v>411</v>
      </c>
      <c r="B73" s="3326"/>
      <c r="C73" s="3326"/>
      <c r="D73" s="362">
        <f>IF(H73="个人住宅",0,ROUND(D63*I73,0))</f>
        <v>0</v>
      </c>
      <c r="E73" s="17" t="s">
        <v>412</v>
      </c>
      <c r="F73" s="360" t="str">
        <f>IF(H73="正常",I73,"免征")</f>
        <v>免征</v>
      </c>
      <c r="G73" s="361"/>
      <c r="H73" s="191" t="s">
        <v>2455</v>
      </c>
      <c r="I73" s="360">
        <f>'数据-取费表'!B49</f>
        <v>5.0000000000000001E-4</v>
      </c>
      <c r="J73" s="2021"/>
      <c r="K73" s="1962">
        <v>2</v>
      </c>
      <c r="L73" s="3299" t="s">
        <v>410</v>
      </c>
      <c r="M73" s="3299"/>
      <c r="N73" s="1292">
        <f t="shared" ref="N73:P74" si="1">D73</f>
        <v>0</v>
      </c>
      <c r="O73" s="1845" t="str">
        <f t="shared" si="1"/>
        <v>销售额×税（费）率</v>
      </c>
      <c r="P73" s="1293" t="str">
        <f t="shared" si="1"/>
        <v>免征</v>
      </c>
      <c r="Q73" s="2014"/>
      <c r="R73" s="2014"/>
      <c r="S73" s="2014"/>
      <c r="T73" s="2014"/>
      <c r="U73" s="2014"/>
      <c r="V73" s="2014"/>
    </row>
    <row r="74" spans="1:22" ht="24.75">
      <c r="A74" s="3325" t="s">
        <v>415</v>
      </c>
      <c r="B74" s="3326"/>
      <c r="C74" s="3326"/>
      <c r="D74" s="362">
        <f ca="1">IF(H74="个人住宅",D75,D76)</f>
        <v>64882</v>
      </c>
      <c r="E74" s="17" t="s">
        <v>416</v>
      </c>
      <c r="F74" s="360" t="str">
        <f>IF(H74="正常",F76,"免征")</f>
        <v>——</v>
      </c>
      <c r="G74" s="983" t="s">
        <v>417</v>
      </c>
      <c r="H74" s="363" t="s">
        <v>413</v>
      </c>
      <c r="I74" s="42"/>
      <c r="J74" s="2021"/>
      <c r="K74" s="1962">
        <v>3</v>
      </c>
      <c r="L74" s="3299" t="s">
        <v>414</v>
      </c>
      <c r="M74" s="3299"/>
      <c r="N74" s="1292">
        <f t="shared" ca="1" si="1"/>
        <v>64882</v>
      </c>
      <c r="O74" s="1845" t="str">
        <f t="shared" si="1"/>
        <v>增值额×税（费）率</v>
      </c>
      <c r="P74" s="1295" t="str">
        <f t="shared" si="1"/>
        <v>——</v>
      </c>
      <c r="Q74" s="2014"/>
      <c r="R74" s="2014"/>
      <c r="S74" s="2014"/>
      <c r="T74" s="2014"/>
      <c r="U74" s="2014"/>
      <c r="V74" s="2014"/>
    </row>
    <row r="75" spans="1:22" ht="24">
      <c r="A75" s="359" t="s">
        <v>418</v>
      </c>
      <c r="B75" s="3306" t="s">
        <v>419</v>
      </c>
      <c r="C75" s="3307"/>
      <c r="D75" s="364">
        <v>0</v>
      </c>
      <c r="E75" s="41" t="s">
        <v>420</v>
      </c>
      <c r="F75" s="365"/>
      <c r="G75" s="361"/>
      <c r="H75" s="42"/>
      <c r="I75" s="42"/>
      <c r="J75" s="2021"/>
      <c r="K75" s="3006">
        <f>IF(H77="非个人房产","",4)</f>
        <v>4</v>
      </c>
      <c r="L75" s="3299" t="str">
        <f>IF(H77="非个人房产","——","个人所得税")</f>
        <v>个人所得税</v>
      </c>
      <c r="M75" s="3299"/>
      <c r="N75" s="1296">
        <f ca="1">D77</f>
        <v>1156</v>
      </c>
      <c r="O75" s="1858" t="str">
        <f>E77</f>
        <v>销售额×税（费）率</v>
      </c>
      <c r="P75" s="1297">
        <f>F77</f>
        <v>0.01</v>
      </c>
      <c r="Q75" s="2014"/>
      <c r="R75" s="2014"/>
      <c r="S75" s="2014"/>
      <c r="T75" s="2014"/>
      <c r="U75" s="2014"/>
      <c r="V75" s="2014"/>
    </row>
    <row r="76" spans="1:22" ht="24.75">
      <c r="A76" s="359" t="s">
        <v>396</v>
      </c>
      <c r="B76" s="3306" t="s">
        <v>422</v>
      </c>
      <c r="C76" s="3348"/>
      <c r="D76" s="362">
        <f ca="1">IF(H76="转让取得",C99,C115)</f>
        <v>64882</v>
      </c>
      <c r="E76" s="17" t="s">
        <v>423</v>
      </c>
      <c r="F76" s="53" t="s">
        <v>21</v>
      </c>
      <c r="G76" s="361"/>
      <c r="H76" s="363" t="s">
        <v>424</v>
      </c>
      <c r="I76" s="42"/>
      <c r="J76" s="2021"/>
      <c r="K76" s="3006"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14"/>
      <c r="R76" s="2014"/>
      <c r="S76" s="2014"/>
      <c r="T76" s="2014"/>
      <c r="U76" s="2014"/>
      <c r="V76" s="2014"/>
    </row>
    <row r="77" spans="1:22" ht="26.25" thickBot="1">
      <c r="A77" s="3317" t="s">
        <v>426</v>
      </c>
      <c r="B77" s="3318"/>
      <c r="C77" s="3318"/>
      <c r="D77" s="366">
        <f ca="1">IF(H77="非个人房产","——",IF(H77="个人住宅",0,ROUND(D63*I77,0)))</f>
        <v>1156</v>
      </c>
      <c r="E77" s="367" t="str">
        <f>IF(H77="非个人房产","——","销售额×税（费）率")</f>
        <v>销售额×税（费）率</v>
      </c>
      <c r="F77" s="368">
        <f>IF(H77="非个人房产","——",IF(H77="个人住宅","免征",I77))</f>
        <v>0.01</v>
      </c>
      <c r="G77" s="984" t="s">
        <v>417</v>
      </c>
      <c r="H77" s="363" t="s">
        <v>2884</v>
      </c>
      <c r="I77" s="369">
        <v>0.01</v>
      </c>
      <c r="J77" s="2021"/>
      <c r="K77" s="3313">
        <f>IF(AND(K75="",K76=""),4,IF(项目基本情况!K6="上海银行",K76+1,K75+1))</f>
        <v>5</v>
      </c>
      <c r="L77" s="3299" t="s">
        <v>2885</v>
      </c>
      <c r="M77" s="3012" t="s">
        <v>421</v>
      </c>
      <c r="N77" s="1298"/>
      <c r="O77" s="1299">
        <f ca="1">SUMIF(N72:N76,"&lt;9e307")</f>
        <v>72094</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13"/>
      <c r="L78" s="3299"/>
      <c r="M78" s="3012" t="s">
        <v>425</v>
      </c>
      <c r="N78" s="1298"/>
      <c r="O78" s="1299" t="str">
        <f ca="1">NUMBERSTRING(INT(O77*10000),2)&amp;"元整"</f>
        <v>柒亿贰仟零玖拾肆万元整</v>
      </c>
      <c r="P78" s="1300"/>
      <c r="Q78" s="2014"/>
      <c r="R78" s="2014"/>
      <c r="S78" s="2014"/>
      <c r="T78" s="2014"/>
      <c r="U78" s="2014"/>
      <c r="V78" s="2014"/>
    </row>
    <row r="79" spans="1:22" ht="13.5" thickBot="1">
      <c r="A79" s="3303" t="s">
        <v>427</v>
      </c>
      <c r="B79" s="3303"/>
      <c r="C79" s="3303"/>
      <c r="D79" s="3303"/>
      <c r="E79" s="3303"/>
      <c r="F79" s="42"/>
      <c r="G79" s="42"/>
      <c r="H79" s="1003"/>
      <c r="I79" s="311"/>
      <c r="J79" s="2021"/>
      <c r="K79" s="3297">
        <f>K77+1</f>
        <v>6</v>
      </c>
      <c r="L79" s="3299" t="s">
        <v>2886</v>
      </c>
      <c r="M79" s="3012" t="s">
        <v>421</v>
      </c>
      <c r="N79" s="1298"/>
      <c r="O79" s="1299" t="e">
        <f ca="1">N69-O77</f>
        <v>#VALUE!</v>
      </c>
      <c r="P79" s="1300"/>
      <c r="Q79" s="2014"/>
      <c r="R79" s="2014"/>
      <c r="S79" s="2014"/>
      <c r="T79" s="2014"/>
      <c r="U79" s="2014"/>
      <c r="V79" s="2014"/>
    </row>
    <row r="80" spans="1:22" ht="12.75">
      <c r="A80" s="3304" t="s">
        <v>428</v>
      </c>
      <c r="B80" s="3305"/>
      <c r="C80" s="994"/>
      <c r="D80" s="994" t="s">
        <v>429</v>
      </c>
      <c r="E80" s="370" t="s">
        <v>430</v>
      </c>
      <c r="F80" s="42"/>
      <c r="G80" s="42"/>
      <c r="H80" s="1003"/>
      <c r="I80" s="311"/>
      <c r="J80" s="2014"/>
      <c r="K80" s="3298"/>
      <c r="L80" s="3299"/>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110102</v>
      </c>
      <c r="D81" s="373"/>
      <c r="E81" s="374"/>
      <c r="F81" s="42"/>
      <c r="G81" s="42"/>
      <c r="H81" s="1003"/>
      <c r="I81" s="311"/>
      <c r="J81" s="2014"/>
      <c r="K81" s="3006">
        <f>K79+1</f>
        <v>7</v>
      </c>
      <c r="L81" s="3311" t="s">
        <v>2887</v>
      </c>
      <c r="M81" s="3312"/>
      <c r="N81" s="1302"/>
      <c r="O81" s="1303" t="e">
        <f ca="1">ROUND(O79*10000/'数据-汇总表'!E3,0)</f>
        <v>#VALUE!</v>
      </c>
      <c r="P81" s="1304"/>
      <c r="Q81" s="2014"/>
      <c r="R81" s="2014"/>
      <c r="S81" s="2014"/>
      <c r="T81" s="2014"/>
      <c r="U81" s="2014"/>
      <c r="V81" s="2014"/>
    </row>
    <row r="82" spans="1:26" ht="13.5" thickTop="1">
      <c r="A82" s="375" t="s">
        <v>1824</v>
      </c>
      <c r="B82" s="376" t="s">
        <v>432</v>
      </c>
      <c r="C82" s="377">
        <f ca="1">D63</f>
        <v>115607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6"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1" t="s">
        <v>2938</v>
      </c>
      <c r="F84" s="42"/>
      <c r="G84" s="42"/>
      <c r="H84" s="1003"/>
      <c r="I84" s="311"/>
      <c r="J84" s="2014"/>
      <c r="K84" s="3286"/>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108102</v>
      </c>
      <c r="D85" s="378" t="s">
        <v>19</v>
      </c>
      <c r="E85" s="379"/>
      <c r="F85" s="42"/>
      <c r="G85" s="42"/>
      <c r="H85" s="1003"/>
      <c r="I85" s="311"/>
      <c r="J85" s="2014"/>
      <c r="K85" s="3286"/>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5946</v>
      </c>
      <c r="D86" s="389">
        <f>'数据-取费表'!B41</f>
        <v>5.5000000000000007E-2</v>
      </c>
      <c r="E86" s="390"/>
      <c r="F86" s="42"/>
      <c r="G86" s="42"/>
      <c r="H86" s="1003"/>
      <c r="I86" s="311"/>
      <c r="J86" s="2014"/>
      <c r="K86" s="3286"/>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6"/>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40" t="s">
        <v>437</v>
      </c>
      <c r="B88" s="3341"/>
      <c r="C88" s="3341"/>
      <c r="D88" s="3341"/>
      <c r="E88" s="3341"/>
      <c r="F88" s="3341"/>
      <c r="G88" s="3341"/>
      <c r="H88" s="3341"/>
      <c r="I88" s="1311"/>
      <c r="J88" s="2022"/>
      <c r="K88" s="3286"/>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04" t="s">
        <v>428</v>
      </c>
      <c r="B89" s="3305"/>
      <c r="C89" s="994"/>
      <c r="D89" s="994" t="s">
        <v>429</v>
      </c>
      <c r="E89" s="391" t="s">
        <v>438</v>
      </c>
      <c r="F89" s="392"/>
      <c r="G89" s="392"/>
      <c r="H89" s="393"/>
      <c r="I89" s="1312"/>
      <c r="J89" s="2024"/>
      <c r="K89" s="3286"/>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110102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3112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7" t="s">
        <v>447</v>
      </c>
      <c r="F94" s="3338"/>
      <c r="G94" s="3338"/>
      <c r="H94" s="333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551</v>
      </c>
      <c r="D96" s="406">
        <f>'数据-取费表'!B43</f>
        <v>5.000000000000001E-3</v>
      </c>
      <c r="E96" s="3327" t="s">
        <v>2428</v>
      </c>
      <c r="F96" s="3328"/>
      <c r="G96" s="3328"/>
      <c r="H96" s="332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106990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34.37982005141388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63105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0" t="s">
        <v>454</v>
      </c>
      <c r="B101" s="3341"/>
      <c r="C101" s="3341"/>
      <c r="D101" s="3341"/>
      <c r="E101" s="3341"/>
      <c r="F101" s="3341"/>
      <c r="G101" s="3341"/>
      <c r="H101" s="334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4" t="s">
        <v>428</v>
      </c>
      <c r="B102" s="330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110102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1241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0" t="s">
        <v>462</v>
      </c>
      <c r="F109" s="3328"/>
      <c r="G109" s="332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0" t="s">
        <v>464</v>
      </c>
      <c r="F110" s="3328"/>
      <c r="G110" s="3328"/>
      <c r="H110" s="332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551</v>
      </c>
      <c r="D111" s="406">
        <f>'数据-取费表'!B43</f>
        <v>5.000000000000001E-3</v>
      </c>
      <c r="E111" s="3327" t="s">
        <v>2428</v>
      </c>
      <c r="F111" s="3328"/>
      <c r="G111" s="3328"/>
      <c r="H111" s="332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0" t="s">
        <v>2453</v>
      </c>
      <c r="F112" s="3328"/>
      <c r="G112" s="3328"/>
      <c r="H112" s="332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108861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87.72038678485093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64882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76128</v>
      </c>
      <c r="D13" s="451"/>
      <c r="E13" s="365"/>
      <c r="F13" s="452"/>
      <c r="G13" s="444"/>
      <c r="H13" s="447"/>
      <c r="I13" s="447"/>
      <c r="J13" s="447"/>
      <c r="K13" s="448"/>
    </row>
    <row r="14" spans="1:41" s="2102" customFormat="1" ht="13.5" customHeight="1">
      <c r="A14" s="1619" t="s">
        <v>1849</v>
      </c>
      <c r="B14" s="449" t="s">
        <v>480</v>
      </c>
      <c r="C14" s="53">
        <f ca="1">ROUND(C13*F14,0)</f>
        <v>2284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3256</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4508</v>
      </c>
      <c r="D16" s="451">
        <f ca="1">IF(B1="",'数据-汇总表'!E3,INDIRECT("'数据-取费表'!K"&amp;$K$1)+INDIRECT("'数据-取费表'!S"&amp;$K$1))</f>
        <v>300507</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1142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87318</v>
      </c>
      <c r="D18" s="461"/>
      <c r="E18" s="462"/>
      <c r="F18" s="462"/>
      <c r="G18" s="1323" t="s">
        <v>2432</v>
      </c>
      <c r="H18" s="447"/>
      <c r="I18" s="447"/>
      <c r="J18" s="447"/>
      <c r="K18" s="448"/>
    </row>
    <row r="19" spans="1:14" s="2105" customFormat="1" ht="13.5" customHeight="1">
      <c r="A19" s="1620" t="s">
        <v>1854</v>
      </c>
      <c r="B19" s="459" t="s">
        <v>493</v>
      </c>
      <c r="C19" s="460">
        <f ca="1">ROUND(C18*F19,0)</f>
        <v>1746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6421</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6421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8906</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8906</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112953</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F49" sqref="F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191633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6377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22957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1530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5" t="s">
        <v>522</v>
      </c>
      <c r="D6" s="3386"/>
      <c r="E6" s="3385" t="s">
        <v>523</v>
      </c>
      <c r="F6" s="3386"/>
      <c r="G6" s="3385" t="s">
        <v>524</v>
      </c>
      <c r="H6" s="3386"/>
      <c r="I6" s="3385" t="s">
        <v>525</v>
      </c>
      <c r="J6" s="3386"/>
      <c r="K6" s="514" t="s">
        <v>526</v>
      </c>
      <c r="L6" s="2119"/>
      <c r="M6" s="2118"/>
      <c r="N6" s="2118"/>
      <c r="O6" s="2120"/>
      <c r="P6" s="3387" t="s">
        <v>527</v>
      </c>
      <c r="Q6" s="3388"/>
      <c r="R6" s="3373" t="s">
        <v>523</v>
      </c>
      <c r="S6" s="3374"/>
      <c r="T6" s="3373" t="s">
        <v>524</v>
      </c>
      <c r="U6" s="3374"/>
      <c r="V6" s="3393" t="s">
        <v>525</v>
      </c>
      <c r="W6" s="3393"/>
      <c r="X6" s="1554"/>
      <c r="Y6" s="3373" t="s">
        <v>527</v>
      </c>
      <c r="Z6" s="3374"/>
      <c r="AA6" s="3368" t="s">
        <v>523</v>
      </c>
      <c r="AB6" s="3369" t="s">
        <v>524</v>
      </c>
      <c r="AC6" s="3368" t="s">
        <v>525</v>
      </c>
    </row>
    <row r="7" spans="1:30" ht="20.25">
      <c r="A7" s="515"/>
      <c r="B7" s="516"/>
      <c r="C7" s="3396" t="s">
        <v>2927</v>
      </c>
      <c r="D7" s="3397"/>
      <c r="E7" s="3396" t="str">
        <f>土地案例!A3</f>
        <v>郫都区红光街道蒋桥村集体</v>
      </c>
      <c r="F7" s="3397"/>
      <c r="G7" s="3396" t="str">
        <f>土地案例!A23</f>
        <v>郫都区犀浦镇梓潼村4社</v>
      </c>
      <c r="H7" s="3397"/>
      <c r="I7" s="3396" t="str">
        <f>土地案例!A24</f>
        <v>郫都区红光镇社区集体、合兴村四社、铁门社区一社、犀浦镇犀浦村集体</v>
      </c>
      <c r="J7" s="3397"/>
      <c r="K7" s="514"/>
      <c r="L7" s="2119"/>
      <c r="M7" s="2118"/>
      <c r="N7" s="2118"/>
      <c r="O7" s="2120"/>
      <c r="P7" s="3389"/>
      <c r="Q7" s="3390"/>
      <c r="R7" s="3375"/>
      <c r="S7" s="3376"/>
      <c r="T7" s="3375"/>
      <c r="U7" s="3376"/>
      <c r="V7" s="3393"/>
      <c r="W7" s="3393"/>
      <c r="X7" s="1554"/>
      <c r="Y7" s="3375"/>
      <c r="Z7" s="3376"/>
      <c r="AA7" s="3369"/>
      <c r="AB7" s="3369"/>
      <c r="AC7" s="3369"/>
    </row>
    <row r="8" spans="1:30" ht="21" thickBot="1">
      <c r="A8" s="515"/>
      <c r="B8" s="516"/>
      <c r="C8" s="3398" t="s">
        <v>2931</v>
      </c>
      <c r="D8" s="3399"/>
      <c r="E8" s="3398" t="s">
        <v>2931</v>
      </c>
      <c r="F8" s="3399"/>
      <c r="G8" s="3394" t="s">
        <v>2931</v>
      </c>
      <c r="H8" s="3395"/>
      <c r="I8" s="3394" t="s">
        <v>2931</v>
      </c>
      <c r="J8" s="3395"/>
      <c r="K8" s="514" t="s">
        <v>528</v>
      </c>
      <c r="L8" s="2119"/>
      <c r="M8" s="2118"/>
      <c r="N8" s="2118"/>
      <c r="O8" s="2120"/>
      <c r="P8" s="3391"/>
      <c r="Q8" s="3392"/>
      <c r="R8" s="3375"/>
      <c r="S8" s="3376"/>
      <c r="T8" s="3377"/>
      <c r="U8" s="3378"/>
      <c r="V8" s="3393"/>
      <c r="W8" s="3393"/>
      <c r="X8" s="1554"/>
      <c r="Y8" s="3377"/>
      <c r="Z8" s="3378"/>
      <c r="AA8" s="3370"/>
      <c r="AB8" s="3370"/>
      <c r="AC8" s="3370"/>
    </row>
    <row r="9" spans="1:30" s="1216" customFormat="1" ht="21" thickBot="1">
      <c r="A9" s="2868"/>
      <c r="B9" s="2875" t="s">
        <v>529</v>
      </c>
      <c r="C9" s="2867">
        <f>'数据-取费表'!B2</f>
        <v>43700</v>
      </c>
      <c r="D9" s="520">
        <v>100</v>
      </c>
      <c r="E9" s="521" t="str">
        <f>土地案例!I3</f>
        <v>2019-03-28</v>
      </c>
      <c r="F9" s="522">
        <f>SUMIF(72:72,YEAR(E9)&amp;"-"&amp;INT((MONTH(E9)+2)/3),73:73)</f>
        <v>99</v>
      </c>
      <c r="G9" s="523" t="str">
        <f>土地案例!I23</f>
        <v>2017-12-26</v>
      </c>
      <c r="H9" s="520">
        <f>SUMIF(72:72,YEAR(G9)&amp;"-"&amp;INT((MONTH(G9)+2)/3),73:73)</f>
        <v>96.5</v>
      </c>
      <c r="I9" s="523" t="str">
        <f>土地案例!I24</f>
        <v>2017-12-26</v>
      </c>
      <c r="J9" s="520">
        <f>SUMIF(72:72,YEAR(I9)&amp;"-"&amp;INT((MONTH(I9)+2)/3),73:73)</f>
        <v>96.5</v>
      </c>
      <c r="K9" s="524"/>
      <c r="L9" s="2121"/>
      <c r="M9" s="2118"/>
      <c r="N9" s="2118"/>
      <c r="O9" s="2122"/>
      <c r="P9" s="3371" t="s">
        <v>530</v>
      </c>
      <c r="Q9" s="3380"/>
      <c r="R9" s="1555" t="s">
        <v>8</v>
      </c>
      <c r="S9" s="1556">
        <f t="shared" ref="S9:S17" si="0">F9</f>
        <v>99</v>
      </c>
      <c r="T9" s="1555" t="s">
        <v>8</v>
      </c>
      <c r="U9" s="1556">
        <f t="shared" ref="U9:U17" si="1">H9</f>
        <v>96.5</v>
      </c>
      <c r="V9" s="1555" t="s">
        <v>8</v>
      </c>
      <c r="W9" s="1556">
        <f t="shared" ref="W9:W17" si="2">J9</f>
        <v>96.5</v>
      </c>
      <c r="X9" s="1557"/>
      <c r="Y9" s="3371" t="s">
        <v>530</v>
      </c>
      <c r="Z9" s="3372"/>
      <c r="AA9" s="1558">
        <f>D9/F9</f>
        <v>1.0101010101010102</v>
      </c>
      <c r="AB9" s="1558">
        <f>D9/H9</f>
        <v>1.0362694300518134</v>
      </c>
      <c r="AC9" s="1558">
        <f>D9/J9</f>
        <v>1.0362694300518134</v>
      </c>
    </row>
    <row r="10" spans="1:30" s="1216" customFormat="1" ht="21" thickBot="1">
      <c r="A10" s="2869"/>
      <c r="B10" s="2876" t="s">
        <v>531</v>
      </c>
      <c r="C10" s="856" t="s">
        <v>532</v>
      </c>
      <c r="D10" s="520">
        <v>100</v>
      </c>
      <c r="E10" s="525" t="s">
        <v>3138</v>
      </c>
      <c r="F10" s="522">
        <f>SUMIF(75:75,E10,76:76)-SUMIF(75:75,C10,76:76)+100</f>
        <v>100</v>
      </c>
      <c r="G10" s="525" t="s">
        <v>3138</v>
      </c>
      <c r="H10" s="520">
        <f>SUMIF(75:75,G10,76:76)-SUMIF(75:75,C10,76:76)+100</f>
        <v>100</v>
      </c>
      <c r="I10" s="525" t="s">
        <v>3162</v>
      </c>
      <c r="J10" s="520">
        <f>SUMIF(75:75,I10,76:76)-SUMIF(75:75,C10,76:76)+100</f>
        <v>103</v>
      </c>
      <c r="K10" s="524"/>
      <c r="L10" s="2121"/>
      <c r="M10" s="2118"/>
      <c r="N10" s="2118"/>
      <c r="O10" s="2122"/>
      <c r="P10" s="3371" t="s">
        <v>533</v>
      </c>
      <c r="Q10" s="3372"/>
      <c r="R10" s="1555" t="s">
        <v>8</v>
      </c>
      <c r="S10" s="1556">
        <f t="shared" si="0"/>
        <v>100</v>
      </c>
      <c r="T10" s="1555" t="s">
        <v>8</v>
      </c>
      <c r="U10" s="1556">
        <f t="shared" si="1"/>
        <v>100</v>
      </c>
      <c r="V10" s="1555" t="s">
        <v>8</v>
      </c>
      <c r="W10" s="1556">
        <f t="shared" si="2"/>
        <v>103</v>
      </c>
      <c r="X10" s="1557"/>
      <c r="Y10" s="3371" t="s">
        <v>533</v>
      </c>
      <c r="Z10" s="3372"/>
      <c r="AA10" s="1558">
        <f t="shared" ref="AA10:AA47" si="3">D10/F10</f>
        <v>1</v>
      </c>
      <c r="AB10" s="1558">
        <f t="shared" ref="AB10:AB47" si="4">D10/H10</f>
        <v>1</v>
      </c>
      <c r="AC10" s="1558">
        <f t="shared" ref="AC10:AC47" si="5">D10/J10</f>
        <v>0.970873786407767</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3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9"/>
      <c r="Q12" s="1147" t="str">
        <f t="shared" si="6"/>
        <v>土地使用年限（年）</v>
      </c>
      <c r="R12" s="1555" t="s">
        <v>8</v>
      </c>
      <c r="S12" s="1556">
        <f t="shared" si="0"/>
        <v>103</v>
      </c>
      <c r="T12" s="1555" t="s">
        <v>8</v>
      </c>
      <c r="U12" s="1556">
        <f t="shared" si="1"/>
        <v>103</v>
      </c>
      <c r="V12" s="1555" t="s">
        <v>8</v>
      </c>
      <c r="W12" s="1556">
        <f t="shared" si="2"/>
        <v>103</v>
      </c>
      <c r="X12" s="1557"/>
      <c r="Y12" s="3336"/>
      <c r="Z12" s="1146" t="str">
        <f t="shared" si="7"/>
        <v>土地使用年限（年）</v>
      </c>
      <c r="AA12" s="1558">
        <f t="shared" si="3"/>
        <v>0.970873786407767</v>
      </c>
      <c r="AB12" s="1558">
        <f t="shared" si="4"/>
        <v>0.970873786407767</v>
      </c>
      <c r="AC12" s="1558">
        <f t="shared" si="5"/>
        <v>0.970873786407767</v>
      </c>
    </row>
    <row r="13" spans="1:30" ht="20.25">
      <c r="A13" s="2872"/>
      <c r="B13" s="2876" t="s">
        <v>2758</v>
      </c>
      <c r="C13" s="534">
        <f>'数据-汇总表'!I4</f>
        <v>3.6</v>
      </c>
      <c r="D13" s="255">
        <v>100</v>
      </c>
      <c r="E13" s="533">
        <f>土地案例!G3</f>
        <v>2</v>
      </c>
      <c r="F13" s="255">
        <f>LOOKUP(E13,82:82,83:83)-LOOKUP(C13,82:82,83:83)+100</f>
        <v>103</v>
      </c>
      <c r="G13" s="534">
        <f>土地案例!G23</f>
        <v>2</v>
      </c>
      <c r="H13" s="255">
        <f>LOOKUP(G13,82:82,83:83)-LOOKUP(C13,82:82,83:83)+100</f>
        <v>103</v>
      </c>
      <c r="I13" s="533">
        <f>土地案例!G24</f>
        <v>2</v>
      </c>
      <c r="J13" s="255">
        <f>LOOKUP(I13,82:82,83:83)-LOOKUP(C13,82:82,83:83)+100</f>
        <v>103</v>
      </c>
      <c r="K13" s="535">
        <v>3</v>
      </c>
      <c r="L13" s="2126"/>
      <c r="M13" s="2118"/>
      <c r="N13" s="2118"/>
      <c r="O13" s="2127"/>
      <c r="P13" s="3379"/>
      <c r="Q13" s="1147" t="str">
        <f t="shared" si="6"/>
        <v>容积率</v>
      </c>
      <c r="R13" s="1555" t="s">
        <v>8</v>
      </c>
      <c r="S13" s="1556">
        <f t="shared" si="0"/>
        <v>103</v>
      </c>
      <c r="T13" s="1555" t="s">
        <v>8</v>
      </c>
      <c r="U13" s="1556">
        <f t="shared" si="1"/>
        <v>103</v>
      </c>
      <c r="V13" s="1555" t="s">
        <v>8</v>
      </c>
      <c r="W13" s="1556">
        <f t="shared" si="2"/>
        <v>103</v>
      </c>
      <c r="X13" s="1557"/>
      <c r="Y13" s="3336"/>
      <c r="Z13" s="1146" t="str">
        <f t="shared" si="7"/>
        <v>容积率</v>
      </c>
      <c r="AA13" s="1558">
        <f t="shared" si="3"/>
        <v>0.970873786407767</v>
      </c>
      <c r="AB13" s="1558">
        <f t="shared" si="4"/>
        <v>0.970873786407767</v>
      </c>
      <c r="AC13" s="1558">
        <f t="shared" si="5"/>
        <v>0.970873786407767</v>
      </c>
    </row>
    <row r="14" spans="1:30" s="1216" customFormat="1" ht="20.25">
      <c r="A14" s="2869"/>
      <c r="B14" s="2878" t="s">
        <v>2759</v>
      </c>
      <c r="C14" s="2865" t="s">
        <v>3136</v>
      </c>
      <c r="D14" s="538">
        <v>100</v>
      </c>
      <c r="E14" s="1371" t="s">
        <v>3160</v>
      </c>
      <c r="F14" s="255">
        <f>SUMIF(84:84,E14,85:85)-SUMIF(84:84,C14,85:85)+100</f>
        <v>100</v>
      </c>
      <c r="G14" s="3192" t="s">
        <v>3136</v>
      </c>
      <c r="H14" s="255">
        <f>SUMIF(84:84,G14,85:85)-SUMIF(84:84,C14,85:85)+100</f>
        <v>100</v>
      </c>
      <c r="I14" s="3193" t="s">
        <v>3136</v>
      </c>
      <c r="J14" s="255">
        <f>SUMIF(84:84,I14,85:85)-SUMIF(84:84,C14,85:85)+100</f>
        <v>100</v>
      </c>
      <c r="K14" s="531"/>
      <c r="L14" s="2121"/>
      <c r="M14" s="2118"/>
      <c r="N14" s="2118"/>
      <c r="O14" s="2123"/>
      <c r="P14" s="3379"/>
      <c r="Q14" s="1147" t="str">
        <f t="shared" si="6"/>
        <v>配建</v>
      </c>
      <c r="R14" s="1555" t="s">
        <v>8</v>
      </c>
      <c r="S14" s="1556">
        <f t="shared" si="0"/>
        <v>100</v>
      </c>
      <c r="T14" s="1555" t="s">
        <v>8</v>
      </c>
      <c r="U14" s="1556">
        <f t="shared" si="1"/>
        <v>100</v>
      </c>
      <c r="V14" s="1555" t="s">
        <v>8</v>
      </c>
      <c r="W14" s="1556">
        <f t="shared" si="2"/>
        <v>100</v>
      </c>
      <c r="X14" s="1557"/>
      <c r="Y14" s="333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9"/>
      <c r="Q15" s="1147">
        <f t="shared" si="6"/>
        <v>111</v>
      </c>
      <c r="R15" s="1555" t="s">
        <v>8</v>
      </c>
      <c r="S15" s="1556">
        <f t="shared" si="0"/>
        <v>100</v>
      </c>
      <c r="T15" s="1555" t="s">
        <v>8</v>
      </c>
      <c r="U15" s="1556">
        <f t="shared" si="1"/>
        <v>100</v>
      </c>
      <c r="V15" s="1555" t="s">
        <v>8</v>
      </c>
      <c r="W15" s="1556">
        <f t="shared" si="2"/>
        <v>100</v>
      </c>
      <c r="X15" s="1557"/>
      <c r="Y15" s="333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9"/>
      <c r="Q16" s="1147">
        <f t="shared" si="6"/>
        <v>111</v>
      </c>
      <c r="R16" s="1555" t="s">
        <v>8</v>
      </c>
      <c r="S16" s="1556">
        <f t="shared" si="0"/>
        <v>100</v>
      </c>
      <c r="T16" s="1555" t="s">
        <v>8</v>
      </c>
      <c r="U16" s="1556">
        <f t="shared" si="1"/>
        <v>100</v>
      </c>
      <c r="V16" s="1555" t="s">
        <v>8</v>
      </c>
      <c r="W16" s="1556">
        <f t="shared" si="2"/>
        <v>100</v>
      </c>
      <c r="X16" s="1557"/>
      <c r="Y16" s="3336"/>
      <c r="Z16" s="1146">
        <f t="shared" si="7"/>
        <v>111</v>
      </c>
      <c r="AA16" s="1558">
        <f>D16/F16</f>
        <v>1</v>
      </c>
      <c r="AB16" s="1558">
        <f>D16/H16</f>
        <v>1</v>
      </c>
      <c r="AC16" s="1558">
        <f>D16/J16</f>
        <v>1</v>
      </c>
    </row>
    <row r="17" spans="1:29" ht="20.25">
      <c r="A17" s="2866" t="s">
        <v>2754</v>
      </c>
      <c r="B17" s="578" t="s">
        <v>295</v>
      </c>
      <c r="C17" s="548" t="str">
        <f>估价对象房地状况!C15</f>
        <v>一般</v>
      </c>
      <c r="D17" s="551">
        <v>100</v>
      </c>
      <c r="E17" s="552"/>
      <c r="F17" s="549">
        <f>SUMIF(90:90,E18,91:91)-SUMIF(90:90,C18,91:91)+100</f>
        <v>103</v>
      </c>
      <c r="G17" s="550"/>
      <c r="H17" s="549">
        <f>SUMIF(90:90,G18,91:91)-SUMIF(90:90,C18,91:91)+100</f>
        <v>106</v>
      </c>
      <c r="I17" s="552"/>
      <c r="J17" s="549">
        <f>SUMIF(90:90,I18,91:91)-SUMIF(90:90,C18,91:91)+100</f>
        <v>106</v>
      </c>
      <c r="K17" s="535">
        <v>3</v>
      </c>
      <c r="L17" s="2128"/>
      <c r="M17" s="2118"/>
      <c r="N17" s="2118"/>
      <c r="O17" s="2127"/>
      <c r="P17" s="3381" t="s">
        <v>540</v>
      </c>
      <c r="Q17" s="1559" t="str">
        <f t="shared" si="6"/>
        <v>居住社区成熟度</v>
      </c>
      <c r="R17" s="1560" t="s">
        <v>8</v>
      </c>
      <c r="S17" s="1561">
        <f t="shared" si="0"/>
        <v>103</v>
      </c>
      <c r="T17" s="1560" t="s">
        <v>8</v>
      </c>
      <c r="U17" s="1561">
        <f t="shared" si="1"/>
        <v>106</v>
      </c>
      <c r="V17" s="1560" t="s">
        <v>8</v>
      </c>
      <c r="W17" s="1561">
        <f t="shared" si="2"/>
        <v>106</v>
      </c>
      <c r="X17" s="1554"/>
      <c r="Y17" s="3381" t="s">
        <v>540</v>
      </c>
      <c r="Z17" s="1562" t="str">
        <f t="shared" si="7"/>
        <v>居住社区成熟度</v>
      </c>
      <c r="AA17" s="1563">
        <f t="shared" si="3"/>
        <v>0.970873786407767</v>
      </c>
      <c r="AB17" s="1563">
        <f t="shared" si="4"/>
        <v>0.94339622641509435</v>
      </c>
      <c r="AC17" s="1563">
        <f t="shared" si="5"/>
        <v>0.94339622641509435</v>
      </c>
    </row>
    <row r="18" spans="1:29" ht="20.25">
      <c r="A18" s="532"/>
      <c r="B18" s="553"/>
      <c r="C18" s="554" t="s">
        <v>3149</v>
      </c>
      <c r="D18" s="557"/>
      <c r="E18" s="558" t="s">
        <v>3155</v>
      </c>
      <c r="F18" s="555"/>
      <c r="G18" s="556" t="s">
        <v>3156</v>
      </c>
      <c r="H18" s="559"/>
      <c r="I18" s="558" t="s">
        <v>3156</v>
      </c>
      <c r="J18" s="555"/>
      <c r="K18" s="531"/>
      <c r="L18" s="2128"/>
      <c r="M18" s="2118"/>
      <c r="N18" s="2118"/>
      <c r="O18" s="2127"/>
      <c r="P18" s="3382"/>
      <c r="Q18" s="1559"/>
      <c r="R18" s="1560"/>
      <c r="S18" s="1561"/>
      <c r="T18" s="1560"/>
      <c r="U18" s="1561"/>
      <c r="V18" s="1560"/>
      <c r="W18" s="1561"/>
      <c r="X18" s="1554"/>
      <c r="Y18" s="3382"/>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102</v>
      </c>
      <c r="I19" s="564"/>
      <c r="J19" s="565">
        <f>SUMIF(92:92,I20,93:93)-SUMIF(92:92,C20,93:93)+100</f>
        <v>102</v>
      </c>
      <c r="K19" s="535">
        <v>2</v>
      </c>
      <c r="L19" s="2128"/>
      <c r="M19" s="2118"/>
      <c r="N19" s="2118"/>
      <c r="O19" s="2127"/>
      <c r="P19" s="3382"/>
      <c r="Q19" s="1559" t="str">
        <f>B19</f>
        <v>商业繁华度</v>
      </c>
      <c r="R19" s="1560" t="s">
        <v>8</v>
      </c>
      <c r="S19" s="1561">
        <f>F19</f>
        <v>100</v>
      </c>
      <c r="T19" s="1560" t="s">
        <v>8</v>
      </c>
      <c r="U19" s="1561">
        <f>H19</f>
        <v>102</v>
      </c>
      <c r="V19" s="1560" t="s">
        <v>8</v>
      </c>
      <c r="W19" s="1561">
        <f>J19</f>
        <v>102</v>
      </c>
      <c r="X19" s="1554"/>
      <c r="Y19" s="3382"/>
      <c r="Z19" s="1562" t="str">
        <f>Q19</f>
        <v>商业繁华度</v>
      </c>
      <c r="AA19" s="1563">
        <f t="shared" si="3"/>
        <v>1</v>
      </c>
      <c r="AB19" s="1563">
        <f t="shared" si="4"/>
        <v>0.98039215686274506</v>
      </c>
      <c r="AC19" s="1563">
        <f t="shared" si="5"/>
        <v>0.98039215686274506</v>
      </c>
    </row>
    <row r="20" spans="1:29" ht="20.25">
      <c r="A20" s="532"/>
      <c r="B20" s="566"/>
      <c r="C20" s="567" t="s">
        <v>3155</v>
      </c>
      <c r="D20" s="563"/>
      <c r="E20" s="569" t="s">
        <v>3155</v>
      </c>
      <c r="F20" s="559"/>
      <c r="G20" s="568" t="s">
        <v>3156</v>
      </c>
      <c r="H20" s="555"/>
      <c r="I20" s="569" t="s">
        <v>3156</v>
      </c>
      <c r="J20" s="555"/>
      <c r="K20" s="531"/>
      <c r="L20" s="2128"/>
      <c r="M20" s="2118"/>
      <c r="N20" s="2118"/>
      <c r="O20" s="2127"/>
      <c r="P20" s="3382"/>
      <c r="Q20" s="1559"/>
      <c r="R20" s="1560"/>
      <c r="S20" s="1561"/>
      <c r="T20" s="1560"/>
      <c r="U20" s="1561"/>
      <c r="V20" s="1560"/>
      <c r="W20" s="1561"/>
      <c r="X20" s="1554"/>
      <c r="Y20" s="3382"/>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2"/>
      <c r="Q21" s="1559" t="str">
        <f>B21</f>
        <v>办公集聚程度</v>
      </c>
      <c r="R21" s="1560" t="s">
        <v>8</v>
      </c>
      <c r="S21" s="1561">
        <f>F21</f>
        <v>100</v>
      </c>
      <c r="T21" s="1560" t="s">
        <v>8</v>
      </c>
      <c r="U21" s="1561">
        <f>H21</f>
        <v>100</v>
      </c>
      <c r="V21" s="1560" t="s">
        <v>8</v>
      </c>
      <c r="W21" s="1561">
        <f>J21</f>
        <v>100</v>
      </c>
      <c r="X21" s="1554"/>
      <c r="Y21" s="3382"/>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82"/>
      <c r="Q22" s="1559"/>
      <c r="R22" s="1560"/>
      <c r="S22" s="1561"/>
      <c r="T22" s="1560"/>
      <c r="U22" s="1561"/>
      <c r="V22" s="1560"/>
      <c r="W22" s="1561"/>
      <c r="X22" s="1554"/>
      <c r="Y22" s="3382"/>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102</v>
      </c>
      <c r="G23" s="562"/>
      <c r="H23" s="559">
        <f>SUMIF(96:96,G24,97:97)-SUMIF(96:96,C24,97:97)+100</f>
        <v>104</v>
      </c>
      <c r="I23" s="564"/>
      <c r="J23" s="559">
        <f>SUMIF(96:96,I24,97:97)-SUMIF(96:96,C24,97:97)+100</f>
        <v>104</v>
      </c>
      <c r="K23" s="535">
        <v>2</v>
      </c>
      <c r="L23" s="2128"/>
      <c r="M23" s="2118"/>
      <c r="N23" s="2118"/>
      <c r="O23" s="2127"/>
      <c r="P23" s="3382"/>
      <c r="Q23" s="1559" t="str">
        <f>B23</f>
        <v>交通便捷度</v>
      </c>
      <c r="R23" s="1560" t="s">
        <v>8</v>
      </c>
      <c r="S23" s="1561">
        <f>F23</f>
        <v>102</v>
      </c>
      <c r="T23" s="1560" t="s">
        <v>8</v>
      </c>
      <c r="U23" s="1561">
        <f>H23</f>
        <v>104</v>
      </c>
      <c r="V23" s="1560" t="s">
        <v>8</v>
      </c>
      <c r="W23" s="1561">
        <f>J23</f>
        <v>104</v>
      </c>
      <c r="X23" s="1554"/>
      <c r="Y23" s="3382"/>
      <c r="Z23" s="1562" t="str">
        <f>Q23</f>
        <v>交通便捷度</v>
      </c>
      <c r="AA23" s="1563">
        <f t="shared" si="3"/>
        <v>0.98039215686274506</v>
      </c>
      <c r="AB23" s="1563">
        <f t="shared" si="4"/>
        <v>0.96153846153846156</v>
      </c>
      <c r="AC23" s="1563">
        <f t="shared" si="5"/>
        <v>0.96153846153846156</v>
      </c>
    </row>
    <row r="24" spans="1:29" ht="20.25">
      <c r="A24" s="532"/>
      <c r="B24" s="578"/>
      <c r="C24" s="554" t="s">
        <v>3149</v>
      </c>
      <c r="D24" s="557"/>
      <c r="E24" s="558" t="s">
        <v>3155</v>
      </c>
      <c r="F24" s="555"/>
      <c r="G24" s="556" t="s">
        <v>3156</v>
      </c>
      <c r="H24" s="555"/>
      <c r="I24" s="558" t="s">
        <v>3156</v>
      </c>
      <c r="J24" s="555"/>
      <c r="K24" s="531"/>
      <c r="L24" s="2128"/>
      <c r="M24" s="2118"/>
      <c r="N24" s="2118"/>
      <c r="O24" s="2127"/>
      <c r="P24" s="3382"/>
      <c r="Q24" s="1559"/>
      <c r="R24" s="1560"/>
      <c r="S24" s="1561"/>
      <c r="T24" s="1560"/>
      <c r="U24" s="1561"/>
      <c r="V24" s="1560"/>
      <c r="W24" s="1561"/>
      <c r="X24" s="1554"/>
      <c r="Y24" s="338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82"/>
      <c r="Q25" s="1559" t="str">
        <f t="shared" ref="Q25:Q39" si="8">B25</f>
        <v>区域土地利用方向</v>
      </c>
      <c r="R25" s="1560" t="s">
        <v>8</v>
      </c>
      <c r="S25" s="1561">
        <f>F25</f>
        <v>100</v>
      </c>
      <c r="T25" s="1560" t="s">
        <v>8</v>
      </c>
      <c r="U25" s="1561">
        <f>H25</f>
        <v>100</v>
      </c>
      <c r="V25" s="1560" t="s">
        <v>8</v>
      </c>
      <c r="W25" s="1561">
        <f>J25</f>
        <v>100</v>
      </c>
      <c r="X25" s="1554"/>
      <c r="Y25" s="3382"/>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82"/>
      <c r="Q26" s="1559"/>
      <c r="R26" s="1560"/>
      <c r="S26" s="1561"/>
      <c r="T26" s="1560"/>
      <c r="U26" s="1561"/>
      <c r="V26" s="1560"/>
      <c r="W26" s="1561"/>
      <c r="X26" s="1554"/>
      <c r="Y26" s="3382"/>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8"/>
      <c r="M27" s="2118"/>
      <c r="N27" s="2118"/>
      <c r="O27" s="2127"/>
      <c r="P27" s="3382"/>
      <c r="Q27" s="1559" t="str">
        <f t="shared" si="8"/>
        <v>自然及人文环境状况</v>
      </c>
      <c r="R27" s="1560" t="s">
        <v>8</v>
      </c>
      <c r="S27" s="1561">
        <f>F27</f>
        <v>100</v>
      </c>
      <c r="T27" s="1560" t="s">
        <v>8</v>
      </c>
      <c r="U27" s="1561">
        <f>H27</f>
        <v>102</v>
      </c>
      <c r="V27" s="1560" t="s">
        <v>8</v>
      </c>
      <c r="W27" s="1561">
        <f>J27</f>
        <v>102</v>
      </c>
      <c r="X27" s="1554"/>
      <c r="Y27" s="3382"/>
      <c r="Z27" s="1562" t="str">
        <f>Q27</f>
        <v>自然及人文环境状况</v>
      </c>
      <c r="AA27" s="1563">
        <f t="shared" si="3"/>
        <v>1</v>
      </c>
      <c r="AB27" s="1563">
        <f t="shared" si="4"/>
        <v>0.98039215686274506</v>
      </c>
      <c r="AC27" s="1563">
        <f t="shared" si="5"/>
        <v>0.98039215686274506</v>
      </c>
    </row>
    <row r="28" spans="1:29" ht="20.25">
      <c r="A28" s="515"/>
      <c r="B28" s="566"/>
      <c r="C28" s="554" t="s">
        <v>3149</v>
      </c>
      <c r="D28" s="557"/>
      <c r="E28" s="576" t="s">
        <v>3149</v>
      </c>
      <c r="F28" s="555"/>
      <c r="G28" s="554" t="s">
        <v>3155</v>
      </c>
      <c r="H28" s="555"/>
      <c r="I28" s="576" t="s">
        <v>3155</v>
      </c>
      <c r="J28" s="555"/>
      <c r="K28" s="531"/>
      <c r="L28" s="2128"/>
      <c r="M28" s="2118"/>
      <c r="N28" s="2118"/>
      <c r="O28" s="2127"/>
      <c r="P28" s="3382"/>
      <c r="Q28" s="1559"/>
      <c r="R28" s="1560"/>
      <c r="S28" s="1561"/>
      <c r="T28" s="1560"/>
      <c r="U28" s="1561"/>
      <c r="V28" s="1560"/>
      <c r="W28" s="1561"/>
      <c r="X28" s="1554"/>
      <c r="Y28" s="3382"/>
      <c r="Z28" s="1562"/>
      <c r="AA28" s="1563">
        <v>1</v>
      </c>
      <c r="AB28" s="1563">
        <v>1</v>
      </c>
      <c r="AC28" s="1563">
        <v>1</v>
      </c>
    </row>
    <row r="29" spans="1:29" s="1216" customFormat="1" ht="20.25">
      <c r="A29" s="577"/>
      <c r="B29" s="2556" t="s">
        <v>2548</v>
      </c>
      <c r="C29" s="573" t="str">
        <f>估价对象房地状况!C21</f>
        <v>一般</v>
      </c>
      <c r="D29" s="563">
        <v>100</v>
      </c>
      <c r="E29" s="564"/>
      <c r="F29" s="559">
        <f>SUMIF(102:102,E30,103:103)-SUMIF(102:102,C30,103:103)+100</f>
        <v>102</v>
      </c>
      <c r="G29" s="562"/>
      <c r="H29" s="559">
        <f>SUMIF(102:102,G30,103:103)-SUMIF(102:102,C30,103:103)+100</f>
        <v>104</v>
      </c>
      <c r="I29" s="564"/>
      <c r="J29" s="559">
        <f>SUMIF(102:102,I30,103:103)-SUMIF(102:102,C30,103:103)+100</f>
        <v>104</v>
      </c>
      <c r="K29" s="535">
        <v>2</v>
      </c>
      <c r="L29" s="2121"/>
      <c r="M29" s="2118"/>
      <c r="N29" s="2118"/>
      <c r="O29" s="2123"/>
      <c r="P29" s="3382"/>
      <c r="Q29" s="1147" t="str">
        <f t="shared" si="8"/>
        <v>公共配套设施</v>
      </c>
      <c r="R29" s="1555" t="s">
        <v>8</v>
      </c>
      <c r="S29" s="1556">
        <f>F29</f>
        <v>102</v>
      </c>
      <c r="T29" s="1555" t="s">
        <v>8</v>
      </c>
      <c r="U29" s="1556">
        <f>H29</f>
        <v>104</v>
      </c>
      <c r="V29" s="1555" t="s">
        <v>8</v>
      </c>
      <c r="W29" s="1556">
        <f>J29</f>
        <v>104</v>
      </c>
      <c r="X29" s="1557"/>
      <c r="Y29" s="3382"/>
      <c r="Z29" s="1146" t="str">
        <f>Q29</f>
        <v>公共配套设施</v>
      </c>
      <c r="AA29" s="1563">
        <f>D29/F29</f>
        <v>0.98039215686274506</v>
      </c>
      <c r="AB29" s="1563">
        <f>D29/H29</f>
        <v>0.96153846153846156</v>
      </c>
      <c r="AC29" s="1563">
        <f>D29/J29</f>
        <v>0.96153846153846156</v>
      </c>
    </row>
    <row r="30" spans="1:29" s="1216" customFormat="1" ht="20.25">
      <c r="A30" s="577"/>
      <c r="B30" s="566"/>
      <c r="C30" s="579" t="s">
        <v>3149</v>
      </c>
      <c r="D30" s="557"/>
      <c r="E30" s="576" t="s">
        <v>3155</v>
      </c>
      <c r="F30" s="555"/>
      <c r="G30" s="554" t="s">
        <v>3156</v>
      </c>
      <c r="H30" s="555"/>
      <c r="I30" s="576" t="s">
        <v>3156</v>
      </c>
      <c r="J30" s="555"/>
      <c r="K30" s="531"/>
      <c r="L30" s="2121"/>
      <c r="M30" s="2118"/>
      <c r="N30" s="2118"/>
      <c r="O30" s="2123"/>
      <c r="P30" s="3382"/>
      <c r="Q30" s="1147"/>
      <c r="R30" s="1555"/>
      <c r="S30" s="1556"/>
      <c r="T30" s="1555"/>
      <c r="U30" s="1556"/>
      <c r="V30" s="1555"/>
      <c r="W30" s="1556"/>
      <c r="X30" s="1557"/>
      <c r="Y30" s="3382"/>
      <c r="Z30" s="1146"/>
      <c r="AA30" s="1563">
        <v>1</v>
      </c>
      <c r="AB30" s="1563">
        <v>1</v>
      </c>
      <c r="AC30" s="1563">
        <v>1</v>
      </c>
    </row>
    <row r="31" spans="1:29" s="1216" customFormat="1" ht="20.25">
      <c r="A31" s="577"/>
      <c r="B31" s="2556"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2"/>
      <c r="Q31" s="2543" t="str">
        <f t="shared" ref="Q31" si="9">B31</f>
        <v>基础设施水平</v>
      </c>
      <c r="R31" s="1555" t="s">
        <v>8</v>
      </c>
      <c r="S31" s="1556">
        <f>F31</f>
        <v>100</v>
      </c>
      <c r="T31" s="1555" t="s">
        <v>8</v>
      </c>
      <c r="U31" s="1556">
        <f>H31</f>
        <v>100</v>
      </c>
      <c r="V31" s="1555" t="s">
        <v>8</v>
      </c>
      <c r="W31" s="1556">
        <f>J31</f>
        <v>100</v>
      </c>
      <c r="X31" s="1557"/>
      <c r="Y31" s="3382"/>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82"/>
      <c r="Q32" s="2543"/>
      <c r="R32" s="1555"/>
      <c r="S32" s="1556"/>
      <c r="T32" s="1555"/>
      <c r="U32" s="1556"/>
      <c r="V32" s="1555"/>
      <c r="W32" s="1556"/>
      <c r="X32" s="1557"/>
      <c r="Y32" s="3382"/>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2"/>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102</v>
      </c>
      <c r="G34" s="562"/>
      <c r="H34" s="559">
        <f>SUMIF(108:108,G35,109:109)-SUMIF(108:108,C35,109:109)+100</f>
        <v>104</v>
      </c>
      <c r="I34" s="564"/>
      <c r="J34" s="559">
        <f>SUMIF(108:108,I35,109:109)-SUMIF(108:108,C35,109:109)+100</f>
        <v>104</v>
      </c>
      <c r="K34" s="535">
        <v>2</v>
      </c>
      <c r="L34" s="2128"/>
      <c r="M34" s="2118"/>
      <c r="N34" s="2118"/>
      <c r="O34" s="2127"/>
      <c r="P34" s="3382"/>
      <c r="Q34" s="1559" t="str">
        <f t="shared" si="8"/>
        <v>毗邻道路的类型与等级</v>
      </c>
      <c r="R34" s="1560" t="s">
        <v>8</v>
      </c>
      <c r="S34" s="1561">
        <f t="shared" si="10"/>
        <v>102</v>
      </c>
      <c r="T34" s="1560" t="s">
        <v>8</v>
      </c>
      <c r="U34" s="1561">
        <f t="shared" si="11"/>
        <v>104</v>
      </c>
      <c r="V34" s="1560" t="s">
        <v>8</v>
      </c>
      <c r="W34" s="1561">
        <f t="shared" si="12"/>
        <v>104</v>
      </c>
      <c r="X34" s="1554"/>
      <c r="Y34" s="3382"/>
      <c r="Z34" s="1562" t="str">
        <f t="shared" si="13"/>
        <v>毗邻道路的类型与等级</v>
      </c>
      <c r="AA34" s="1563">
        <f t="shared" si="3"/>
        <v>0.98039215686274506</v>
      </c>
      <c r="AB34" s="1563">
        <f t="shared" si="4"/>
        <v>0.96153846153846156</v>
      </c>
      <c r="AC34" s="1563">
        <f t="shared" si="5"/>
        <v>0.96153846153846156</v>
      </c>
    </row>
    <row r="35" spans="1:29" ht="21" thickBot="1">
      <c r="A35" s="532"/>
      <c r="B35" s="566"/>
      <c r="C35" s="554" t="s">
        <v>3147</v>
      </c>
      <c r="D35" s="557"/>
      <c r="E35" s="576" t="s">
        <v>3145</v>
      </c>
      <c r="F35" s="555"/>
      <c r="G35" s="554" t="s">
        <v>3143</v>
      </c>
      <c r="H35" s="555"/>
      <c r="I35" s="576" t="s">
        <v>3143</v>
      </c>
      <c r="J35" s="555"/>
      <c r="K35" s="581"/>
      <c r="L35" s="2128"/>
      <c r="M35" s="2118"/>
      <c r="N35" s="2118"/>
      <c r="O35" s="2127"/>
      <c r="P35" s="3382"/>
      <c r="Q35" s="1559"/>
      <c r="R35" s="1560"/>
      <c r="S35" s="1561"/>
      <c r="T35" s="1560"/>
      <c r="U35" s="1561"/>
      <c r="V35" s="1560"/>
      <c r="W35" s="1561"/>
      <c r="X35" s="1554"/>
      <c r="Y35" s="3382"/>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2"/>
      <c r="Q36" s="1559" t="str">
        <f t="shared" si="8"/>
        <v>土地级别</v>
      </c>
      <c r="R36" s="1560" t="s">
        <v>8</v>
      </c>
      <c r="S36" s="1561">
        <f t="shared" si="10"/>
        <v>100</v>
      </c>
      <c r="T36" s="1560" t="s">
        <v>8</v>
      </c>
      <c r="U36" s="1561">
        <f t="shared" si="11"/>
        <v>100</v>
      </c>
      <c r="V36" s="1560" t="s">
        <v>8</v>
      </c>
      <c r="W36" s="1561">
        <f t="shared" si="12"/>
        <v>100</v>
      </c>
      <c r="X36" s="1554"/>
      <c r="Y36" s="3382"/>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2"/>
      <c r="Q37" s="1559">
        <f t="shared" si="8"/>
        <v>111</v>
      </c>
      <c r="R37" s="1560" t="s">
        <v>8</v>
      </c>
      <c r="S37" s="1561">
        <f t="shared" si="10"/>
        <v>100</v>
      </c>
      <c r="T37" s="1560" t="s">
        <v>8</v>
      </c>
      <c r="U37" s="1561">
        <f t="shared" si="11"/>
        <v>100</v>
      </c>
      <c r="V37" s="1560" t="s">
        <v>8</v>
      </c>
      <c r="W37" s="1561">
        <f t="shared" si="12"/>
        <v>100</v>
      </c>
      <c r="X37" s="1554"/>
      <c r="Y37" s="3382"/>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3" t="s">
        <v>550</v>
      </c>
      <c r="Q38" s="1559">
        <f t="shared" si="8"/>
        <v>111</v>
      </c>
      <c r="R38" s="1560" t="s">
        <v>8</v>
      </c>
      <c r="S38" s="1561">
        <f t="shared" si="10"/>
        <v>100</v>
      </c>
      <c r="T38" s="1560" t="s">
        <v>8</v>
      </c>
      <c r="U38" s="1561">
        <f t="shared" si="11"/>
        <v>100</v>
      </c>
      <c r="V38" s="1560" t="s">
        <v>8</v>
      </c>
      <c r="W38" s="1561">
        <f t="shared" si="12"/>
        <v>100</v>
      </c>
      <c r="X38" s="1554"/>
      <c r="Y38" s="3384"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4"/>
      <c r="Q39" s="1559">
        <f t="shared" si="8"/>
        <v>111</v>
      </c>
      <c r="R39" s="1564" t="s">
        <v>8</v>
      </c>
      <c r="S39" s="1565">
        <f t="shared" si="10"/>
        <v>100</v>
      </c>
      <c r="T39" s="1564" t="s">
        <v>8</v>
      </c>
      <c r="U39" s="1565">
        <f t="shared" si="11"/>
        <v>100</v>
      </c>
      <c r="V39" s="1564" t="s">
        <v>8</v>
      </c>
      <c r="W39" s="1565">
        <f t="shared" si="12"/>
        <v>100</v>
      </c>
      <c r="X39" s="1566"/>
      <c r="Y39" s="3384"/>
      <c r="Z39" s="1567">
        <f t="shared" si="13"/>
        <v>111</v>
      </c>
      <c r="AA39" s="1563">
        <f t="shared" si="3"/>
        <v>1</v>
      </c>
      <c r="AB39" s="1563">
        <f t="shared" si="4"/>
        <v>1</v>
      </c>
      <c r="AC39" s="1563">
        <f t="shared" si="5"/>
        <v>1</v>
      </c>
    </row>
    <row r="40" spans="1:29" ht="20.25">
      <c r="A40" s="2863" t="s">
        <v>2755</v>
      </c>
      <c r="B40" s="595" t="s">
        <v>552</v>
      </c>
      <c r="C40" s="596">
        <f>'数据-基础表'!A3</f>
        <v>83474.2</v>
      </c>
      <c r="D40" s="597">
        <v>100</v>
      </c>
      <c r="E40" s="596">
        <f>土地案例!D3</f>
        <v>32994.050000000003</v>
      </c>
      <c r="F40" s="597">
        <f>LOOKUP(E40,119:119,120:120)-LOOKUP(C40,119:119,120:120)+100</f>
        <v>94</v>
      </c>
      <c r="G40" s="596">
        <f>土地案例!D23</f>
        <v>8504.09</v>
      </c>
      <c r="H40" s="597">
        <f>LOOKUP(G40,119:119,120:120)-LOOKUP(C40,119:119,120:120)+100</f>
        <v>92</v>
      </c>
      <c r="I40" s="598">
        <f>土地案例!D24</f>
        <v>40899.379999999997</v>
      </c>
      <c r="J40" s="597">
        <f>LOOKUP(I40,119:119,120:120)-LOOKUP(C40,119:119,120:120)+100</f>
        <v>96</v>
      </c>
      <c r="K40" s="581"/>
      <c r="L40" s="2128"/>
      <c r="M40" s="2118"/>
      <c r="N40" s="2118"/>
      <c r="O40" s="2127"/>
      <c r="P40" s="3384"/>
      <c r="Q40" s="1559" t="str">
        <f>B40</f>
        <v>宗地面积</v>
      </c>
      <c r="R40" s="1560" t="s">
        <v>8</v>
      </c>
      <c r="S40" s="1561">
        <f t="shared" si="10"/>
        <v>94</v>
      </c>
      <c r="T40" s="1560" t="s">
        <v>8</v>
      </c>
      <c r="U40" s="1561">
        <f t="shared" si="11"/>
        <v>92</v>
      </c>
      <c r="V40" s="1560" t="s">
        <v>8</v>
      </c>
      <c r="W40" s="1561">
        <f t="shared" si="12"/>
        <v>96</v>
      </c>
      <c r="X40" s="1554"/>
      <c r="Y40" s="3384"/>
      <c r="Z40" s="1562" t="str">
        <f t="shared" si="13"/>
        <v>宗地面积</v>
      </c>
      <c r="AA40" s="1563">
        <f t="shared" si="3"/>
        <v>1.0638297872340425</v>
      </c>
      <c r="AB40" s="1563">
        <f t="shared" si="4"/>
        <v>1.0869565217391304</v>
      </c>
      <c r="AC40" s="1563">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4"/>
      <c r="Q41" s="1559" t="str">
        <f t="shared" ref="Q41:Q47" si="14">B41</f>
        <v>宗地形状</v>
      </c>
      <c r="R41" s="1560" t="s">
        <v>8</v>
      </c>
      <c r="S41" s="1561">
        <f t="shared" si="10"/>
        <v>100</v>
      </c>
      <c r="T41" s="1560" t="s">
        <v>8</v>
      </c>
      <c r="U41" s="1561">
        <f t="shared" si="11"/>
        <v>100</v>
      </c>
      <c r="V41" s="1560" t="s">
        <v>8</v>
      </c>
      <c r="W41" s="1561">
        <f t="shared" si="12"/>
        <v>100</v>
      </c>
      <c r="X41" s="1554"/>
      <c r="Y41" s="338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4"/>
      <c r="Q42" s="1559" t="str">
        <f t="shared" si="14"/>
        <v>临街宽度及深度</v>
      </c>
      <c r="R42" s="1560" t="s">
        <v>8</v>
      </c>
      <c r="S42" s="1561">
        <f t="shared" si="10"/>
        <v>100</v>
      </c>
      <c r="T42" s="1560" t="s">
        <v>8</v>
      </c>
      <c r="U42" s="1561">
        <f t="shared" si="11"/>
        <v>100</v>
      </c>
      <c r="V42" s="1560" t="s">
        <v>8</v>
      </c>
      <c r="W42" s="1561">
        <f t="shared" si="12"/>
        <v>100</v>
      </c>
      <c r="X42" s="1554"/>
      <c r="Y42" s="3384"/>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4"/>
      <c r="Q43" s="1559" t="str">
        <f t="shared" si="14"/>
        <v>宗地开发程度</v>
      </c>
      <c r="R43" s="1555" t="s">
        <v>8</v>
      </c>
      <c r="S43" s="1556">
        <f t="shared" si="10"/>
        <v>100</v>
      </c>
      <c r="T43" s="1555" t="s">
        <v>8</v>
      </c>
      <c r="U43" s="1556">
        <f t="shared" si="11"/>
        <v>100</v>
      </c>
      <c r="V43" s="1555" t="s">
        <v>8</v>
      </c>
      <c r="W43" s="1556">
        <f t="shared" si="12"/>
        <v>100</v>
      </c>
      <c r="X43" s="1557"/>
      <c r="Y43" s="3384"/>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4" t="s">
        <v>550</v>
      </c>
      <c r="Q44" s="1559" t="str">
        <f t="shared" si="14"/>
        <v>工程地质条件</v>
      </c>
      <c r="R44" s="1560" t="s">
        <v>8</v>
      </c>
      <c r="S44" s="1561">
        <f t="shared" si="10"/>
        <v>100</v>
      </c>
      <c r="T44" s="1560" t="s">
        <v>8</v>
      </c>
      <c r="U44" s="1561">
        <f t="shared" si="11"/>
        <v>100</v>
      </c>
      <c r="V44" s="1560" t="s">
        <v>8</v>
      </c>
      <c r="W44" s="1561">
        <f t="shared" si="12"/>
        <v>100</v>
      </c>
      <c r="X44" s="1554"/>
      <c r="Y44" s="3384"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4"/>
      <c r="Q45" s="1559">
        <f t="shared" si="14"/>
        <v>111</v>
      </c>
      <c r="R45" s="1560" t="s">
        <v>8</v>
      </c>
      <c r="S45" s="1561">
        <f t="shared" si="10"/>
        <v>100</v>
      </c>
      <c r="T45" s="1560" t="s">
        <v>8</v>
      </c>
      <c r="U45" s="1561">
        <f t="shared" si="11"/>
        <v>100</v>
      </c>
      <c r="V45" s="1560" t="s">
        <v>8</v>
      </c>
      <c r="W45" s="1561">
        <f t="shared" si="12"/>
        <v>100</v>
      </c>
      <c r="X45" s="1554"/>
      <c r="Y45" s="3384"/>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4"/>
      <c r="Q46" s="1559">
        <f t="shared" si="14"/>
        <v>111</v>
      </c>
      <c r="R46" s="1560" t="s">
        <v>8</v>
      </c>
      <c r="S46" s="1561">
        <f t="shared" si="10"/>
        <v>100</v>
      </c>
      <c r="T46" s="1560" t="s">
        <v>8</v>
      </c>
      <c r="U46" s="1561">
        <f t="shared" si="11"/>
        <v>100</v>
      </c>
      <c r="V46" s="1560" t="s">
        <v>8</v>
      </c>
      <c r="W46" s="1561">
        <f t="shared" si="12"/>
        <v>100</v>
      </c>
      <c r="X46" s="1554"/>
      <c r="Y46" s="3384"/>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4"/>
      <c r="Q47" s="1559">
        <f t="shared" si="14"/>
        <v>111</v>
      </c>
      <c r="R47" s="1564" t="s">
        <v>8</v>
      </c>
      <c r="S47" s="1565">
        <f t="shared" si="10"/>
        <v>100</v>
      </c>
      <c r="T47" s="1564" t="s">
        <v>8</v>
      </c>
      <c r="U47" s="1565">
        <f t="shared" si="11"/>
        <v>100</v>
      </c>
      <c r="V47" s="1564" t="s">
        <v>8</v>
      </c>
      <c r="W47" s="1565">
        <f t="shared" si="12"/>
        <v>100</v>
      </c>
      <c r="X47" s="1566"/>
      <c r="Y47" s="3384"/>
      <c r="Z47" s="1567">
        <f t="shared" si="13"/>
        <v>111</v>
      </c>
      <c r="AA47" s="1563">
        <f t="shared" si="3"/>
        <v>1</v>
      </c>
      <c r="AB47" s="1563">
        <f t="shared" si="4"/>
        <v>1</v>
      </c>
      <c r="AC47" s="1563">
        <f t="shared" si="5"/>
        <v>1</v>
      </c>
    </row>
    <row r="48" spans="1:29" ht="20.25">
      <c r="A48" s="607" t="s">
        <v>556</v>
      </c>
      <c r="B48" s="608" t="s">
        <v>3159</v>
      </c>
      <c r="C48" s="609" t="s">
        <v>1</v>
      </c>
      <c r="D48" s="610"/>
      <c r="E48" s="611">
        <f>土地案例!L3</f>
        <v>7300</v>
      </c>
      <c r="F48" s="612"/>
      <c r="G48" s="613">
        <f>土地案例!L23</f>
        <v>7100</v>
      </c>
      <c r="H48" s="614"/>
      <c r="I48" s="611">
        <f>土地案例!L24</f>
        <v>7899</v>
      </c>
      <c r="J48" s="614"/>
      <c r="K48" s="1336"/>
      <c r="L48" s="2130"/>
      <c r="M48" s="2118"/>
      <c r="N48" s="2118"/>
      <c r="O48" s="2131"/>
      <c r="P48" s="3379" t="str">
        <f>A48</f>
        <v>成交单价</v>
      </c>
      <c r="Q48" s="3379"/>
      <c r="R48" s="3393">
        <f>E48</f>
        <v>7300</v>
      </c>
      <c r="S48" s="3393"/>
      <c r="T48" s="3393">
        <f>G48</f>
        <v>7100</v>
      </c>
      <c r="U48" s="3393"/>
      <c r="V48" s="3393">
        <f>I48</f>
        <v>7899</v>
      </c>
      <c r="W48" s="3393"/>
      <c r="X48" s="1546"/>
      <c r="Y48" s="1568"/>
      <c r="Z48" s="1546"/>
      <c r="AA48" s="1546"/>
      <c r="AB48" s="1546"/>
      <c r="AC48" s="1546"/>
    </row>
    <row r="49" spans="1:29" ht="21" thickBot="1">
      <c r="A49" s="615" t="s">
        <v>2693</v>
      </c>
      <c r="B49" s="616"/>
      <c r="C49" s="617">
        <f>R50</f>
        <v>6377</v>
      </c>
      <c r="D49" s="618"/>
      <c r="E49" s="617">
        <f>R49</f>
        <v>6765</v>
      </c>
      <c r="F49" s="619"/>
      <c r="G49" s="620">
        <f>T49</f>
        <v>6077</v>
      </c>
      <c r="H49" s="618"/>
      <c r="I49" s="617">
        <f>V49</f>
        <v>6290</v>
      </c>
      <c r="J49" s="618"/>
      <c r="K49" s="1337"/>
      <c r="L49" s="2130"/>
      <c r="M49" s="2118"/>
      <c r="N49" s="2118"/>
      <c r="O49" s="2131"/>
      <c r="P49" s="3379" t="str">
        <f>A49</f>
        <v>比较价格（元/平方米）</v>
      </c>
      <c r="Q49" s="3379"/>
      <c r="R49" s="3403">
        <f>ROUND(PRODUCT(R48,AA9:AA47),0)</f>
        <v>6765</v>
      </c>
      <c r="S49" s="3403"/>
      <c r="T49" s="3403">
        <f>ROUND(PRODUCT(T48,AB9:AB47),0)</f>
        <v>6077</v>
      </c>
      <c r="U49" s="3403"/>
      <c r="V49" s="3403">
        <f>ROUND(PRODUCT(V48,AC9:AC47),0)</f>
        <v>6290</v>
      </c>
      <c r="W49" s="3403"/>
      <c r="X49" s="1546"/>
      <c r="Y49" s="1546"/>
      <c r="Z49" s="1546"/>
      <c r="AA49" s="1546"/>
      <c r="AB49" s="1546"/>
      <c r="AC49" s="1546"/>
    </row>
    <row r="50" spans="1:29" ht="21" thickBot="1">
      <c r="A50" s="621" t="s">
        <v>2933</v>
      </c>
      <c r="B50" s="622"/>
      <c r="C50" s="623">
        <f>R50</f>
        <v>6377</v>
      </c>
      <c r="D50" s="623"/>
      <c r="E50" s="623"/>
      <c r="F50" s="623"/>
      <c r="G50" s="623"/>
      <c r="H50" s="623"/>
      <c r="I50" s="623"/>
      <c r="J50" s="623"/>
      <c r="K50" s="1338"/>
      <c r="L50" s="2130"/>
      <c r="M50" s="2118"/>
      <c r="N50" s="2118"/>
      <c r="O50" s="2131"/>
      <c r="P50" s="3400" t="str">
        <f>A50</f>
        <v>估价对象XX用房的比较价格（楼面单价，元/平方米）</v>
      </c>
      <c r="Q50" s="3401"/>
      <c r="R50" s="3402">
        <f>ROUND(AVERAGE(R49:V49),0)</f>
        <v>6377</v>
      </c>
      <c r="S50" s="3402"/>
      <c r="T50" s="3402"/>
      <c r="U50" s="3402"/>
      <c r="V50" s="3402"/>
      <c r="W50" s="340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7.9083518107908368E-2</v>
      </c>
      <c r="F53" s="627" t="str">
        <f>IF(OR(E53&gt;=0.3,E53&lt;=-0.3),"超过30%","")</f>
        <v/>
      </c>
      <c r="G53" s="626">
        <f>IF(G48&lt;G49,G49/G48-1,G48/G49-1)</f>
        <v>0.16833964127036372</v>
      </c>
      <c r="H53" s="627" t="str">
        <f>IF(OR(G53&gt;=0.3,G53&lt;=-0.3),"超过30%","")</f>
        <v/>
      </c>
      <c r="I53" s="626">
        <f>IF(I48&lt;I49,I49/I48-1,I48/I49-1)</f>
        <v>0.2558028616852146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0.11321375678788881</v>
      </c>
      <c r="F54" s="627" t="str">
        <f>IF(OR(E54&gt;=0.2,E54&lt;=-0.2),"超过20%","")</f>
        <v/>
      </c>
      <c r="G54" s="626">
        <f>IF(G49&lt;I49,I49/G49-1,G49/I49-1)</f>
        <v>3.5050189238110985E-2</v>
      </c>
      <c r="H54" s="627" t="str">
        <f>IF(OR(G54&gt;=0.2,G54&lt;=-0.2),"超过20%","")</f>
        <v/>
      </c>
      <c r="I54" s="626">
        <f>IF(I49&lt;E49,E49/I49-1,I49/E49-1)</f>
        <v>7.5516693163752091E-2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2.8169014084507005E-2</v>
      </c>
      <c r="F55" s="627" t="str">
        <f>IF(OR(E55&gt;=0.3,E55&lt;=-0.3),"超过30%","")</f>
        <v/>
      </c>
      <c r="G55" s="626">
        <f>IF(G48&lt;I48,I48/G48-1,G48/I48-1)</f>
        <v>0.11253521126760568</v>
      </c>
      <c r="H55" s="627" t="str">
        <f>IF(OR(G55&gt;=0.3,G55&lt;=-0.3),"超过30%","")</f>
        <v/>
      </c>
      <c r="I55" s="626">
        <f>IF(I48&lt;E48,E48/I48-1,I48/E48-1)</f>
        <v>8.2054794520547869E-2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3" t="s">
        <v>2281</v>
      </c>
      <c r="H57" s="3364"/>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6377</v>
      </c>
      <c r="C58" s="635">
        <v>1</v>
      </c>
      <c r="D58" s="2214">
        <v>1</v>
      </c>
      <c r="E58" s="635">
        <f>'数据-汇总表'!E8+'数据-汇总表'!E9</f>
        <v>300507</v>
      </c>
      <c r="F58" s="636">
        <f t="shared" ref="F58:F67" si="15">ROUND(B58*E58/10000,0)</f>
        <v>191633</v>
      </c>
      <c r="G58" s="3365"/>
      <c r="H58" s="336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7"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300507</v>
      </c>
      <c r="F68" s="644">
        <f>IF(B48="楼面地价",SUM(F58:F67),ROUND(C50*E68/10000,0))</f>
        <v>191633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91">
        <f>C73-$C$74</f>
        <v>99.5</v>
      </c>
      <c r="E73" s="3191">
        <f t="shared" ref="E73:N73" si="20">D73-$C$74</f>
        <v>99</v>
      </c>
      <c r="F73" s="3191">
        <f t="shared" si="20"/>
        <v>98.5</v>
      </c>
      <c r="G73" s="3191">
        <f t="shared" si="20"/>
        <v>98</v>
      </c>
      <c r="H73" s="3191">
        <f t="shared" si="20"/>
        <v>97.5</v>
      </c>
      <c r="I73" s="3191">
        <f t="shared" si="20"/>
        <v>97</v>
      </c>
      <c r="J73" s="3191">
        <f t="shared" si="20"/>
        <v>96.5</v>
      </c>
      <c r="K73" s="3191">
        <f t="shared" si="20"/>
        <v>96</v>
      </c>
      <c r="L73" s="3191">
        <f t="shared" si="20"/>
        <v>95.5</v>
      </c>
      <c r="M73" s="3191">
        <f t="shared" si="20"/>
        <v>95</v>
      </c>
      <c r="N73" s="3191">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495" t="s">
        <v>3161</v>
      </c>
      <c r="E75" s="3495" t="s">
        <v>3163</v>
      </c>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v>106</v>
      </c>
      <c r="E76" s="650">
        <v>103</v>
      </c>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90" t="s">
        <v>3136</v>
      </c>
      <c r="D84" s="1372" t="s">
        <v>3137</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95</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90" t="s">
        <v>3144</v>
      </c>
      <c r="D108" s="3190" t="s">
        <v>3146</v>
      </c>
      <c r="E108" s="3190" t="s">
        <v>3148</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8" t="str">
        <f>项目基本情况!B1</f>
        <v>出让国有建设用地使用权预评估</v>
      </c>
      <c r="C37" s="3198"/>
      <c r="D37" s="3198"/>
      <c r="E37" s="3198"/>
      <c r="F37" s="3198"/>
      <c r="G37" s="3198"/>
      <c r="H37" s="3198"/>
      <c r="I37" s="319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7" sqref="D17"/>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193722</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6447</v>
      </c>
      <c r="C3" s="2090"/>
      <c r="D3" s="2090"/>
      <c r="E3" s="2090"/>
      <c r="F3" s="2090"/>
      <c r="G3" s="2090"/>
      <c r="H3" s="2090"/>
      <c r="I3" s="2090"/>
      <c r="J3" s="2090"/>
      <c r="K3" s="2090"/>
    </row>
    <row r="4" spans="1:31" s="2027" customFormat="1" ht="18" customHeight="1">
      <c r="A4" s="426" t="s">
        <v>468</v>
      </c>
      <c r="B4" s="427">
        <f ca="1">ROUND(B2*10000/IF(B1="",'数据-汇总表'!D3,INDIRECT("'数据-取费表'!R"&amp;$K$1)),0)</f>
        <v>23207</v>
      </c>
      <c r="C4" s="428"/>
      <c r="D4" s="422"/>
      <c r="E4" s="422"/>
      <c r="F4" s="422"/>
      <c r="G4" s="422"/>
      <c r="H4" s="422"/>
      <c r="I4" s="422"/>
      <c r="J4" s="422"/>
      <c r="K4" s="422"/>
    </row>
    <row r="5" spans="1:31" s="2027" customFormat="1" ht="18" customHeight="1" thickBot="1">
      <c r="A5" s="429"/>
      <c r="B5" s="430">
        <f ca="1">ROUND(B2/(IF(B1="",'数据-汇总表'!D3,INDIRECT("'数据-取费表'!R"&amp;$K$1))/666.67),0)</f>
        <v>1547</v>
      </c>
      <c r="C5" s="431" t="s">
        <v>469</v>
      </c>
      <c r="D5" s="422"/>
      <c r="E5" s="422"/>
      <c r="F5" s="422"/>
      <c r="G5" s="422"/>
      <c r="H5" s="422"/>
      <c r="I5" s="422"/>
      <c r="J5" s="422"/>
      <c r="K5" s="422"/>
    </row>
    <row r="6" spans="1:31" s="2097" customFormat="1" ht="16.5" customHeight="1">
      <c r="A6" s="2784" t="s">
        <v>1842</v>
      </c>
      <c r="B6" s="2785"/>
      <c r="C6" s="2786">
        <f>SUM(C10:K10)</f>
        <v>389824.41666666663</v>
      </c>
      <c r="D6" s="2785"/>
      <c r="E6" s="2785"/>
      <c r="F6" s="2785"/>
      <c r="G6" s="2785"/>
      <c r="H6" s="2785"/>
      <c r="I6" s="2785"/>
      <c r="J6" s="2785"/>
      <c r="K6" s="2787"/>
    </row>
    <row r="7" spans="1:31" s="2099" customFormat="1" ht="15">
      <c r="A7" s="2788" t="s">
        <v>470</v>
      </c>
      <c r="B7" s="2789" t="s">
        <v>471</v>
      </c>
      <c r="C7" s="436" t="s">
        <v>923</v>
      </c>
      <c r="D7" s="436" t="s">
        <v>3140</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(13000+13000+13500)/3</f>
        <v>13166.666666666666</v>
      </c>
      <c r="D8" s="2790">
        <v>12000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250423</v>
      </c>
      <c r="D9" s="441">
        <f>SUMIF('数据-汇总表'!$C19:$C33,'剩余法-待开发'!D7,'数据-汇总表'!$E19:$E33)</f>
        <v>50084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C9*C8/10000</f>
        <v>329723.61666666664</v>
      </c>
      <c r="D10" s="2982">
        <f>D9*D8/10000</f>
        <v>60100.800000000003</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76128</v>
      </c>
      <c r="D13" s="2800"/>
      <c r="E13" s="2801"/>
      <c r="F13" s="2802"/>
      <c r="G13" s="2768"/>
      <c r="H13" s="2769"/>
      <c r="I13" s="2769"/>
      <c r="J13" s="2769"/>
      <c r="K13" s="2770"/>
    </row>
    <row r="14" spans="1:31" s="2102" customFormat="1" ht="13.5" customHeight="1">
      <c r="A14" s="2798" t="s">
        <v>1849</v>
      </c>
      <c r="B14" s="2799" t="s">
        <v>480</v>
      </c>
      <c r="C14" s="53">
        <f ca="1">ROUND(C13*F14,0)</f>
        <v>2284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3256</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4508</v>
      </c>
      <c r="D16" s="2800">
        <f ca="1">IF(B1="",'数据-汇总表'!E3,INDIRECT("'数据-取费表'!K"&amp;$K$1)+INDIRECT("'数据-取费表'!S"&amp;$K$1))</f>
        <v>300507</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1142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87318</v>
      </c>
      <c r="D18" s="2809"/>
      <c r="E18" s="468"/>
      <c r="F18" s="468"/>
      <c r="G18" s="2772" t="s">
        <v>2430</v>
      </c>
      <c r="H18" s="2773"/>
      <c r="I18" s="2773"/>
      <c r="J18" s="2773"/>
      <c r="K18" s="2774"/>
    </row>
    <row r="19" spans="1:14" s="2102" customFormat="1" ht="13.5" customHeight="1">
      <c r="A19" s="2806" t="s">
        <v>1854</v>
      </c>
      <c r="B19" s="2807" t="s">
        <v>488</v>
      </c>
      <c r="C19" s="2764">
        <f ca="1">ROUND(D19*E19/10000,0)</f>
        <v>2104</v>
      </c>
      <c r="D19" s="2810">
        <f ca="1">D16</f>
        <v>300507</v>
      </c>
      <c r="E19" s="2764">
        <f>'数据-取费表'!B32</f>
        <v>70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3606</v>
      </c>
      <c r="D20" s="2810"/>
      <c r="E20" s="2764"/>
      <c r="F20" s="2811"/>
      <c r="G20" s="3039"/>
      <c r="H20" s="2766"/>
      <c r="I20" s="2767" t="s">
        <v>2651</v>
      </c>
      <c r="J20" s="2773"/>
      <c r="K20" s="2774"/>
    </row>
    <row r="21" spans="1:14" s="2102" customFormat="1" ht="13.5" customHeight="1">
      <c r="A21" s="2798" t="s">
        <v>1856</v>
      </c>
      <c r="B21" s="2799" t="s">
        <v>491</v>
      </c>
      <c r="C21" s="53">
        <f ca="1">ROUND(D21*E21/10000,0)</f>
        <v>3005</v>
      </c>
      <c r="D21" s="2800">
        <f ca="1">IF(B1="",'数据-汇总表'!E5,IF(INDIRECT("'数据-取费表'!c"&amp;$K$1)="住宅",INDIRECT("'数据-取费表'!k"&amp;$K$1),0))</f>
        <v>250423</v>
      </c>
      <c r="E21" s="53">
        <f>'数据-取费表'!B27</f>
        <v>120</v>
      </c>
      <c r="F21" s="2803"/>
      <c r="G21" s="26"/>
      <c r="H21" s="51"/>
      <c r="I21" s="51"/>
      <c r="J21" s="51"/>
      <c r="K21" s="2775"/>
    </row>
    <row r="22" spans="1:14" s="2102" customFormat="1" ht="13.5" customHeight="1">
      <c r="A22" s="2798" t="s">
        <v>1857</v>
      </c>
      <c r="B22" s="2799" t="s">
        <v>492</v>
      </c>
      <c r="C22" s="53">
        <f ca="1">ROUND(D22*E22/10000,0)</f>
        <v>601</v>
      </c>
      <c r="D22" s="2800">
        <f ca="1">IF(B1="",'数据-汇总表'!E6,IF(INDIRECT("'数据-取费表'!c"&amp;$K$1)="住宅",INDIRECT("'数据-取费表'!s"&amp;$K$1),INDIRECT("'数据-取费表'!k"&amp;$K$1)+INDIRECT("'数据-取费表'!s"&amp;$K$1)))</f>
        <v>50084</v>
      </c>
      <c r="E22" s="53">
        <f>'数据-取费表'!B28</f>
        <v>120</v>
      </c>
      <c r="F22" s="2803"/>
      <c r="G22" s="26"/>
      <c r="H22" s="51"/>
      <c r="I22" s="51"/>
      <c r="J22" s="51"/>
      <c r="K22" s="2775"/>
    </row>
    <row r="23" spans="1:14" s="2102" customFormat="1" ht="13.5" customHeight="1">
      <c r="A23" s="2806" t="s">
        <v>1858</v>
      </c>
      <c r="B23" s="2988" t="s">
        <v>2834</v>
      </c>
      <c r="C23" s="2808">
        <f ca="1">ROUND((C18+C19+C20)*F23,0)</f>
        <v>1861</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7796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7403</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7403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20419</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130507</v>
      </c>
      <c r="D30" s="477">
        <f ca="1">C32</f>
        <v>0.1827</v>
      </c>
      <c r="E30" s="469" t="s">
        <v>495</v>
      </c>
      <c r="F30" s="471"/>
      <c r="G30" s="2776" t="s">
        <v>2969</v>
      </c>
      <c r="H30" s="2769"/>
      <c r="I30" s="2769"/>
      <c r="J30" s="2769"/>
      <c r="K30" s="2770"/>
    </row>
    <row r="31" spans="1:14" s="2106" customFormat="1" ht="13.5" customHeight="1">
      <c r="A31" s="803" t="s">
        <v>1856</v>
      </c>
      <c r="B31" s="2814"/>
      <c r="C31" s="450">
        <f ca="1">C18+C19+C20+C23+C24+C26+C29</f>
        <v>130507</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10269</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10269</v>
      </c>
      <c r="D35" s="1615"/>
      <c r="E35" s="2820"/>
      <c r="F35" s="1616"/>
      <c r="G35" s="2778"/>
      <c r="H35" s="2779"/>
      <c r="I35" s="2779"/>
      <c r="J35" s="2779"/>
      <c r="K35" s="2780"/>
    </row>
    <row r="36" spans="1:11" s="2071" customFormat="1" ht="13.5" customHeight="1" thickBot="1">
      <c r="A36" s="284" t="s">
        <v>1844</v>
      </c>
      <c r="B36" s="2782"/>
      <c r="C36" s="2821">
        <f ca="1">ROUND((C6-C30-C33)/(1+D30+D33),0)</f>
        <v>193722</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
  <sheetViews>
    <sheetView workbookViewId="0">
      <selection activeCell="H5" sqref="H5"/>
    </sheetView>
  </sheetViews>
  <sheetFormatPr defaultRowHeight="13.5"/>
  <cols>
    <col min="4" max="4" width="13" bestFit="1" customWidth="1"/>
  </cols>
  <sheetData>
    <row r="2" spans="1:5">
      <c r="A2" s="3183" t="s">
        <v>2995</v>
      </c>
      <c r="B2" s="3183" t="s">
        <v>2997</v>
      </c>
      <c r="C2" s="3183" t="s">
        <v>2998</v>
      </c>
      <c r="D2" s="3183" t="s">
        <v>2999</v>
      </c>
      <c r="E2" s="3183" t="s">
        <v>3000</v>
      </c>
    </row>
    <row r="3" spans="1:5">
      <c r="A3" s="3183" t="s">
        <v>2996</v>
      </c>
      <c r="B3">
        <v>83474.2</v>
      </c>
      <c r="C3">
        <v>300507</v>
      </c>
      <c r="D3">
        <v>50084</v>
      </c>
      <c r="E3">
        <v>3.6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opLeftCell="C1" workbookViewId="0">
      <selection activeCell="M38" sqref="M38"/>
    </sheetView>
  </sheetViews>
  <sheetFormatPr defaultRowHeight="13.5"/>
  <cols>
    <col min="1" max="1" width="43.375" style="2895" customWidth="1"/>
    <col min="2" max="2" width="6.25" style="2895" customWidth="1"/>
    <col min="3" max="5" width="13.875" style="2895" customWidth="1"/>
    <col min="6" max="6" width="10.75" style="2895" customWidth="1"/>
    <col min="7" max="7" width="7.5" style="2895" customWidth="1"/>
    <col min="8" max="8" width="7.875" style="2895" customWidth="1"/>
    <col min="9" max="9" width="9" style="2895" customWidth="1"/>
    <col min="10" max="11" width="10.625" style="2895" customWidth="1"/>
    <col min="12" max="12" width="14.375" style="2895" customWidth="1"/>
    <col min="13" max="13" width="9.875" style="2895" customWidth="1"/>
    <col min="14" max="14" width="6.25" style="2895" customWidth="1"/>
    <col min="15" max="15" width="32.25" style="2895" customWidth="1"/>
    <col min="16" max="16" width="7.875" style="2895" customWidth="1"/>
    <col min="17" max="258" width="9" style="2895"/>
    <col min="259" max="259" width="73.125" style="2895" customWidth="1"/>
    <col min="260" max="260" width="6.25" style="2895" customWidth="1"/>
    <col min="261" max="263" width="13.875" style="2895" customWidth="1"/>
    <col min="264" max="264" width="131.625" style="2895" customWidth="1"/>
    <col min="265" max="265" width="7.875" style="2895" customWidth="1"/>
    <col min="266" max="266" width="9" style="2895" customWidth="1"/>
    <col min="267" max="268" width="10.625" style="2895" customWidth="1"/>
    <col min="269" max="269" width="14.375" style="2895" customWidth="1"/>
    <col min="270" max="270" width="6.25" style="2895" customWidth="1"/>
    <col min="271" max="271" width="62.25" style="2895" customWidth="1"/>
    <col min="272" max="272" width="7.875" style="2895" customWidth="1"/>
    <col min="273" max="514" width="9" style="2895"/>
    <col min="515" max="515" width="73.125" style="2895" customWidth="1"/>
    <col min="516" max="516" width="6.25" style="2895" customWidth="1"/>
    <col min="517" max="519" width="13.875" style="2895" customWidth="1"/>
    <col min="520" max="520" width="131.625" style="2895" customWidth="1"/>
    <col min="521" max="521" width="7.875" style="2895" customWidth="1"/>
    <col min="522" max="522" width="9" style="2895" customWidth="1"/>
    <col min="523" max="524" width="10.625" style="2895" customWidth="1"/>
    <col min="525" max="525" width="14.375" style="2895" customWidth="1"/>
    <col min="526" max="526" width="6.25" style="2895" customWidth="1"/>
    <col min="527" max="527" width="62.25" style="2895" customWidth="1"/>
    <col min="528" max="528" width="7.875" style="2895" customWidth="1"/>
    <col min="529" max="770" width="9" style="2895"/>
    <col min="771" max="771" width="73.125" style="2895" customWidth="1"/>
    <col min="772" max="772" width="6.25" style="2895" customWidth="1"/>
    <col min="773" max="775" width="13.875" style="2895" customWidth="1"/>
    <col min="776" max="776" width="131.625" style="2895" customWidth="1"/>
    <col min="777" max="777" width="7.875" style="2895" customWidth="1"/>
    <col min="778" max="778" width="9" style="2895" customWidth="1"/>
    <col min="779" max="780" width="10.625" style="2895" customWidth="1"/>
    <col min="781" max="781" width="14.375" style="2895" customWidth="1"/>
    <col min="782" max="782" width="6.25" style="2895" customWidth="1"/>
    <col min="783" max="783" width="62.25" style="2895" customWidth="1"/>
    <col min="784" max="784" width="7.875" style="2895" customWidth="1"/>
    <col min="785" max="1026" width="9" style="2895"/>
    <col min="1027" max="1027" width="73.125" style="2895" customWidth="1"/>
    <col min="1028" max="1028" width="6.25" style="2895" customWidth="1"/>
    <col min="1029" max="1031" width="13.875" style="2895" customWidth="1"/>
    <col min="1032" max="1032" width="131.625" style="2895" customWidth="1"/>
    <col min="1033" max="1033" width="7.875" style="2895" customWidth="1"/>
    <col min="1034" max="1034" width="9" style="2895" customWidth="1"/>
    <col min="1035" max="1036" width="10.625" style="2895" customWidth="1"/>
    <col min="1037" max="1037" width="14.375" style="2895" customWidth="1"/>
    <col min="1038" max="1038" width="6.25" style="2895" customWidth="1"/>
    <col min="1039" max="1039" width="62.25" style="2895" customWidth="1"/>
    <col min="1040" max="1040" width="7.875" style="2895" customWidth="1"/>
    <col min="1041" max="1282" width="9" style="2895"/>
    <col min="1283" max="1283" width="73.125" style="2895" customWidth="1"/>
    <col min="1284" max="1284" width="6.25" style="2895" customWidth="1"/>
    <col min="1285" max="1287" width="13.875" style="2895" customWidth="1"/>
    <col min="1288" max="1288" width="131.625" style="2895" customWidth="1"/>
    <col min="1289" max="1289" width="7.875" style="2895" customWidth="1"/>
    <col min="1290" max="1290" width="9" style="2895" customWidth="1"/>
    <col min="1291" max="1292" width="10.625" style="2895" customWidth="1"/>
    <col min="1293" max="1293" width="14.375" style="2895" customWidth="1"/>
    <col min="1294" max="1294" width="6.25" style="2895" customWidth="1"/>
    <col min="1295" max="1295" width="62.25" style="2895" customWidth="1"/>
    <col min="1296" max="1296" width="7.875" style="2895" customWidth="1"/>
    <col min="1297" max="1538" width="9" style="2895"/>
    <col min="1539" max="1539" width="73.125" style="2895" customWidth="1"/>
    <col min="1540" max="1540" width="6.25" style="2895" customWidth="1"/>
    <col min="1541" max="1543" width="13.875" style="2895" customWidth="1"/>
    <col min="1544" max="1544" width="131.625" style="2895" customWidth="1"/>
    <col min="1545" max="1545" width="7.875" style="2895" customWidth="1"/>
    <col min="1546" max="1546" width="9" style="2895" customWidth="1"/>
    <col min="1547" max="1548" width="10.625" style="2895" customWidth="1"/>
    <col min="1549" max="1549" width="14.375" style="2895" customWidth="1"/>
    <col min="1550" max="1550" width="6.25" style="2895" customWidth="1"/>
    <col min="1551" max="1551" width="62.25" style="2895" customWidth="1"/>
    <col min="1552" max="1552" width="7.875" style="2895" customWidth="1"/>
    <col min="1553" max="1794" width="9" style="2895"/>
    <col min="1795" max="1795" width="73.125" style="2895" customWidth="1"/>
    <col min="1796" max="1796" width="6.25" style="2895" customWidth="1"/>
    <col min="1797" max="1799" width="13.875" style="2895" customWidth="1"/>
    <col min="1800" max="1800" width="131.625" style="2895" customWidth="1"/>
    <col min="1801" max="1801" width="7.875" style="2895" customWidth="1"/>
    <col min="1802" max="1802" width="9" style="2895" customWidth="1"/>
    <col min="1803" max="1804" width="10.625" style="2895" customWidth="1"/>
    <col min="1805" max="1805" width="14.375" style="2895" customWidth="1"/>
    <col min="1806" max="1806" width="6.25" style="2895" customWidth="1"/>
    <col min="1807" max="1807" width="62.25" style="2895" customWidth="1"/>
    <col min="1808" max="1808" width="7.875" style="2895" customWidth="1"/>
    <col min="1809" max="2050" width="9" style="2895"/>
    <col min="2051" max="2051" width="73.125" style="2895" customWidth="1"/>
    <col min="2052" max="2052" width="6.25" style="2895" customWidth="1"/>
    <col min="2053" max="2055" width="13.875" style="2895" customWidth="1"/>
    <col min="2056" max="2056" width="131.625" style="2895" customWidth="1"/>
    <col min="2057" max="2057" width="7.875" style="2895" customWidth="1"/>
    <col min="2058" max="2058" width="9" style="2895" customWidth="1"/>
    <col min="2059" max="2060" width="10.625" style="2895" customWidth="1"/>
    <col min="2061" max="2061" width="14.375" style="2895" customWidth="1"/>
    <col min="2062" max="2062" width="6.25" style="2895" customWidth="1"/>
    <col min="2063" max="2063" width="62.25" style="2895" customWidth="1"/>
    <col min="2064" max="2064" width="7.875" style="2895" customWidth="1"/>
    <col min="2065" max="2306" width="9" style="2895"/>
    <col min="2307" max="2307" width="73.125" style="2895" customWidth="1"/>
    <col min="2308" max="2308" width="6.25" style="2895" customWidth="1"/>
    <col min="2309" max="2311" width="13.875" style="2895" customWidth="1"/>
    <col min="2312" max="2312" width="131.625" style="2895" customWidth="1"/>
    <col min="2313" max="2313" width="7.875" style="2895" customWidth="1"/>
    <col min="2314" max="2314" width="9" style="2895" customWidth="1"/>
    <col min="2315" max="2316" width="10.625" style="2895" customWidth="1"/>
    <col min="2317" max="2317" width="14.375" style="2895" customWidth="1"/>
    <col min="2318" max="2318" width="6.25" style="2895" customWidth="1"/>
    <col min="2319" max="2319" width="62.25" style="2895" customWidth="1"/>
    <col min="2320" max="2320" width="7.875" style="2895" customWidth="1"/>
    <col min="2321" max="2562" width="9" style="2895"/>
    <col min="2563" max="2563" width="73.125" style="2895" customWidth="1"/>
    <col min="2564" max="2564" width="6.25" style="2895" customWidth="1"/>
    <col min="2565" max="2567" width="13.875" style="2895" customWidth="1"/>
    <col min="2568" max="2568" width="131.625" style="2895" customWidth="1"/>
    <col min="2569" max="2569" width="7.875" style="2895" customWidth="1"/>
    <col min="2570" max="2570" width="9" style="2895" customWidth="1"/>
    <col min="2571" max="2572" width="10.625" style="2895" customWidth="1"/>
    <col min="2573" max="2573" width="14.375" style="2895" customWidth="1"/>
    <col min="2574" max="2574" width="6.25" style="2895" customWidth="1"/>
    <col min="2575" max="2575" width="62.25" style="2895" customWidth="1"/>
    <col min="2576" max="2576" width="7.875" style="2895" customWidth="1"/>
    <col min="2577" max="2818" width="9" style="2895"/>
    <col min="2819" max="2819" width="73.125" style="2895" customWidth="1"/>
    <col min="2820" max="2820" width="6.25" style="2895" customWidth="1"/>
    <col min="2821" max="2823" width="13.875" style="2895" customWidth="1"/>
    <col min="2824" max="2824" width="131.625" style="2895" customWidth="1"/>
    <col min="2825" max="2825" width="7.875" style="2895" customWidth="1"/>
    <col min="2826" max="2826" width="9" style="2895" customWidth="1"/>
    <col min="2827" max="2828" width="10.625" style="2895" customWidth="1"/>
    <col min="2829" max="2829" width="14.375" style="2895" customWidth="1"/>
    <col min="2830" max="2830" width="6.25" style="2895" customWidth="1"/>
    <col min="2831" max="2831" width="62.25" style="2895" customWidth="1"/>
    <col min="2832" max="2832" width="7.875" style="2895" customWidth="1"/>
    <col min="2833" max="3074" width="9" style="2895"/>
    <col min="3075" max="3075" width="73.125" style="2895" customWidth="1"/>
    <col min="3076" max="3076" width="6.25" style="2895" customWidth="1"/>
    <col min="3077" max="3079" width="13.875" style="2895" customWidth="1"/>
    <col min="3080" max="3080" width="131.625" style="2895" customWidth="1"/>
    <col min="3081" max="3081" width="7.875" style="2895" customWidth="1"/>
    <col min="3082" max="3082" width="9" style="2895" customWidth="1"/>
    <col min="3083" max="3084" width="10.625" style="2895" customWidth="1"/>
    <col min="3085" max="3085" width="14.375" style="2895" customWidth="1"/>
    <col min="3086" max="3086" width="6.25" style="2895" customWidth="1"/>
    <col min="3087" max="3087" width="62.25" style="2895" customWidth="1"/>
    <col min="3088" max="3088" width="7.875" style="2895" customWidth="1"/>
    <col min="3089" max="3330" width="9" style="2895"/>
    <col min="3331" max="3331" width="73.125" style="2895" customWidth="1"/>
    <col min="3332" max="3332" width="6.25" style="2895" customWidth="1"/>
    <col min="3333" max="3335" width="13.875" style="2895" customWidth="1"/>
    <col min="3336" max="3336" width="131.625" style="2895" customWidth="1"/>
    <col min="3337" max="3337" width="7.875" style="2895" customWidth="1"/>
    <col min="3338" max="3338" width="9" style="2895" customWidth="1"/>
    <col min="3339" max="3340" width="10.625" style="2895" customWidth="1"/>
    <col min="3341" max="3341" width="14.375" style="2895" customWidth="1"/>
    <col min="3342" max="3342" width="6.25" style="2895" customWidth="1"/>
    <col min="3343" max="3343" width="62.25" style="2895" customWidth="1"/>
    <col min="3344" max="3344" width="7.875" style="2895" customWidth="1"/>
    <col min="3345" max="3586" width="9" style="2895"/>
    <col min="3587" max="3587" width="73.125" style="2895" customWidth="1"/>
    <col min="3588" max="3588" width="6.25" style="2895" customWidth="1"/>
    <col min="3589" max="3591" width="13.875" style="2895" customWidth="1"/>
    <col min="3592" max="3592" width="131.625" style="2895" customWidth="1"/>
    <col min="3593" max="3593" width="7.875" style="2895" customWidth="1"/>
    <col min="3594" max="3594" width="9" style="2895" customWidth="1"/>
    <col min="3595" max="3596" width="10.625" style="2895" customWidth="1"/>
    <col min="3597" max="3597" width="14.375" style="2895" customWidth="1"/>
    <col min="3598" max="3598" width="6.25" style="2895" customWidth="1"/>
    <col min="3599" max="3599" width="62.25" style="2895" customWidth="1"/>
    <col min="3600" max="3600" width="7.875" style="2895" customWidth="1"/>
    <col min="3601" max="3842" width="9" style="2895"/>
    <col min="3843" max="3843" width="73.125" style="2895" customWidth="1"/>
    <col min="3844" max="3844" width="6.25" style="2895" customWidth="1"/>
    <col min="3845" max="3847" width="13.875" style="2895" customWidth="1"/>
    <col min="3848" max="3848" width="131.625" style="2895" customWidth="1"/>
    <col min="3849" max="3849" width="7.875" style="2895" customWidth="1"/>
    <col min="3850" max="3850" width="9" style="2895" customWidth="1"/>
    <col min="3851" max="3852" width="10.625" style="2895" customWidth="1"/>
    <col min="3853" max="3853" width="14.375" style="2895" customWidth="1"/>
    <col min="3854" max="3854" width="6.25" style="2895" customWidth="1"/>
    <col min="3855" max="3855" width="62.25" style="2895" customWidth="1"/>
    <col min="3856" max="3856" width="7.875" style="2895" customWidth="1"/>
    <col min="3857" max="4098" width="9" style="2895"/>
    <col min="4099" max="4099" width="73.125" style="2895" customWidth="1"/>
    <col min="4100" max="4100" width="6.25" style="2895" customWidth="1"/>
    <col min="4101" max="4103" width="13.875" style="2895" customWidth="1"/>
    <col min="4104" max="4104" width="131.625" style="2895" customWidth="1"/>
    <col min="4105" max="4105" width="7.875" style="2895" customWidth="1"/>
    <col min="4106" max="4106" width="9" style="2895" customWidth="1"/>
    <col min="4107" max="4108" width="10.625" style="2895" customWidth="1"/>
    <col min="4109" max="4109" width="14.375" style="2895" customWidth="1"/>
    <col min="4110" max="4110" width="6.25" style="2895" customWidth="1"/>
    <col min="4111" max="4111" width="62.25" style="2895" customWidth="1"/>
    <col min="4112" max="4112" width="7.875" style="2895" customWidth="1"/>
    <col min="4113" max="4354" width="9" style="2895"/>
    <col min="4355" max="4355" width="73.125" style="2895" customWidth="1"/>
    <col min="4356" max="4356" width="6.25" style="2895" customWidth="1"/>
    <col min="4357" max="4359" width="13.875" style="2895" customWidth="1"/>
    <col min="4360" max="4360" width="131.625" style="2895" customWidth="1"/>
    <col min="4361" max="4361" width="7.875" style="2895" customWidth="1"/>
    <col min="4362" max="4362" width="9" style="2895" customWidth="1"/>
    <col min="4363" max="4364" width="10.625" style="2895" customWidth="1"/>
    <col min="4365" max="4365" width="14.375" style="2895" customWidth="1"/>
    <col min="4366" max="4366" width="6.25" style="2895" customWidth="1"/>
    <col min="4367" max="4367" width="62.25" style="2895" customWidth="1"/>
    <col min="4368" max="4368" width="7.875" style="2895" customWidth="1"/>
    <col min="4369" max="4610" width="9" style="2895"/>
    <col min="4611" max="4611" width="73.125" style="2895" customWidth="1"/>
    <col min="4612" max="4612" width="6.25" style="2895" customWidth="1"/>
    <col min="4613" max="4615" width="13.875" style="2895" customWidth="1"/>
    <col min="4616" max="4616" width="131.625" style="2895" customWidth="1"/>
    <col min="4617" max="4617" width="7.875" style="2895" customWidth="1"/>
    <col min="4618" max="4618" width="9" style="2895" customWidth="1"/>
    <col min="4619" max="4620" width="10.625" style="2895" customWidth="1"/>
    <col min="4621" max="4621" width="14.375" style="2895" customWidth="1"/>
    <col min="4622" max="4622" width="6.25" style="2895" customWidth="1"/>
    <col min="4623" max="4623" width="62.25" style="2895" customWidth="1"/>
    <col min="4624" max="4624" width="7.875" style="2895" customWidth="1"/>
    <col min="4625" max="4866" width="9" style="2895"/>
    <col min="4867" max="4867" width="73.125" style="2895" customWidth="1"/>
    <col min="4868" max="4868" width="6.25" style="2895" customWidth="1"/>
    <col min="4869" max="4871" width="13.875" style="2895" customWidth="1"/>
    <col min="4872" max="4872" width="131.625" style="2895" customWidth="1"/>
    <col min="4873" max="4873" width="7.875" style="2895" customWidth="1"/>
    <col min="4874" max="4874" width="9" style="2895" customWidth="1"/>
    <col min="4875" max="4876" width="10.625" style="2895" customWidth="1"/>
    <col min="4877" max="4877" width="14.375" style="2895" customWidth="1"/>
    <col min="4878" max="4878" width="6.25" style="2895" customWidth="1"/>
    <col min="4879" max="4879" width="62.25" style="2895" customWidth="1"/>
    <col min="4880" max="4880" width="7.875" style="2895" customWidth="1"/>
    <col min="4881" max="5122" width="9" style="2895"/>
    <col min="5123" max="5123" width="73.125" style="2895" customWidth="1"/>
    <col min="5124" max="5124" width="6.25" style="2895" customWidth="1"/>
    <col min="5125" max="5127" width="13.875" style="2895" customWidth="1"/>
    <col min="5128" max="5128" width="131.625" style="2895" customWidth="1"/>
    <col min="5129" max="5129" width="7.875" style="2895" customWidth="1"/>
    <col min="5130" max="5130" width="9" style="2895" customWidth="1"/>
    <col min="5131" max="5132" width="10.625" style="2895" customWidth="1"/>
    <col min="5133" max="5133" width="14.375" style="2895" customWidth="1"/>
    <col min="5134" max="5134" width="6.25" style="2895" customWidth="1"/>
    <col min="5135" max="5135" width="62.25" style="2895" customWidth="1"/>
    <col min="5136" max="5136" width="7.875" style="2895" customWidth="1"/>
    <col min="5137" max="5378" width="9" style="2895"/>
    <col min="5379" max="5379" width="73.125" style="2895" customWidth="1"/>
    <col min="5380" max="5380" width="6.25" style="2895" customWidth="1"/>
    <col min="5381" max="5383" width="13.875" style="2895" customWidth="1"/>
    <col min="5384" max="5384" width="131.625" style="2895" customWidth="1"/>
    <col min="5385" max="5385" width="7.875" style="2895" customWidth="1"/>
    <col min="5386" max="5386" width="9" style="2895" customWidth="1"/>
    <col min="5387" max="5388" width="10.625" style="2895" customWidth="1"/>
    <col min="5389" max="5389" width="14.375" style="2895" customWidth="1"/>
    <col min="5390" max="5390" width="6.25" style="2895" customWidth="1"/>
    <col min="5391" max="5391" width="62.25" style="2895" customWidth="1"/>
    <col min="5392" max="5392" width="7.875" style="2895" customWidth="1"/>
    <col min="5393" max="5634" width="9" style="2895"/>
    <col min="5635" max="5635" width="73.125" style="2895" customWidth="1"/>
    <col min="5636" max="5636" width="6.25" style="2895" customWidth="1"/>
    <col min="5637" max="5639" width="13.875" style="2895" customWidth="1"/>
    <col min="5640" max="5640" width="131.625" style="2895" customWidth="1"/>
    <col min="5641" max="5641" width="7.875" style="2895" customWidth="1"/>
    <col min="5642" max="5642" width="9" style="2895" customWidth="1"/>
    <col min="5643" max="5644" width="10.625" style="2895" customWidth="1"/>
    <col min="5645" max="5645" width="14.375" style="2895" customWidth="1"/>
    <col min="5646" max="5646" width="6.25" style="2895" customWidth="1"/>
    <col min="5647" max="5647" width="62.25" style="2895" customWidth="1"/>
    <col min="5648" max="5648" width="7.875" style="2895" customWidth="1"/>
    <col min="5649" max="5890" width="9" style="2895"/>
    <col min="5891" max="5891" width="73.125" style="2895" customWidth="1"/>
    <col min="5892" max="5892" width="6.25" style="2895" customWidth="1"/>
    <col min="5893" max="5895" width="13.875" style="2895" customWidth="1"/>
    <col min="5896" max="5896" width="131.625" style="2895" customWidth="1"/>
    <col min="5897" max="5897" width="7.875" style="2895" customWidth="1"/>
    <col min="5898" max="5898" width="9" style="2895" customWidth="1"/>
    <col min="5899" max="5900" width="10.625" style="2895" customWidth="1"/>
    <col min="5901" max="5901" width="14.375" style="2895" customWidth="1"/>
    <col min="5902" max="5902" width="6.25" style="2895" customWidth="1"/>
    <col min="5903" max="5903" width="62.25" style="2895" customWidth="1"/>
    <col min="5904" max="5904" width="7.875" style="2895" customWidth="1"/>
    <col min="5905" max="6146" width="9" style="2895"/>
    <col min="6147" max="6147" width="73.125" style="2895" customWidth="1"/>
    <col min="6148" max="6148" width="6.25" style="2895" customWidth="1"/>
    <col min="6149" max="6151" width="13.875" style="2895" customWidth="1"/>
    <col min="6152" max="6152" width="131.625" style="2895" customWidth="1"/>
    <col min="6153" max="6153" width="7.875" style="2895" customWidth="1"/>
    <col min="6154" max="6154" width="9" style="2895" customWidth="1"/>
    <col min="6155" max="6156" width="10.625" style="2895" customWidth="1"/>
    <col min="6157" max="6157" width="14.375" style="2895" customWidth="1"/>
    <col min="6158" max="6158" width="6.25" style="2895" customWidth="1"/>
    <col min="6159" max="6159" width="62.25" style="2895" customWidth="1"/>
    <col min="6160" max="6160" width="7.875" style="2895" customWidth="1"/>
    <col min="6161" max="6402" width="9" style="2895"/>
    <col min="6403" max="6403" width="73.125" style="2895" customWidth="1"/>
    <col min="6404" max="6404" width="6.25" style="2895" customWidth="1"/>
    <col min="6405" max="6407" width="13.875" style="2895" customWidth="1"/>
    <col min="6408" max="6408" width="131.625" style="2895" customWidth="1"/>
    <col min="6409" max="6409" width="7.875" style="2895" customWidth="1"/>
    <col min="6410" max="6410" width="9" style="2895" customWidth="1"/>
    <col min="6411" max="6412" width="10.625" style="2895" customWidth="1"/>
    <col min="6413" max="6413" width="14.375" style="2895" customWidth="1"/>
    <col min="6414" max="6414" width="6.25" style="2895" customWidth="1"/>
    <col min="6415" max="6415" width="62.25" style="2895" customWidth="1"/>
    <col min="6416" max="6416" width="7.875" style="2895" customWidth="1"/>
    <col min="6417" max="6658" width="9" style="2895"/>
    <col min="6659" max="6659" width="73.125" style="2895" customWidth="1"/>
    <col min="6660" max="6660" width="6.25" style="2895" customWidth="1"/>
    <col min="6661" max="6663" width="13.875" style="2895" customWidth="1"/>
    <col min="6664" max="6664" width="131.625" style="2895" customWidth="1"/>
    <col min="6665" max="6665" width="7.875" style="2895" customWidth="1"/>
    <col min="6666" max="6666" width="9" style="2895" customWidth="1"/>
    <col min="6667" max="6668" width="10.625" style="2895" customWidth="1"/>
    <col min="6669" max="6669" width="14.375" style="2895" customWidth="1"/>
    <col min="6670" max="6670" width="6.25" style="2895" customWidth="1"/>
    <col min="6671" max="6671" width="62.25" style="2895" customWidth="1"/>
    <col min="6672" max="6672" width="7.875" style="2895" customWidth="1"/>
    <col min="6673" max="6914" width="9" style="2895"/>
    <col min="6915" max="6915" width="73.125" style="2895" customWidth="1"/>
    <col min="6916" max="6916" width="6.25" style="2895" customWidth="1"/>
    <col min="6917" max="6919" width="13.875" style="2895" customWidth="1"/>
    <col min="6920" max="6920" width="131.625" style="2895" customWidth="1"/>
    <col min="6921" max="6921" width="7.875" style="2895" customWidth="1"/>
    <col min="6922" max="6922" width="9" style="2895" customWidth="1"/>
    <col min="6923" max="6924" width="10.625" style="2895" customWidth="1"/>
    <col min="6925" max="6925" width="14.375" style="2895" customWidth="1"/>
    <col min="6926" max="6926" width="6.25" style="2895" customWidth="1"/>
    <col min="6927" max="6927" width="62.25" style="2895" customWidth="1"/>
    <col min="6928" max="6928" width="7.875" style="2895" customWidth="1"/>
    <col min="6929" max="7170" width="9" style="2895"/>
    <col min="7171" max="7171" width="73.125" style="2895" customWidth="1"/>
    <col min="7172" max="7172" width="6.25" style="2895" customWidth="1"/>
    <col min="7173" max="7175" width="13.875" style="2895" customWidth="1"/>
    <col min="7176" max="7176" width="131.625" style="2895" customWidth="1"/>
    <col min="7177" max="7177" width="7.875" style="2895" customWidth="1"/>
    <col min="7178" max="7178" width="9" style="2895" customWidth="1"/>
    <col min="7179" max="7180" width="10.625" style="2895" customWidth="1"/>
    <col min="7181" max="7181" width="14.375" style="2895" customWidth="1"/>
    <col min="7182" max="7182" width="6.25" style="2895" customWidth="1"/>
    <col min="7183" max="7183" width="62.25" style="2895" customWidth="1"/>
    <col min="7184" max="7184" width="7.875" style="2895" customWidth="1"/>
    <col min="7185" max="7426" width="9" style="2895"/>
    <col min="7427" max="7427" width="73.125" style="2895" customWidth="1"/>
    <col min="7428" max="7428" width="6.25" style="2895" customWidth="1"/>
    <col min="7429" max="7431" width="13.875" style="2895" customWidth="1"/>
    <col min="7432" max="7432" width="131.625" style="2895" customWidth="1"/>
    <col min="7433" max="7433" width="7.875" style="2895" customWidth="1"/>
    <col min="7434" max="7434" width="9" style="2895" customWidth="1"/>
    <col min="7435" max="7436" width="10.625" style="2895" customWidth="1"/>
    <col min="7437" max="7437" width="14.375" style="2895" customWidth="1"/>
    <col min="7438" max="7438" width="6.25" style="2895" customWidth="1"/>
    <col min="7439" max="7439" width="62.25" style="2895" customWidth="1"/>
    <col min="7440" max="7440" width="7.875" style="2895" customWidth="1"/>
    <col min="7441" max="7682" width="9" style="2895"/>
    <col min="7683" max="7683" width="73.125" style="2895" customWidth="1"/>
    <col min="7684" max="7684" width="6.25" style="2895" customWidth="1"/>
    <col min="7685" max="7687" width="13.875" style="2895" customWidth="1"/>
    <col min="7688" max="7688" width="131.625" style="2895" customWidth="1"/>
    <col min="7689" max="7689" width="7.875" style="2895" customWidth="1"/>
    <col min="7690" max="7690" width="9" style="2895" customWidth="1"/>
    <col min="7691" max="7692" width="10.625" style="2895" customWidth="1"/>
    <col min="7693" max="7693" width="14.375" style="2895" customWidth="1"/>
    <col min="7694" max="7694" width="6.25" style="2895" customWidth="1"/>
    <col min="7695" max="7695" width="62.25" style="2895" customWidth="1"/>
    <col min="7696" max="7696" width="7.875" style="2895" customWidth="1"/>
    <col min="7697" max="7938" width="9" style="2895"/>
    <col min="7939" max="7939" width="73.125" style="2895" customWidth="1"/>
    <col min="7940" max="7940" width="6.25" style="2895" customWidth="1"/>
    <col min="7941" max="7943" width="13.875" style="2895" customWidth="1"/>
    <col min="7944" max="7944" width="131.625" style="2895" customWidth="1"/>
    <col min="7945" max="7945" width="7.875" style="2895" customWidth="1"/>
    <col min="7946" max="7946" width="9" style="2895" customWidth="1"/>
    <col min="7947" max="7948" width="10.625" style="2895" customWidth="1"/>
    <col min="7949" max="7949" width="14.375" style="2895" customWidth="1"/>
    <col min="7950" max="7950" width="6.25" style="2895" customWidth="1"/>
    <col min="7951" max="7951" width="62.25" style="2895" customWidth="1"/>
    <col min="7952" max="7952" width="7.875" style="2895" customWidth="1"/>
    <col min="7953" max="8194" width="9" style="2895"/>
    <col min="8195" max="8195" width="73.125" style="2895" customWidth="1"/>
    <col min="8196" max="8196" width="6.25" style="2895" customWidth="1"/>
    <col min="8197" max="8199" width="13.875" style="2895" customWidth="1"/>
    <col min="8200" max="8200" width="131.625" style="2895" customWidth="1"/>
    <col min="8201" max="8201" width="7.875" style="2895" customWidth="1"/>
    <col min="8202" max="8202" width="9" style="2895" customWidth="1"/>
    <col min="8203" max="8204" width="10.625" style="2895" customWidth="1"/>
    <col min="8205" max="8205" width="14.375" style="2895" customWidth="1"/>
    <col min="8206" max="8206" width="6.25" style="2895" customWidth="1"/>
    <col min="8207" max="8207" width="62.25" style="2895" customWidth="1"/>
    <col min="8208" max="8208" width="7.875" style="2895" customWidth="1"/>
    <col min="8209" max="8450" width="9" style="2895"/>
    <col min="8451" max="8451" width="73.125" style="2895" customWidth="1"/>
    <col min="8452" max="8452" width="6.25" style="2895" customWidth="1"/>
    <col min="8453" max="8455" width="13.875" style="2895" customWidth="1"/>
    <col min="8456" max="8456" width="131.625" style="2895" customWidth="1"/>
    <col min="8457" max="8457" width="7.875" style="2895" customWidth="1"/>
    <col min="8458" max="8458" width="9" style="2895" customWidth="1"/>
    <col min="8459" max="8460" width="10.625" style="2895" customWidth="1"/>
    <col min="8461" max="8461" width="14.375" style="2895" customWidth="1"/>
    <col min="8462" max="8462" width="6.25" style="2895" customWidth="1"/>
    <col min="8463" max="8463" width="62.25" style="2895" customWidth="1"/>
    <col min="8464" max="8464" width="7.875" style="2895" customWidth="1"/>
    <col min="8465" max="8706" width="9" style="2895"/>
    <col min="8707" max="8707" width="73.125" style="2895" customWidth="1"/>
    <col min="8708" max="8708" width="6.25" style="2895" customWidth="1"/>
    <col min="8709" max="8711" width="13.875" style="2895" customWidth="1"/>
    <col min="8712" max="8712" width="131.625" style="2895" customWidth="1"/>
    <col min="8713" max="8713" width="7.875" style="2895" customWidth="1"/>
    <col min="8714" max="8714" width="9" style="2895" customWidth="1"/>
    <col min="8715" max="8716" width="10.625" style="2895" customWidth="1"/>
    <col min="8717" max="8717" width="14.375" style="2895" customWidth="1"/>
    <col min="8718" max="8718" width="6.25" style="2895" customWidth="1"/>
    <col min="8719" max="8719" width="62.25" style="2895" customWidth="1"/>
    <col min="8720" max="8720" width="7.875" style="2895" customWidth="1"/>
    <col min="8721" max="8962" width="9" style="2895"/>
    <col min="8963" max="8963" width="73.125" style="2895" customWidth="1"/>
    <col min="8964" max="8964" width="6.25" style="2895" customWidth="1"/>
    <col min="8965" max="8967" width="13.875" style="2895" customWidth="1"/>
    <col min="8968" max="8968" width="131.625" style="2895" customWidth="1"/>
    <col min="8969" max="8969" width="7.875" style="2895" customWidth="1"/>
    <col min="8970" max="8970" width="9" style="2895" customWidth="1"/>
    <col min="8971" max="8972" width="10.625" style="2895" customWidth="1"/>
    <col min="8973" max="8973" width="14.375" style="2895" customWidth="1"/>
    <col min="8974" max="8974" width="6.25" style="2895" customWidth="1"/>
    <col min="8975" max="8975" width="62.25" style="2895" customWidth="1"/>
    <col min="8976" max="8976" width="7.875" style="2895" customWidth="1"/>
    <col min="8977" max="9218" width="9" style="2895"/>
    <col min="9219" max="9219" width="73.125" style="2895" customWidth="1"/>
    <col min="9220" max="9220" width="6.25" style="2895" customWidth="1"/>
    <col min="9221" max="9223" width="13.875" style="2895" customWidth="1"/>
    <col min="9224" max="9224" width="131.625" style="2895" customWidth="1"/>
    <col min="9225" max="9225" width="7.875" style="2895" customWidth="1"/>
    <col min="9226" max="9226" width="9" style="2895" customWidth="1"/>
    <col min="9227" max="9228" width="10.625" style="2895" customWidth="1"/>
    <col min="9229" max="9229" width="14.375" style="2895" customWidth="1"/>
    <col min="9230" max="9230" width="6.25" style="2895" customWidth="1"/>
    <col min="9231" max="9231" width="62.25" style="2895" customWidth="1"/>
    <col min="9232" max="9232" width="7.875" style="2895" customWidth="1"/>
    <col min="9233" max="9474" width="9" style="2895"/>
    <col min="9475" max="9475" width="73.125" style="2895" customWidth="1"/>
    <col min="9476" max="9476" width="6.25" style="2895" customWidth="1"/>
    <col min="9477" max="9479" width="13.875" style="2895" customWidth="1"/>
    <col min="9480" max="9480" width="131.625" style="2895" customWidth="1"/>
    <col min="9481" max="9481" width="7.875" style="2895" customWidth="1"/>
    <col min="9482" max="9482" width="9" style="2895" customWidth="1"/>
    <col min="9483" max="9484" width="10.625" style="2895" customWidth="1"/>
    <col min="9485" max="9485" width="14.375" style="2895" customWidth="1"/>
    <col min="9486" max="9486" width="6.25" style="2895" customWidth="1"/>
    <col min="9487" max="9487" width="62.25" style="2895" customWidth="1"/>
    <col min="9488" max="9488" width="7.875" style="2895" customWidth="1"/>
    <col min="9489" max="9730" width="9" style="2895"/>
    <col min="9731" max="9731" width="73.125" style="2895" customWidth="1"/>
    <col min="9732" max="9732" width="6.25" style="2895" customWidth="1"/>
    <col min="9733" max="9735" width="13.875" style="2895" customWidth="1"/>
    <col min="9736" max="9736" width="131.625" style="2895" customWidth="1"/>
    <col min="9737" max="9737" width="7.875" style="2895" customWidth="1"/>
    <col min="9738" max="9738" width="9" style="2895" customWidth="1"/>
    <col min="9739" max="9740" width="10.625" style="2895" customWidth="1"/>
    <col min="9741" max="9741" width="14.375" style="2895" customWidth="1"/>
    <col min="9742" max="9742" width="6.25" style="2895" customWidth="1"/>
    <col min="9743" max="9743" width="62.25" style="2895" customWidth="1"/>
    <col min="9744" max="9744" width="7.875" style="2895" customWidth="1"/>
    <col min="9745" max="9986" width="9" style="2895"/>
    <col min="9987" max="9987" width="73.125" style="2895" customWidth="1"/>
    <col min="9988" max="9988" width="6.25" style="2895" customWidth="1"/>
    <col min="9989" max="9991" width="13.875" style="2895" customWidth="1"/>
    <col min="9992" max="9992" width="131.625" style="2895" customWidth="1"/>
    <col min="9993" max="9993" width="7.875" style="2895" customWidth="1"/>
    <col min="9994" max="9994" width="9" style="2895" customWidth="1"/>
    <col min="9995" max="9996" width="10.625" style="2895" customWidth="1"/>
    <col min="9997" max="9997" width="14.375" style="2895" customWidth="1"/>
    <col min="9998" max="9998" width="6.25" style="2895" customWidth="1"/>
    <col min="9999" max="9999" width="62.25" style="2895" customWidth="1"/>
    <col min="10000" max="10000" width="7.875" style="2895" customWidth="1"/>
    <col min="10001" max="10242" width="9" style="2895"/>
    <col min="10243" max="10243" width="73.125" style="2895" customWidth="1"/>
    <col min="10244" max="10244" width="6.25" style="2895" customWidth="1"/>
    <col min="10245" max="10247" width="13.875" style="2895" customWidth="1"/>
    <col min="10248" max="10248" width="131.625" style="2895" customWidth="1"/>
    <col min="10249" max="10249" width="7.875" style="2895" customWidth="1"/>
    <col min="10250" max="10250" width="9" style="2895" customWidth="1"/>
    <col min="10251" max="10252" width="10.625" style="2895" customWidth="1"/>
    <col min="10253" max="10253" width="14.375" style="2895" customWidth="1"/>
    <col min="10254" max="10254" width="6.25" style="2895" customWidth="1"/>
    <col min="10255" max="10255" width="62.25" style="2895" customWidth="1"/>
    <col min="10256" max="10256" width="7.875" style="2895" customWidth="1"/>
    <col min="10257" max="10498" width="9" style="2895"/>
    <col min="10499" max="10499" width="73.125" style="2895" customWidth="1"/>
    <col min="10500" max="10500" width="6.25" style="2895" customWidth="1"/>
    <col min="10501" max="10503" width="13.875" style="2895" customWidth="1"/>
    <col min="10504" max="10504" width="131.625" style="2895" customWidth="1"/>
    <col min="10505" max="10505" width="7.875" style="2895" customWidth="1"/>
    <col min="10506" max="10506" width="9" style="2895" customWidth="1"/>
    <col min="10507" max="10508" width="10.625" style="2895" customWidth="1"/>
    <col min="10509" max="10509" width="14.375" style="2895" customWidth="1"/>
    <col min="10510" max="10510" width="6.25" style="2895" customWidth="1"/>
    <col min="10511" max="10511" width="62.25" style="2895" customWidth="1"/>
    <col min="10512" max="10512" width="7.875" style="2895" customWidth="1"/>
    <col min="10513" max="10754" width="9" style="2895"/>
    <col min="10755" max="10755" width="73.125" style="2895" customWidth="1"/>
    <col min="10756" max="10756" width="6.25" style="2895" customWidth="1"/>
    <col min="10757" max="10759" width="13.875" style="2895" customWidth="1"/>
    <col min="10760" max="10760" width="131.625" style="2895" customWidth="1"/>
    <col min="10761" max="10761" width="7.875" style="2895" customWidth="1"/>
    <col min="10762" max="10762" width="9" style="2895" customWidth="1"/>
    <col min="10763" max="10764" width="10.625" style="2895" customWidth="1"/>
    <col min="10765" max="10765" width="14.375" style="2895" customWidth="1"/>
    <col min="10766" max="10766" width="6.25" style="2895" customWidth="1"/>
    <col min="10767" max="10767" width="62.25" style="2895" customWidth="1"/>
    <col min="10768" max="10768" width="7.875" style="2895" customWidth="1"/>
    <col min="10769" max="11010" width="9" style="2895"/>
    <col min="11011" max="11011" width="73.125" style="2895" customWidth="1"/>
    <col min="11012" max="11012" width="6.25" style="2895" customWidth="1"/>
    <col min="11013" max="11015" width="13.875" style="2895" customWidth="1"/>
    <col min="11016" max="11016" width="131.625" style="2895" customWidth="1"/>
    <col min="11017" max="11017" width="7.875" style="2895" customWidth="1"/>
    <col min="11018" max="11018" width="9" style="2895" customWidth="1"/>
    <col min="11019" max="11020" width="10.625" style="2895" customWidth="1"/>
    <col min="11021" max="11021" width="14.375" style="2895" customWidth="1"/>
    <col min="11022" max="11022" width="6.25" style="2895" customWidth="1"/>
    <col min="11023" max="11023" width="62.25" style="2895" customWidth="1"/>
    <col min="11024" max="11024" width="7.875" style="2895" customWidth="1"/>
    <col min="11025" max="11266" width="9" style="2895"/>
    <col min="11267" max="11267" width="73.125" style="2895" customWidth="1"/>
    <col min="11268" max="11268" width="6.25" style="2895" customWidth="1"/>
    <col min="11269" max="11271" width="13.875" style="2895" customWidth="1"/>
    <col min="11272" max="11272" width="131.625" style="2895" customWidth="1"/>
    <col min="11273" max="11273" width="7.875" style="2895" customWidth="1"/>
    <col min="11274" max="11274" width="9" style="2895" customWidth="1"/>
    <col min="11275" max="11276" width="10.625" style="2895" customWidth="1"/>
    <col min="11277" max="11277" width="14.375" style="2895" customWidth="1"/>
    <col min="11278" max="11278" width="6.25" style="2895" customWidth="1"/>
    <col min="11279" max="11279" width="62.25" style="2895" customWidth="1"/>
    <col min="11280" max="11280" width="7.875" style="2895" customWidth="1"/>
    <col min="11281" max="11522" width="9" style="2895"/>
    <col min="11523" max="11523" width="73.125" style="2895" customWidth="1"/>
    <col min="11524" max="11524" width="6.25" style="2895" customWidth="1"/>
    <col min="11525" max="11527" width="13.875" style="2895" customWidth="1"/>
    <col min="11528" max="11528" width="131.625" style="2895" customWidth="1"/>
    <col min="11529" max="11529" width="7.875" style="2895" customWidth="1"/>
    <col min="11530" max="11530" width="9" style="2895" customWidth="1"/>
    <col min="11531" max="11532" width="10.625" style="2895" customWidth="1"/>
    <col min="11533" max="11533" width="14.375" style="2895" customWidth="1"/>
    <col min="11534" max="11534" width="6.25" style="2895" customWidth="1"/>
    <col min="11535" max="11535" width="62.25" style="2895" customWidth="1"/>
    <col min="11536" max="11536" width="7.875" style="2895" customWidth="1"/>
    <col min="11537" max="11778" width="9" style="2895"/>
    <col min="11779" max="11779" width="73.125" style="2895" customWidth="1"/>
    <col min="11780" max="11780" width="6.25" style="2895" customWidth="1"/>
    <col min="11781" max="11783" width="13.875" style="2895" customWidth="1"/>
    <col min="11784" max="11784" width="131.625" style="2895" customWidth="1"/>
    <col min="11785" max="11785" width="7.875" style="2895" customWidth="1"/>
    <col min="11786" max="11786" width="9" style="2895" customWidth="1"/>
    <col min="11787" max="11788" width="10.625" style="2895" customWidth="1"/>
    <col min="11789" max="11789" width="14.375" style="2895" customWidth="1"/>
    <col min="11790" max="11790" width="6.25" style="2895" customWidth="1"/>
    <col min="11791" max="11791" width="62.25" style="2895" customWidth="1"/>
    <col min="11792" max="11792" width="7.875" style="2895" customWidth="1"/>
    <col min="11793" max="12034" width="9" style="2895"/>
    <col min="12035" max="12035" width="73.125" style="2895" customWidth="1"/>
    <col min="12036" max="12036" width="6.25" style="2895" customWidth="1"/>
    <col min="12037" max="12039" width="13.875" style="2895" customWidth="1"/>
    <col min="12040" max="12040" width="131.625" style="2895" customWidth="1"/>
    <col min="12041" max="12041" width="7.875" style="2895" customWidth="1"/>
    <col min="12042" max="12042" width="9" style="2895" customWidth="1"/>
    <col min="12043" max="12044" width="10.625" style="2895" customWidth="1"/>
    <col min="12045" max="12045" width="14.375" style="2895" customWidth="1"/>
    <col min="12046" max="12046" width="6.25" style="2895" customWidth="1"/>
    <col min="12047" max="12047" width="62.25" style="2895" customWidth="1"/>
    <col min="12048" max="12048" width="7.875" style="2895" customWidth="1"/>
    <col min="12049" max="12290" width="9" style="2895"/>
    <col min="12291" max="12291" width="73.125" style="2895" customWidth="1"/>
    <col min="12292" max="12292" width="6.25" style="2895" customWidth="1"/>
    <col min="12293" max="12295" width="13.875" style="2895" customWidth="1"/>
    <col min="12296" max="12296" width="131.625" style="2895" customWidth="1"/>
    <col min="12297" max="12297" width="7.875" style="2895" customWidth="1"/>
    <col min="12298" max="12298" width="9" style="2895" customWidth="1"/>
    <col min="12299" max="12300" width="10.625" style="2895" customWidth="1"/>
    <col min="12301" max="12301" width="14.375" style="2895" customWidth="1"/>
    <col min="12302" max="12302" width="6.25" style="2895" customWidth="1"/>
    <col min="12303" max="12303" width="62.25" style="2895" customWidth="1"/>
    <col min="12304" max="12304" width="7.875" style="2895" customWidth="1"/>
    <col min="12305" max="12546" width="9" style="2895"/>
    <col min="12547" max="12547" width="73.125" style="2895" customWidth="1"/>
    <col min="12548" max="12548" width="6.25" style="2895" customWidth="1"/>
    <col min="12549" max="12551" width="13.875" style="2895" customWidth="1"/>
    <col min="12552" max="12552" width="131.625" style="2895" customWidth="1"/>
    <col min="12553" max="12553" width="7.875" style="2895" customWidth="1"/>
    <col min="12554" max="12554" width="9" style="2895" customWidth="1"/>
    <col min="12555" max="12556" width="10.625" style="2895" customWidth="1"/>
    <col min="12557" max="12557" width="14.375" style="2895" customWidth="1"/>
    <col min="12558" max="12558" width="6.25" style="2895" customWidth="1"/>
    <col min="12559" max="12559" width="62.25" style="2895" customWidth="1"/>
    <col min="12560" max="12560" width="7.875" style="2895" customWidth="1"/>
    <col min="12561" max="12802" width="9" style="2895"/>
    <col min="12803" max="12803" width="73.125" style="2895" customWidth="1"/>
    <col min="12804" max="12804" width="6.25" style="2895" customWidth="1"/>
    <col min="12805" max="12807" width="13.875" style="2895" customWidth="1"/>
    <col min="12808" max="12808" width="131.625" style="2895" customWidth="1"/>
    <col min="12809" max="12809" width="7.875" style="2895" customWidth="1"/>
    <col min="12810" max="12810" width="9" style="2895" customWidth="1"/>
    <col min="12811" max="12812" width="10.625" style="2895" customWidth="1"/>
    <col min="12813" max="12813" width="14.375" style="2895" customWidth="1"/>
    <col min="12814" max="12814" width="6.25" style="2895" customWidth="1"/>
    <col min="12815" max="12815" width="62.25" style="2895" customWidth="1"/>
    <col min="12816" max="12816" width="7.875" style="2895" customWidth="1"/>
    <col min="12817" max="13058" width="9" style="2895"/>
    <col min="13059" max="13059" width="73.125" style="2895" customWidth="1"/>
    <col min="13060" max="13060" width="6.25" style="2895" customWidth="1"/>
    <col min="13061" max="13063" width="13.875" style="2895" customWidth="1"/>
    <col min="13064" max="13064" width="131.625" style="2895" customWidth="1"/>
    <col min="13065" max="13065" width="7.875" style="2895" customWidth="1"/>
    <col min="13066" max="13066" width="9" style="2895" customWidth="1"/>
    <col min="13067" max="13068" width="10.625" style="2895" customWidth="1"/>
    <col min="13069" max="13069" width="14.375" style="2895" customWidth="1"/>
    <col min="13070" max="13070" width="6.25" style="2895" customWidth="1"/>
    <col min="13071" max="13071" width="62.25" style="2895" customWidth="1"/>
    <col min="13072" max="13072" width="7.875" style="2895" customWidth="1"/>
    <col min="13073" max="13314" width="9" style="2895"/>
    <col min="13315" max="13315" width="73.125" style="2895" customWidth="1"/>
    <col min="13316" max="13316" width="6.25" style="2895" customWidth="1"/>
    <col min="13317" max="13319" width="13.875" style="2895" customWidth="1"/>
    <col min="13320" max="13320" width="131.625" style="2895" customWidth="1"/>
    <col min="13321" max="13321" width="7.875" style="2895" customWidth="1"/>
    <col min="13322" max="13322" width="9" style="2895" customWidth="1"/>
    <col min="13323" max="13324" width="10.625" style="2895" customWidth="1"/>
    <col min="13325" max="13325" width="14.375" style="2895" customWidth="1"/>
    <col min="13326" max="13326" width="6.25" style="2895" customWidth="1"/>
    <col min="13327" max="13327" width="62.25" style="2895" customWidth="1"/>
    <col min="13328" max="13328" width="7.875" style="2895" customWidth="1"/>
    <col min="13329" max="13570" width="9" style="2895"/>
    <col min="13571" max="13571" width="73.125" style="2895" customWidth="1"/>
    <col min="13572" max="13572" width="6.25" style="2895" customWidth="1"/>
    <col min="13573" max="13575" width="13.875" style="2895" customWidth="1"/>
    <col min="13576" max="13576" width="131.625" style="2895" customWidth="1"/>
    <col min="13577" max="13577" width="7.875" style="2895" customWidth="1"/>
    <col min="13578" max="13578" width="9" style="2895" customWidth="1"/>
    <col min="13579" max="13580" width="10.625" style="2895" customWidth="1"/>
    <col min="13581" max="13581" width="14.375" style="2895" customWidth="1"/>
    <col min="13582" max="13582" width="6.25" style="2895" customWidth="1"/>
    <col min="13583" max="13583" width="62.25" style="2895" customWidth="1"/>
    <col min="13584" max="13584" width="7.875" style="2895" customWidth="1"/>
    <col min="13585" max="13826" width="9" style="2895"/>
    <col min="13827" max="13827" width="73.125" style="2895" customWidth="1"/>
    <col min="13828" max="13828" width="6.25" style="2895" customWidth="1"/>
    <col min="13829" max="13831" width="13.875" style="2895" customWidth="1"/>
    <col min="13832" max="13832" width="131.625" style="2895" customWidth="1"/>
    <col min="13833" max="13833" width="7.875" style="2895" customWidth="1"/>
    <col min="13834" max="13834" width="9" style="2895" customWidth="1"/>
    <col min="13835" max="13836" width="10.625" style="2895" customWidth="1"/>
    <col min="13837" max="13837" width="14.375" style="2895" customWidth="1"/>
    <col min="13838" max="13838" width="6.25" style="2895" customWidth="1"/>
    <col min="13839" max="13839" width="62.25" style="2895" customWidth="1"/>
    <col min="13840" max="13840" width="7.875" style="2895" customWidth="1"/>
    <col min="13841" max="14082" width="9" style="2895"/>
    <col min="14083" max="14083" width="73.125" style="2895" customWidth="1"/>
    <col min="14084" max="14084" width="6.25" style="2895" customWidth="1"/>
    <col min="14085" max="14087" width="13.875" style="2895" customWidth="1"/>
    <col min="14088" max="14088" width="131.625" style="2895" customWidth="1"/>
    <col min="14089" max="14089" width="7.875" style="2895" customWidth="1"/>
    <col min="14090" max="14090" width="9" style="2895" customWidth="1"/>
    <col min="14091" max="14092" width="10.625" style="2895" customWidth="1"/>
    <col min="14093" max="14093" width="14.375" style="2895" customWidth="1"/>
    <col min="14094" max="14094" width="6.25" style="2895" customWidth="1"/>
    <col min="14095" max="14095" width="62.25" style="2895" customWidth="1"/>
    <col min="14096" max="14096" width="7.875" style="2895" customWidth="1"/>
    <col min="14097" max="14338" width="9" style="2895"/>
    <col min="14339" max="14339" width="73.125" style="2895" customWidth="1"/>
    <col min="14340" max="14340" width="6.25" style="2895" customWidth="1"/>
    <col min="14341" max="14343" width="13.875" style="2895" customWidth="1"/>
    <col min="14344" max="14344" width="131.625" style="2895" customWidth="1"/>
    <col min="14345" max="14345" width="7.875" style="2895" customWidth="1"/>
    <col min="14346" max="14346" width="9" style="2895" customWidth="1"/>
    <col min="14347" max="14348" width="10.625" style="2895" customWidth="1"/>
    <col min="14349" max="14349" width="14.375" style="2895" customWidth="1"/>
    <col min="14350" max="14350" width="6.25" style="2895" customWidth="1"/>
    <col min="14351" max="14351" width="62.25" style="2895" customWidth="1"/>
    <col min="14352" max="14352" width="7.875" style="2895" customWidth="1"/>
    <col min="14353" max="14594" width="9" style="2895"/>
    <col min="14595" max="14595" width="73.125" style="2895" customWidth="1"/>
    <col min="14596" max="14596" width="6.25" style="2895" customWidth="1"/>
    <col min="14597" max="14599" width="13.875" style="2895" customWidth="1"/>
    <col min="14600" max="14600" width="131.625" style="2895" customWidth="1"/>
    <col min="14601" max="14601" width="7.875" style="2895" customWidth="1"/>
    <col min="14602" max="14602" width="9" style="2895" customWidth="1"/>
    <col min="14603" max="14604" width="10.625" style="2895" customWidth="1"/>
    <col min="14605" max="14605" width="14.375" style="2895" customWidth="1"/>
    <col min="14606" max="14606" width="6.25" style="2895" customWidth="1"/>
    <col min="14607" max="14607" width="62.25" style="2895" customWidth="1"/>
    <col min="14608" max="14608" width="7.875" style="2895" customWidth="1"/>
    <col min="14609" max="14850" width="9" style="2895"/>
    <col min="14851" max="14851" width="73.125" style="2895" customWidth="1"/>
    <col min="14852" max="14852" width="6.25" style="2895" customWidth="1"/>
    <col min="14853" max="14855" width="13.875" style="2895" customWidth="1"/>
    <col min="14856" max="14856" width="131.625" style="2895" customWidth="1"/>
    <col min="14857" max="14857" width="7.875" style="2895" customWidth="1"/>
    <col min="14858" max="14858" width="9" style="2895" customWidth="1"/>
    <col min="14859" max="14860" width="10.625" style="2895" customWidth="1"/>
    <col min="14861" max="14861" width="14.375" style="2895" customWidth="1"/>
    <col min="14862" max="14862" width="6.25" style="2895" customWidth="1"/>
    <col min="14863" max="14863" width="62.25" style="2895" customWidth="1"/>
    <col min="14864" max="14864" width="7.875" style="2895" customWidth="1"/>
    <col min="14865" max="15106" width="9" style="2895"/>
    <col min="15107" max="15107" width="73.125" style="2895" customWidth="1"/>
    <col min="15108" max="15108" width="6.25" style="2895" customWidth="1"/>
    <col min="15109" max="15111" width="13.875" style="2895" customWidth="1"/>
    <col min="15112" max="15112" width="131.625" style="2895" customWidth="1"/>
    <col min="15113" max="15113" width="7.875" style="2895" customWidth="1"/>
    <col min="15114" max="15114" width="9" style="2895" customWidth="1"/>
    <col min="15115" max="15116" width="10.625" style="2895" customWidth="1"/>
    <col min="15117" max="15117" width="14.375" style="2895" customWidth="1"/>
    <col min="15118" max="15118" width="6.25" style="2895" customWidth="1"/>
    <col min="15119" max="15119" width="62.25" style="2895" customWidth="1"/>
    <col min="15120" max="15120" width="7.875" style="2895" customWidth="1"/>
    <col min="15121" max="15362" width="9" style="2895"/>
    <col min="15363" max="15363" width="73.125" style="2895" customWidth="1"/>
    <col min="15364" max="15364" width="6.25" style="2895" customWidth="1"/>
    <col min="15365" max="15367" width="13.875" style="2895" customWidth="1"/>
    <col min="15368" max="15368" width="131.625" style="2895" customWidth="1"/>
    <col min="15369" max="15369" width="7.875" style="2895" customWidth="1"/>
    <col min="15370" max="15370" width="9" style="2895" customWidth="1"/>
    <col min="15371" max="15372" width="10.625" style="2895" customWidth="1"/>
    <col min="15373" max="15373" width="14.375" style="2895" customWidth="1"/>
    <col min="15374" max="15374" width="6.25" style="2895" customWidth="1"/>
    <col min="15375" max="15375" width="62.25" style="2895" customWidth="1"/>
    <col min="15376" max="15376" width="7.875" style="2895" customWidth="1"/>
    <col min="15377" max="15618" width="9" style="2895"/>
    <col min="15619" max="15619" width="73.125" style="2895" customWidth="1"/>
    <col min="15620" max="15620" width="6.25" style="2895" customWidth="1"/>
    <col min="15621" max="15623" width="13.875" style="2895" customWidth="1"/>
    <col min="15624" max="15624" width="131.625" style="2895" customWidth="1"/>
    <col min="15625" max="15625" width="7.875" style="2895" customWidth="1"/>
    <col min="15626" max="15626" width="9" style="2895" customWidth="1"/>
    <col min="15627" max="15628" width="10.625" style="2895" customWidth="1"/>
    <col min="15629" max="15629" width="14.375" style="2895" customWidth="1"/>
    <col min="15630" max="15630" width="6.25" style="2895" customWidth="1"/>
    <col min="15631" max="15631" width="62.25" style="2895" customWidth="1"/>
    <col min="15632" max="15632" width="7.875" style="2895" customWidth="1"/>
    <col min="15633" max="15874" width="9" style="2895"/>
    <col min="15875" max="15875" width="73.125" style="2895" customWidth="1"/>
    <col min="15876" max="15876" width="6.25" style="2895" customWidth="1"/>
    <col min="15877" max="15879" width="13.875" style="2895" customWidth="1"/>
    <col min="15880" max="15880" width="131.625" style="2895" customWidth="1"/>
    <col min="15881" max="15881" width="7.875" style="2895" customWidth="1"/>
    <col min="15882" max="15882" width="9" style="2895" customWidth="1"/>
    <col min="15883" max="15884" width="10.625" style="2895" customWidth="1"/>
    <col min="15885" max="15885" width="14.375" style="2895" customWidth="1"/>
    <col min="15886" max="15886" width="6.25" style="2895" customWidth="1"/>
    <col min="15887" max="15887" width="62.25" style="2895" customWidth="1"/>
    <col min="15888" max="15888" width="7.875" style="2895" customWidth="1"/>
    <col min="15889" max="16130" width="9" style="2895"/>
    <col min="16131" max="16131" width="73.125" style="2895" customWidth="1"/>
    <col min="16132" max="16132" width="6.25" style="2895" customWidth="1"/>
    <col min="16133" max="16135" width="13.875" style="2895" customWidth="1"/>
    <col min="16136" max="16136" width="131.625" style="2895" customWidth="1"/>
    <col min="16137" max="16137" width="7.875" style="2895" customWidth="1"/>
    <col min="16138" max="16138" width="9" style="2895" customWidth="1"/>
    <col min="16139" max="16140" width="10.625" style="2895" customWidth="1"/>
    <col min="16141" max="16141" width="14.375" style="2895" customWidth="1"/>
    <col min="16142" max="16142" width="6.25" style="2895" customWidth="1"/>
    <col min="16143" max="16143" width="62.25" style="2895" customWidth="1"/>
    <col min="16144" max="16144" width="7.875" style="2895" customWidth="1"/>
    <col min="16145" max="16384" width="9" style="2895"/>
  </cols>
  <sheetData>
    <row r="1" spans="1:16" s="3186" customFormat="1" ht="27">
      <c r="A1" s="3186" t="s">
        <v>3001</v>
      </c>
      <c r="B1" s="3186" t="s">
        <v>3002</v>
      </c>
      <c r="C1" s="3186" t="s">
        <v>3003</v>
      </c>
      <c r="D1" s="3186" t="s">
        <v>3004</v>
      </c>
      <c r="E1" s="3186" t="s">
        <v>3005</v>
      </c>
      <c r="F1" s="3186" t="s">
        <v>2032</v>
      </c>
      <c r="G1" s="3187" t="s">
        <v>3133</v>
      </c>
      <c r="H1" s="3186" t="s">
        <v>3006</v>
      </c>
      <c r="I1" s="3186" t="s">
        <v>3007</v>
      </c>
      <c r="J1" s="3186" t="s">
        <v>3008</v>
      </c>
      <c r="K1" s="3186" t="s">
        <v>3009</v>
      </c>
      <c r="L1" s="3186" t="s">
        <v>3010</v>
      </c>
      <c r="M1" s="3188" t="s">
        <v>3135</v>
      </c>
      <c r="N1" s="3186" t="s">
        <v>3011</v>
      </c>
      <c r="O1" s="3186" t="s">
        <v>3012</v>
      </c>
      <c r="P1" s="3186" t="s">
        <v>3013</v>
      </c>
    </row>
    <row r="2" spans="1:16" hidden="1">
      <c r="A2" s="2895" t="s">
        <v>3014</v>
      </c>
      <c r="B2" s="2895" t="s">
        <v>3015</v>
      </c>
      <c r="C2" s="2895" t="s">
        <v>3016</v>
      </c>
      <c r="D2" s="2895">
        <v>27937.66</v>
      </c>
      <c r="E2" s="2895">
        <v>55875.33</v>
      </c>
      <c r="F2" s="2895" t="s">
        <v>3017</v>
      </c>
      <c r="G2" s="2895">
        <f>ROUND(E2/D2,2)</f>
        <v>2</v>
      </c>
      <c r="H2" s="2895" t="s">
        <v>3018</v>
      </c>
      <c r="I2" s="2895" t="s">
        <v>3019</v>
      </c>
      <c r="J2" s="2895">
        <v>28244.97</v>
      </c>
      <c r="K2" s="2895">
        <v>28244.97</v>
      </c>
      <c r="L2" s="2895">
        <v>5055</v>
      </c>
      <c r="M2" s="2895">
        <f>ROUND(J2/E2*10000,0)</f>
        <v>5055</v>
      </c>
      <c r="N2" s="2895">
        <v>0</v>
      </c>
      <c r="O2" s="2895" t="s">
        <v>3020</v>
      </c>
      <c r="P2" s="2895" t="s">
        <v>3021</v>
      </c>
    </row>
    <row r="3" spans="1:16" s="3184" customFormat="1">
      <c r="A3" s="3184" t="s">
        <v>3022</v>
      </c>
      <c r="B3" s="3184" t="s">
        <v>3015</v>
      </c>
      <c r="C3" s="3184" t="s">
        <v>3023</v>
      </c>
      <c r="D3" s="3184">
        <v>32994.050000000003</v>
      </c>
      <c r="E3" s="3184">
        <v>65988.100000000006</v>
      </c>
      <c r="F3" s="3184" t="s">
        <v>3024</v>
      </c>
      <c r="G3" s="2895">
        <f t="shared" ref="G3:G33" si="0">ROUND(E3/D3,2)</f>
        <v>2</v>
      </c>
      <c r="H3" s="3184" t="s">
        <v>3018</v>
      </c>
      <c r="I3" s="3184" t="s">
        <v>3025</v>
      </c>
      <c r="J3" s="3184">
        <v>40910.620000000003</v>
      </c>
      <c r="K3" s="3184">
        <v>48171.3</v>
      </c>
      <c r="L3" s="3184">
        <v>7300</v>
      </c>
      <c r="M3" s="2895">
        <f t="shared" ref="M3:M33" si="1">ROUND(J3/E3*10000,0)</f>
        <v>6200</v>
      </c>
      <c r="N3" s="3184">
        <v>17.75</v>
      </c>
      <c r="O3" s="3184" t="s">
        <v>3026</v>
      </c>
      <c r="P3" s="3184" t="s">
        <v>3027</v>
      </c>
    </row>
    <row r="4" spans="1:16" s="3189" customFormat="1" hidden="1">
      <c r="A4" s="3189" t="s">
        <v>3028</v>
      </c>
      <c r="B4" s="3189" t="s">
        <v>3015</v>
      </c>
      <c r="C4" s="3189" t="s">
        <v>3023</v>
      </c>
      <c r="D4" s="3189">
        <v>32214.94</v>
      </c>
      <c r="E4" s="3189">
        <v>64429.88</v>
      </c>
      <c r="F4" s="3189" t="s">
        <v>3029</v>
      </c>
      <c r="G4" s="3189">
        <f t="shared" si="0"/>
        <v>2</v>
      </c>
      <c r="H4" s="3189" t="s">
        <v>3018</v>
      </c>
      <c r="I4" s="3189" t="s">
        <v>3025</v>
      </c>
      <c r="J4" s="3189">
        <v>35436.43</v>
      </c>
      <c r="K4" s="3189">
        <v>54121.09</v>
      </c>
      <c r="L4" s="3189">
        <v>8400</v>
      </c>
      <c r="M4" s="3189">
        <f t="shared" si="1"/>
        <v>5500</v>
      </c>
      <c r="N4" s="3189">
        <v>52.73</v>
      </c>
      <c r="O4" s="3189" t="s">
        <v>3030</v>
      </c>
      <c r="P4" s="3189" t="s">
        <v>3021</v>
      </c>
    </row>
    <row r="5" spans="1:16" hidden="1">
      <c r="A5" s="2895" t="s">
        <v>3031</v>
      </c>
      <c r="B5" s="2895" t="s">
        <v>3015</v>
      </c>
      <c r="C5" s="2895" t="s">
        <v>3016</v>
      </c>
      <c r="D5" s="2895">
        <v>185549.3</v>
      </c>
      <c r="E5" s="2895">
        <v>475711.8</v>
      </c>
      <c r="F5" s="2895" t="s">
        <v>3032</v>
      </c>
      <c r="G5" s="2895">
        <f t="shared" si="0"/>
        <v>2.56</v>
      </c>
      <c r="H5" s="2895" t="s">
        <v>3018</v>
      </c>
      <c r="I5" s="2895" t="s">
        <v>3033</v>
      </c>
      <c r="J5" s="2895">
        <v>30892.400000000001</v>
      </c>
      <c r="K5" s="2895">
        <v>30892.400000000001</v>
      </c>
      <c r="L5" s="2895">
        <v>649.38</v>
      </c>
      <c r="M5" s="2895">
        <f t="shared" si="1"/>
        <v>649</v>
      </c>
      <c r="N5" s="2895">
        <v>0</v>
      </c>
      <c r="O5" s="2895" t="s">
        <v>3034</v>
      </c>
      <c r="P5" s="2895" t="s">
        <v>3027</v>
      </c>
    </row>
    <row r="6" spans="1:16" hidden="1">
      <c r="A6" s="2895" t="s">
        <v>3035</v>
      </c>
      <c r="B6" s="2895" t="s">
        <v>3015</v>
      </c>
      <c r="C6" s="2895" t="s">
        <v>3016</v>
      </c>
      <c r="D6" s="2895">
        <v>62169.78</v>
      </c>
      <c r="E6" s="2895">
        <v>152316</v>
      </c>
      <c r="F6" s="2895" t="s">
        <v>3036</v>
      </c>
      <c r="G6" s="2895">
        <f t="shared" si="0"/>
        <v>2.4500000000000002</v>
      </c>
      <c r="H6" s="2895" t="s">
        <v>3018</v>
      </c>
      <c r="I6" s="2895" t="s">
        <v>3037</v>
      </c>
      <c r="J6" s="2895">
        <v>65495.86</v>
      </c>
      <c r="K6" s="2895">
        <v>94435.91</v>
      </c>
      <c r="L6" s="2895">
        <v>6200</v>
      </c>
      <c r="M6" s="2895">
        <f t="shared" si="1"/>
        <v>4300</v>
      </c>
      <c r="N6" s="2895">
        <v>44.19</v>
      </c>
      <c r="O6" s="2895" t="s">
        <v>3038</v>
      </c>
      <c r="P6" s="2895" t="s">
        <v>3021</v>
      </c>
    </row>
    <row r="7" spans="1:16" hidden="1">
      <c r="A7" s="2895" t="s">
        <v>3039</v>
      </c>
      <c r="B7" s="2895" t="s">
        <v>3015</v>
      </c>
      <c r="C7" s="2895" t="s">
        <v>3023</v>
      </c>
      <c r="D7" s="2895">
        <v>38628.6</v>
      </c>
      <c r="E7" s="2895">
        <v>77257.2</v>
      </c>
      <c r="F7" s="2895" t="s">
        <v>3040</v>
      </c>
      <c r="G7" s="2895">
        <f t="shared" si="0"/>
        <v>2</v>
      </c>
      <c r="H7" s="2895" t="s">
        <v>3018</v>
      </c>
      <c r="I7" s="2895" t="s">
        <v>3041</v>
      </c>
      <c r="J7" s="2895">
        <v>38628.589999999997</v>
      </c>
      <c r="K7" s="2895">
        <v>43264.02</v>
      </c>
      <c r="L7" s="2895">
        <v>5600</v>
      </c>
      <c r="M7" s="2895">
        <f t="shared" si="1"/>
        <v>5000</v>
      </c>
      <c r="N7" s="2895">
        <v>12</v>
      </c>
      <c r="O7" s="2895" t="s">
        <v>3042</v>
      </c>
      <c r="P7" s="2895" t="s">
        <v>3043</v>
      </c>
    </row>
    <row r="8" spans="1:16" hidden="1">
      <c r="A8" s="2895" t="s">
        <v>3044</v>
      </c>
      <c r="B8" s="2895" t="s">
        <v>3015</v>
      </c>
      <c r="C8" s="2895" t="s">
        <v>3023</v>
      </c>
      <c r="D8" s="2895">
        <v>25540.28</v>
      </c>
      <c r="E8" s="2895">
        <v>60470.65</v>
      </c>
      <c r="F8" s="2895" t="s">
        <v>3045</v>
      </c>
      <c r="G8" s="2895">
        <f t="shared" si="0"/>
        <v>2.37</v>
      </c>
      <c r="H8" s="2895" t="s">
        <v>3018</v>
      </c>
      <c r="I8" s="2895" t="s">
        <v>3046</v>
      </c>
      <c r="J8" s="2895">
        <v>49803.55</v>
      </c>
      <c r="K8" s="2895">
        <v>49803.55</v>
      </c>
      <c r="L8" s="2895">
        <v>8235.98</v>
      </c>
      <c r="M8" s="2895">
        <f t="shared" si="1"/>
        <v>8236</v>
      </c>
      <c r="N8" s="2895">
        <v>0</v>
      </c>
      <c r="O8" s="2895" t="s">
        <v>3047</v>
      </c>
      <c r="P8" s="2895" t="s">
        <v>3048</v>
      </c>
    </row>
    <row r="9" spans="1:16" hidden="1">
      <c r="A9" s="2895" t="s">
        <v>3049</v>
      </c>
      <c r="B9" s="2895" t="s">
        <v>3015</v>
      </c>
      <c r="C9" s="2895" t="s">
        <v>3016</v>
      </c>
      <c r="D9" s="2895">
        <v>23133.24</v>
      </c>
      <c r="E9" s="2895">
        <v>48959.89</v>
      </c>
      <c r="F9" s="2895" t="s">
        <v>3050</v>
      </c>
      <c r="G9" s="2895">
        <f t="shared" si="0"/>
        <v>2.12</v>
      </c>
      <c r="H9" s="2895" t="s">
        <v>3018</v>
      </c>
      <c r="I9" s="2895" t="s">
        <v>3051</v>
      </c>
      <c r="J9" s="2895">
        <v>3469.98</v>
      </c>
      <c r="K9" s="2895">
        <v>3469.98</v>
      </c>
      <c r="L9" s="2895">
        <v>708.74</v>
      </c>
      <c r="M9" s="2895">
        <f t="shared" si="1"/>
        <v>709</v>
      </c>
      <c r="N9" s="2895">
        <v>0</v>
      </c>
      <c r="O9" s="2895" t="s">
        <v>3052</v>
      </c>
      <c r="P9" s="2895" t="s">
        <v>3048</v>
      </c>
    </row>
    <row r="10" spans="1:16" hidden="1">
      <c r="A10" s="2895" t="s">
        <v>3053</v>
      </c>
      <c r="B10" s="2895" t="s">
        <v>3015</v>
      </c>
      <c r="C10" s="2895" t="s">
        <v>3023</v>
      </c>
      <c r="D10" s="2895">
        <v>30428.19</v>
      </c>
      <c r="E10" s="2895">
        <v>60856.38</v>
      </c>
      <c r="F10" s="2895" t="s">
        <v>3054</v>
      </c>
      <c r="G10" s="2895">
        <f t="shared" si="0"/>
        <v>2</v>
      </c>
      <c r="H10" s="2895" t="s">
        <v>3018</v>
      </c>
      <c r="I10" s="2895" t="s">
        <v>3055</v>
      </c>
      <c r="J10" s="2895">
        <v>30428.18</v>
      </c>
      <c r="K10" s="2895">
        <v>30730.93</v>
      </c>
      <c r="L10" s="2895">
        <v>5049.75</v>
      </c>
      <c r="M10" s="2895">
        <f t="shared" si="1"/>
        <v>5000</v>
      </c>
      <c r="N10" s="2895">
        <v>0.99</v>
      </c>
      <c r="O10" s="2895" t="s">
        <v>3056</v>
      </c>
      <c r="P10" s="2895" t="s">
        <v>3021</v>
      </c>
    </row>
    <row r="11" spans="1:16" hidden="1">
      <c r="A11" s="2895" t="s">
        <v>3057</v>
      </c>
      <c r="B11" s="2895" t="s">
        <v>3015</v>
      </c>
      <c r="C11" s="2895" t="s">
        <v>3023</v>
      </c>
      <c r="D11" s="2895">
        <v>64953.33</v>
      </c>
      <c r="E11" s="2895">
        <v>108550.6</v>
      </c>
      <c r="F11" s="2895" t="s">
        <v>3058</v>
      </c>
      <c r="G11" s="2895">
        <f t="shared" si="0"/>
        <v>1.67</v>
      </c>
      <c r="H11" s="2895" t="s">
        <v>3018</v>
      </c>
      <c r="I11" s="2895" t="s">
        <v>3059</v>
      </c>
      <c r="J11" s="2895">
        <v>21989.95</v>
      </c>
      <c r="K11" s="2895">
        <v>21989.95</v>
      </c>
      <c r="L11" s="2895">
        <v>2025.77</v>
      </c>
      <c r="M11" s="2895">
        <f t="shared" si="1"/>
        <v>2026</v>
      </c>
      <c r="N11" s="2895">
        <v>0</v>
      </c>
      <c r="O11" s="2895" t="s">
        <v>3060</v>
      </c>
      <c r="P11" s="2895" t="s">
        <v>3048</v>
      </c>
    </row>
    <row r="12" spans="1:16" hidden="1">
      <c r="A12" s="2895" t="s">
        <v>3061</v>
      </c>
      <c r="B12" s="2895" t="s">
        <v>3015</v>
      </c>
      <c r="C12" s="2895" t="s">
        <v>3023</v>
      </c>
      <c r="D12" s="2895">
        <v>22324.45</v>
      </c>
      <c r="E12" s="2895">
        <v>33486.67</v>
      </c>
      <c r="F12" s="2895" t="s">
        <v>3062</v>
      </c>
      <c r="G12" s="2895">
        <f t="shared" si="0"/>
        <v>1.5</v>
      </c>
      <c r="H12" s="2895" t="s">
        <v>3018</v>
      </c>
      <c r="I12" s="2895" t="s">
        <v>3063</v>
      </c>
      <c r="J12" s="2895">
        <v>7367.06</v>
      </c>
      <c r="K12" s="2895">
        <v>7367.06</v>
      </c>
      <c r="L12" s="2895">
        <v>2200</v>
      </c>
      <c r="M12" s="2895">
        <f t="shared" si="1"/>
        <v>2200</v>
      </c>
      <c r="N12" s="2895">
        <v>0</v>
      </c>
      <c r="O12" s="2895" t="s">
        <v>3064</v>
      </c>
      <c r="P12" s="2895" t="s">
        <v>3048</v>
      </c>
    </row>
    <row r="13" spans="1:16" hidden="1">
      <c r="A13" s="2895" t="s">
        <v>3065</v>
      </c>
      <c r="B13" s="2895" t="s">
        <v>3015</v>
      </c>
      <c r="C13" s="2895" t="s">
        <v>3023</v>
      </c>
      <c r="D13" s="2895">
        <v>34385.79</v>
      </c>
      <c r="E13" s="2895">
        <v>51578.68</v>
      </c>
      <c r="F13" s="2895" t="s">
        <v>3066</v>
      </c>
      <c r="G13" s="2895">
        <f t="shared" si="0"/>
        <v>1.5</v>
      </c>
      <c r="H13" s="2895" t="s">
        <v>3018</v>
      </c>
      <c r="I13" s="2895" t="s">
        <v>3063</v>
      </c>
      <c r="J13" s="2895">
        <v>10315.73</v>
      </c>
      <c r="K13" s="2895">
        <v>10315.73</v>
      </c>
      <c r="L13" s="2895">
        <v>2000</v>
      </c>
      <c r="M13" s="2895">
        <f t="shared" si="1"/>
        <v>2000</v>
      </c>
      <c r="N13" s="2895">
        <v>0</v>
      </c>
      <c r="O13" s="2895" t="s">
        <v>3064</v>
      </c>
      <c r="P13" s="2895" t="s">
        <v>3048</v>
      </c>
    </row>
    <row r="14" spans="1:16" hidden="1">
      <c r="A14" s="2895" t="s">
        <v>3067</v>
      </c>
      <c r="B14" s="2895" t="s">
        <v>3015</v>
      </c>
      <c r="C14" s="2895" t="s">
        <v>3023</v>
      </c>
      <c r="D14" s="2895">
        <v>7503.74</v>
      </c>
      <c r="E14" s="2895">
        <v>22511.22</v>
      </c>
      <c r="F14" s="2895" t="s">
        <v>3068</v>
      </c>
      <c r="G14" s="2895">
        <f t="shared" si="0"/>
        <v>3</v>
      </c>
      <c r="H14" s="2895" t="s">
        <v>3018</v>
      </c>
      <c r="I14" s="2895" t="s">
        <v>3069</v>
      </c>
      <c r="J14" s="2895">
        <v>15757.85</v>
      </c>
      <c r="K14" s="2895">
        <v>17873.900000000001</v>
      </c>
      <c r="L14" s="2895">
        <v>7940</v>
      </c>
      <c r="M14" s="2895">
        <f t="shared" si="1"/>
        <v>7000</v>
      </c>
      <c r="N14" s="2895">
        <v>13.43</v>
      </c>
      <c r="O14" s="2895" t="s">
        <v>3070</v>
      </c>
      <c r="P14" s="2895" t="s">
        <v>3021</v>
      </c>
    </row>
    <row r="15" spans="1:16" hidden="1">
      <c r="A15" s="2895" t="s">
        <v>3071</v>
      </c>
      <c r="B15" s="2895" t="s">
        <v>3015</v>
      </c>
      <c r="C15" s="2895" t="s">
        <v>3016</v>
      </c>
      <c r="D15" s="2895">
        <v>34140.550000000003</v>
      </c>
      <c r="E15" s="2895">
        <v>68281.100000000006</v>
      </c>
      <c r="F15" s="2895" t="s">
        <v>3072</v>
      </c>
      <c r="G15" s="2895">
        <f t="shared" si="0"/>
        <v>2</v>
      </c>
      <c r="H15" s="2895" t="s">
        <v>3018</v>
      </c>
      <c r="I15" s="2895" t="s">
        <v>3073</v>
      </c>
      <c r="J15" s="2895">
        <v>5530.77</v>
      </c>
      <c r="K15" s="2895">
        <v>12393.01</v>
      </c>
      <c r="L15" s="2895">
        <v>1815</v>
      </c>
      <c r="M15" s="2895">
        <f t="shared" si="1"/>
        <v>810</v>
      </c>
      <c r="N15" s="2895">
        <v>124.07</v>
      </c>
      <c r="O15" s="2895" t="s">
        <v>3074</v>
      </c>
      <c r="P15" s="2895" t="s">
        <v>3048</v>
      </c>
    </row>
    <row r="16" spans="1:16" hidden="1">
      <c r="A16" s="2895" t="s">
        <v>3075</v>
      </c>
      <c r="B16" s="2895" t="s">
        <v>3015</v>
      </c>
      <c r="C16" s="2895" t="s">
        <v>3016</v>
      </c>
      <c r="D16" s="2895">
        <v>56006.21</v>
      </c>
      <c r="E16" s="2895">
        <v>100811.2</v>
      </c>
      <c r="F16" s="2895" t="s">
        <v>3076</v>
      </c>
      <c r="G16" s="2895">
        <f t="shared" si="0"/>
        <v>1.8</v>
      </c>
      <c r="H16" s="2895" t="s">
        <v>3018</v>
      </c>
      <c r="I16" s="2895" t="s">
        <v>3073</v>
      </c>
      <c r="J16" s="2895">
        <v>15121.67</v>
      </c>
      <c r="K16" s="2895">
        <v>15121.67</v>
      </c>
      <c r="L16" s="2895">
        <v>1500</v>
      </c>
      <c r="M16" s="2895">
        <f t="shared" si="1"/>
        <v>1500</v>
      </c>
      <c r="N16" s="2895">
        <v>0</v>
      </c>
      <c r="O16" s="2895" t="s">
        <v>3077</v>
      </c>
      <c r="P16" s="2895" t="s">
        <v>3078</v>
      </c>
    </row>
    <row r="17" spans="1:16" hidden="1">
      <c r="A17" s="2895" t="s">
        <v>3079</v>
      </c>
      <c r="B17" s="2895" t="s">
        <v>3015</v>
      </c>
      <c r="C17" s="2895" t="s">
        <v>3023</v>
      </c>
      <c r="D17" s="2895">
        <v>25721.200000000001</v>
      </c>
      <c r="E17" s="2895">
        <v>35177</v>
      </c>
      <c r="F17" s="2895" t="s">
        <v>3080</v>
      </c>
      <c r="G17" s="2895">
        <f t="shared" si="0"/>
        <v>1.37</v>
      </c>
      <c r="H17" s="2895" t="s">
        <v>3018</v>
      </c>
      <c r="I17" s="2895" t="s">
        <v>3081</v>
      </c>
      <c r="J17" s="2895">
        <v>4385.59</v>
      </c>
      <c r="K17" s="2895">
        <v>4385.59</v>
      </c>
      <c r="L17" s="2895">
        <v>1246.72</v>
      </c>
      <c r="M17" s="2895">
        <f t="shared" si="1"/>
        <v>1247</v>
      </c>
      <c r="N17" s="2895">
        <v>0</v>
      </c>
      <c r="O17" s="2895" t="s">
        <v>3082</v>
      </c>
      <c r="P17" s="2895" t="s">
        <v>3048</v>
      </c>
    </row>
    <row r="18" spans="1:16" hidden="1">
      <c r="A18" s="2895" t="s">
        <v>3083</v>
      </c>
      <c r="B18" s="2895" t="s">
        <v>3015</v>
      </c>
      <c r="C18" s="2895" t="s">
        <v>3023</v>
      </c>
      <c r="D18" s="2895">
        <v>71743.789999999994</v>
      </c>
      <c r="E18" s="2895">
        <v>107615.7</v>
      </c>
      <c r="F18" s="2895" t="s">
        <v>3084</v>
      </c>
      <c r="G18" s="2895">
        <f t="shared" si="0"/>
        <v>1.5</v>
      </c>
      <c r="H18" s="2895" t="s">
        <v>3018</v>
      </c>
      <c r="I18" s="2895" t="s">
        <v>3085</v>
      </c>
      <c r="J18" s="2895">
        <v>38741.629999999997</v>
      </c>
      <c r="K18" s="2895">
        <v>38741.629999999997</v>
      </c>
      <c r="L18" s="2895">
        <v>3600</v>
      </c>
      <c r="M18" s="2895">
        <f t="shared" si="1"/>
        <v>3600</v>
      </c>
      <c r="N18" s="2895">
        <v>0</v>
      </c>
      <c r="O18" s="2895" t="s">
        <v>3047</v>
      </c>
      <c r="P18" s="2895" t="s">
        <v>3043</v>
      </c>
    </row>
    <row r="19" spans="1:16" hidden="1">
      <c r="A19" s="2895" t="s">
        <v>3086</v>
      </c>
      <c r="B19" s="2895" t="s">
        <v>3015</v>
      </c>
      <c r="C19" s="2895" t="s">
        <v>3016</v>
      </c>
      <c r="D19" s="2895">
        <v>22648.73</v>
      </c>
      <c r="E19" s="2895">
        <v>56621.83</v>
      </c>
      <c r="F19" s="2895" t="s">
        <v>3087</v>
      </c>
      <c r="G19" s="2895">
        <f t="shared" si="0"/>
        <v>2.5</v>
      </c>
      <c r="H19" s="2895" t="s">
        <v>3018</v>
      </c>
      <c r="I19" s="2895" t="s">
        <v>3085</v>
      </c>
      <c r="J19" s="2895">
        <v>16227.81</v>
      </c>
      <c r="K19" s="2895">
        <v>16227.81</v>
      </c>
      <c r="L19" s="2895">
        <v>2866</v>
      </c>
      <c r="M19" s="2895">
        <f t="shared" si="1"/>
        <v>2866</v>
      </c>
      <c r="N19" s="2895">
        <v>0</v>
      </c>
      <c r="O19" s="2895" t="s">
        <v>3047</v>
      </c>
      <c r="P19" s="2895" t="s">
        <v>3043</v>
      </c>
    </row>
    <row r="20" spans="1:16" hidden="1">
      <c r="A20" s="2895" t="s">
        <v>3088</v>
      </c>
      <c r="B20" s="2895" t="s">
        <v>3015</v>
      </c>
      <c r="C20" s="2895" t="s">
        <v>3023</v>
      </c>
      <c r="D20" s="2895">
        <v>24636.5</v>
      </c>
      <c r="E20" s="2895">
        <v>61588</v>
      </c>
      <c r="F20" s="2895" t="s">
        <v>3089</v>
      </c>
      <c r="G20" s="2895">
        <f t="shared" si="0"/>
        <v>2.5</v>
      </c>
      <c r="H20" s="2895" t="s">
        <v>3018</v>
      </c>
      <c r="I20" s="2895" t="s">
        <v>3090</v>
      </c>
      <c r="J20" s="2895">
        <v>44343.360000000001</v>
      </c>
      <c r="K20" s="2895">
        <v>50810.09</v>
      </c>
      <c r="L20" s="2895">
        <v>8250</v>
      </c>
      <c r="M20" s="2895">
        <f t="shared" si="1"/>
        <v>7200</v>
      </c>
      <c r="N20" s="2895">
        <v>14.58</v>
      </c>
      <c r="O20" s="2895" t="s">
        <v>3091</v>
      </c>
      <c r="P20" s="2895" t="s">
        <v>3021</v>
      </c>
    </row>
    <row r="21" spans="1:16" hidden="1">
      <c r="A21" s="2895" t="s">
        <v>3092</v>
      </c>
      <c r="B21" s="2895" t="s">
        <v>3015</v>
      </c>
      <c r="C21" s="2895" t="s">
        <v>3016</v>
      </c>
      <c r="D21" s="2895">
        <v>38274.18</v>
      </c>
      <c r="E21" s="2895">
        <v>45929.02</v>
      </c>
      <c r="F21" s="2895" t="s">
        <v>3093</v>
      </c>
      <c r="G21" s="2895">
        <f t="shared" si="0"/>
        <v>1.2</v>
      </c>
      <c r="H21" s="2895" t="s">
        <v>3018</v>
      </c>
      <c r="I21" s="2895" t="s">
        <v>3094</v>
      </c>
      <c r="J21" s="2895">
        <v>6780.27</v>
      </c>
      <c r="K21" s="2895">
        <v>6780.27</v>
      </c>
      <c r="L21" s="2895">
        <v>1476.25</v>
      </c>
      <c r="M21" s="2895">
        <f t="shared" si="1"/>
        <v>1476</v>
      </c>
      <c r="N21" s="2895">
        <v>0</v>
      </c>
      <c r="O21" s="2895" t="s">
        <v>3095</v>
      </c>
      <c r="P21" s="2895" t="s">
        <v>3078</v>
      </c>
    </row>
    <row r="22" spans="1:16" hidden="1">
      <c r="A22" s="2895" t="s">
        <v>3096</v>
      </c>
      <c r="B22" s="2895" t="s">
        <v>3015</v>
      </c>
      <c r="C22" s="2895" t="s">
        <v>3016</v>
      </c>
      <c r="D22" s="2895">
        <v>59164.56</v>
      </c>
      <c r="E22" s="2895">
        <v>118323</v>
      </c>
      <c r="F22" s="2895" t="s">
        <v>3097</v>
      </c>
      <c r="G22" s="2895">
        <f t="shared" si="0"/>
        <v>2</v>
      </c>
      <c r="H22" s="2895" t="s">
        <v>3018</v>
      </c>
      <c r="I22" s="2895" t="s">
        <v>3098</v>
      </c>
      <c r="J22" s="2895">
        <v>12313.28</v>
      </c>
      <c r="K22" s="2895">
        <v>31947.200000000001</v>
      </c>
      <c r="L22" s="2895">
        <v>2700</v>
      </c>
      <c r="M22" s="2895">
        <f t="shared" si="1"/>
        <v>1041</v>
      </c>
      <c r="N22" s="2895">
        <v>159.44999999999999</v>
      </c>
      <c r="O22" s="2895" t="s">
        <v>3099</v>
      </c>
      <c r="P22" s="2895" t="s">
        <v>3027</v>
      </c>
    </row>
    <row r="23" spans="1:16" s="3184" customFormat="1">
      <c r="A23" s="3184" t="s">
        <v>3100</v>
      </c>
      <c r="B23" s="3184" t="s">
        <v>3015</v>
      </c>
      <c r="C23" s="3184" t="s">
        <v>3023</v>
      </c>
      <c r="D23" s="3184">
        <v>8504.09</v>
      </c>
      <c r="E23" s="3184">
        <v>17007</v>
      </c>
      <c r="F23" s="3184" t="s">
        <v>3097</v>
      </c>
      <c r="G23" s="3184">
        <f t="shared" si="0"/>
        <v>2</v>
      </c>
      <c r="H23" s="3184" t="s">
        <v>3018</v>
      </c>
      <c r="I23" s="3184" t="s">
        <v>3098</v>
      </c>
      <c r="J23" s="3184">
        <v>10247.56</v>
      </c>
      <c r="K23" s="3184">
        <v>12075.2</v>
      </c>
      <c r="L23" s="3184">
        <v>7100</v>
      </c>
      <c r="M23" s="3184">
        <f t="shared" si="1"/>
        <v>6025</v>
      </c>
      <c r="N23" s="3184">
        <v>17.829999999999998</v>
      </c>
      <c r="O23" s="3184" t="s">
        <v>3101</v>
      </c>
      <c r="P23" s="3184" t="s">
        <v>3021</v>
      </c>
    </row>
    <row r="24" spans="1:16" s="3184" customFormat="1">
      <c r="A24" s="3184" t="s">
        <v>3102</v>
      </c>
      <c r="B24" s="3184" t="s">
        <v>3015</v>
      </c>
      <c r="C24" s="3184" t="s">
        <v>3023</v>
      </c>
      <c r="D24" s="3184">
        <v>40899.379999999997</v>
      </c>
      <c r="E24" s="3184">
        <v>81800</v>
      </c>
      <c r="F24" s="3184" t="s">
        <v>3103</v>
      </c>
      <c r="G24" s="3184">
        <f t="shared" si="0"/>
        <v>2</v>
      </c>
      <c r="H24" s="3184" t="s">
        <v>3018</v>
      </c>
      <c r="I24" s="3184" t="s">
        <v>3098</v>
      </c>
      <c r="J24" s="3184">
        <v>43354</v>
      </c>
      <c r="K24" s="3184">
        <v>64617.58</v>
      </c>
      <c r="L24" s="3184">
        <v>7899</v>
      </c>
      <c r="M24" s="3184">
        <f t="shared" si="1"/>
        <v>5300</v>
      </c>
      <c r="N24" s="3184">
        <v>49.05</v>
      </c>
      <c r="O24" s="3184" t="s">
        <v>3104</v>
      </c>
      <c r="P24" s="3184" t="s">
        <v>3043</v>
      </c>
    </row>
    <row r="25" spans="1:16" hidden="1">
      <c r="A25" s="2895" t="s">
        <v>3105</v>
      </c>
      <c r="B25" s="2895" t="s">
        <v>3015</v>
      </c>
      <c r="C25" s="2895" t="s">
        <v>3023</v>
      </c>
      <c r="D25" s="2895">
        <v>44977.78</v>
      </c>
      <c r="E25" s="2895">
        <v>89950</v>
      </c>
      <c r="F25" s="2895" t="s">
        <v>3106</v>
      </c>
      <c r="G25" s="2895">
        <f t="shared" si="0"/>
        <v>2</v>
      </c>
      <c r="H25" s="2895" t="s">
        <v>3018</v>
      </c>
      <c r="I25" s="2895" t="s">
        <v>3107</v>
      </c>
      <c r="J25" s="2895">
        <v>44975</v>
      </c>
      <c r="K25" s="2895">
        <v>61166.75</v>
      </c>
      <c r="L25" s="2895">
        <v>6800.07</v>
      </c>
      <c r="M25" s="2895">
        <f t="shared" si="1"/>
        <v>5000</v>
      </c>
      <c r="N25" s="2895">
        <v>36</v>
      </c>
      <c r="O25" s="2895" t="s">
        <v>3108</v>
      </c>
      <c r="P25" s="2895" t="s">
        <v>3021</v>
      </c>
    </row>
    <row r="26" spans="1:16" hidden="1">
      <c r="A26" s="2895" t="s">
        <v>3109</v>
      </c>
      <c r="B26" s="2895" t="s">
        <v>3015</v>
      </c>
      <c r="C26" s="2895" t="s">
        <v>3016</v>
      </c>
      <c r="D26" s="2895">
        <v>10774.94</v>
      </c>
      <c r="E26" s="2895">
        <v>21548</v>
      </c>
      <c r="F26" s="2895" t="s">
        <v>3110</v>
      </c>
      <c r="G26" s="2895">
        <f t="shared" si="0"/>
        <v>2</v>
      </c>
      <c r="H26" s="2895" t="s">
        <v>3018</v>
      </c>
      <c r="I26" s="2895" t="s">
        <v>3107</v>
      </c>
      <c r="J26" s="2895">
        <v>12928.79</v>
      </c>
      <c r="K26" s="2895">
        <v>16808.060000000001</v>
      </c>
      <c r="L26" s="2895">
        <v>7800.28</v>
      </c>
      <c r="M26" s="2895">
        <f t="shared" si="1"/>
        <v>6000</v>
      </c>
      <c r="N26" s="2895">
        <v>30</v>
      </c>
      <c r="O26" s="2895" t="s">
        <v>3101</v>
      </c>
      <c r="P26" s="2895" t="s">
        <v>3021</v>
      </c>
    </row>
    <row r="27" spans="1:16" hidden="1">
      <c r="A27" s="2895" t="s">
        <v>3111</v>
      </c>
      <c r="B27" s="2895" t="s">
        <v>3015</v>
      </c>
      <c r="C27" s="2895" t="s">
        <v>3016</v>
      </c>
      <c r="D27" s="2895">
        <v>81856.759999999995</v>
      </c>
      <c r="E27" s="2895">
        <v>204631</v>
      </c>
      <c r="F27" s="2895" t="s">
        <v>3112</v>
      </c>
      <c r="G27" s="2895">
        <f t="shared" si="0"/>
        <v>2.5</v>
      </c>
      <c r="H27" s="2895" t="s">
        <v>3018</v>
      </c>
      <c r="I27" s="2895" t="s">
        <v>3107</v>
      </c>
      <c r="J27" s="2895">
        <v>85945.02</v>
      </c>
      <c r="K27" s="2895">
        <v>92085</v>
      </c>
      <c r="L27" s="2895">
        <v>4500.05</v>
      </c>
      <c r="M27" s="2895">
        <f t="shared" si="1"/>
        <v>4200</v>
      </c>
      <c r="N27" s="2895">
        <v>7.14</v>
      </c>
      <c r="O27" s="2895" t="s">
        <v>3113</v>
      </c>
      <c r="P27" s="2895" t="s">
        <v>3021</v>
      </c>
    </row>
    <row r="28" spans="1:16" hidden="1">
      <c r="A28" s="2895" t="s">
        <v>3114</v>
      </c>
      <c r="B28" s="2895" t="s">
        <v>3015</v>
      </c>
      <c r="C28" s="2895" t="s">
        <v>3016</v>
      </c>
      <c r="D28" s="2895">
        <v>14793</v>
      </c>
      <c r="E28" s="2895">
        <v>42898</v>
      </c>
      <c r="F28" s="2895" t="s">
        <v>3115</v>
      </c>
      <c r="G28" s="2895">
        <f t="shared" si="0"/>
        <v>2.9</v>
      </c>
      <c r="H28" s="2895" t="s">
        <v>3018</v>
      </c>
      <c r="I28" s="2895" t="s">
        <v>3116</v>
      </c>
      <c r="J28" s="2895">
        <v>22306.95</v>
      </c>
      <c r="K28" s="2895">
        <v>43326.98</v>
      </c>
      <c r="L28" s="2895">
        <v>10100</v>
      </c>
      <c r="M28" s="2895">
        <f t="shared" si="1"/>
        <v>5200</v>
      </c>
      <c r="N28" s="2895">
        <v>94.23</v>
      </c>
      <c r="O28" s="3185" t="s">
        <v>3134</v>
      </c>
      <c r="P28" s="2895" t="s">
        <v>3021</v>
      </c>
    </row>
    <row r="29" spans="1:16" hidden="1">
      <c r="A29" s="2895" t="s">
        <v>3117</v>
      </c>
      <c r="B29" s="2895" t="s">
        <v>3015</v>
      </c>
      <c r="C29" s="2895" t="s">
        <v>3016</v>
      </c>
      <c r="D29" s="2895">
        <v>25774</v>
      </c>
      <c r="E29" s="2895">
        <v>64433</v>
      </c>
      <c r="F29" s="2895" t="s">
        <v>3118</v>
      </c>
      <c r="G29" s="2895">
        <f t="shared" si="0"/>
        <v>2.5</v>
      </c>
      <c r="H29" s="2895" t="s">
        <v>3018</v>
      </c>
      <c r="I29" s="2895" t="s">
        <v>3116</v>
      </c>
      <c r="J29" s="2895">
        <v>24484.54</v>
      </c>
      <c r="K29" s="2895">
        <v>45747.43</v>
      </c>
      <c r="L29" s="2895">
        <v>7100</v>
      </c>
      <c r="M29" s="2895">
        <f t="shared" si="1"/>
        <v>3800</v>
      </c>
      <c r="N29" s="2895">
        <v>86.84</v>
      </c>
      <c r="O29" s="2895" t="s">
        <v>3119</v>
      </c>
      <c r="P29" s="2895" t="s">
        <v>3021</v>
      </c>
    </row>
    <row r="30" spans="1:16" hidden="1">
      <c r="A30" s="2895" t="s">
        <v>3120</v>
      </c>
      <c r="B30" s="2895" t="s">
        <v>3015</v>
      </c>
      <c r="C30" s="2895" t="s">
        <v>3016</v>
      </c>
      <c r="D30" s="2895">
        <v>41228.550000000003</v>
      </c>
      <c r="E30" s="2895">
        <v>98948</v>
      </c>
      <c r="F30" s="2895" t="s">
        <v>3121</v>
      </c>
      <c r="G30" s="2895">
        <f t="shared" si="0"/>
        <v>2.4</v>
      </c>
      <c r="H30" s="2895" t="s">
        <v>3018</v>
      </c>
      <c r="I30" s="2895" t="s">
        <v>3116</v>
      </c>
      <c r="J30" s="2895">
        <v>61347.76</v>
      </c>
      <c r="K30" s="2895">
        <v>100927</v>
      </c>
      <c r="L30" s="2895">
        <v>10200</v>
      </c>
      <c r="M30" s="2895">
        <f t="shared" si="1"/>
        <v>6200</v>
      </c>
      <c r="N30" s="2895">
        <v>64.52</v>
      </c>
      <c r="O30" s="2895" t="s">
        <v>3122</v>
      </c>
      <c r="P30" s="2895" t="s">
        <v>3021</v>
      </c>
    </row>
    <row r="31" spans="1:16" hidden="1">
      <c r="A31" s="2895" t="s">
        <v>3123</v>
      </c>
      <c r="B31" s="2895" t="s">
        <v>3015</v>
      </c>
      <c r="C31" s="2895" t="s">
        <v>3023</v>
      </c>
      <c r="D31" s="2895">
        <v>31368.48</v>
      </c>
      <c r="E31" s="2895">
        <v>78421.2</v>
      </c>
      <c r="F31" s="2895" t="s">
        <v>3124</v>
      </c>
      <c r="G31" s="2895">
        <f t="shared" si="0"/>
        <v>2.5</v>
      </c>
      <c r="H31" s="2895" t="s">
        <v>3018</v>
      </c>
      <c r="I31" s="2895" t="s">
        <v>3125</v>
      </c>
      <c r="J31" s="2895" t="s">
        <v>2818</v>
      </c>
      <c r="K31" s="2895">
        <v>9090.1200000000008</v>
      </c>
      <c r="L31" s="2895">
        <v>1159.1400000000001</v>
      </c>
      <c r="M31" s="2895" t="e">
        <f t="shared" si="1"/>
        <v>#VALUE!</v>
      </c>
      <c r="N31" s="2895" t="s">
        <v>2818</v>
      </c>
      <c r="O31" s="2895" t="s">
        <v>3126</v>
      </c>
      <c r="P31" s="2895" t="s">
        <v>3027</v>
      </c>
    </row>
    <row r="32" spans="1:16" hidden="1">
      <c r="A32" s="2895" t="s">
        <v>3127</v>
      </c>
      <c r="B32" s="2895" t="s">
        <v>3015</v>
      </c>
      <c r="C32" s="2895" t="s">
        <v>3023</v>
      </c>
      <c r="D32" s="2895">
        <v>24622.57</v>
      </c>
      <c r="E32" s="2895">
        <v>89336.7</v>
      </c>
      <c r="F32" s="2895" t="s">
        <v>3128</v>
      </c>
      <c r="G32" s="2895">
        <f t="shared" si="0"/>
        <v>3.63</v>
      </c>
      <c r="H32" s="2895" t="s">
        <v>3018</v>
      </c>
      <c r="I32" s="2895" t="s">
        <v>3129</v>
      </c>
      <c r="J32" s="2895" t="s">
        <v>2818</v>
      </c>
      <c r="K32" s="2895">
        <v>7869.39</v>
      </c>
      <c r="L32" s="2895">
        <v>880.87</v>
      </c>
      <c r="M32" s="2895" t="e">
        <f t="shared" si="1"/>
        <v>#VALUE!</v>
      </c>
      <c r="N32" s="2895" t="s">
        <v>2818</v>
      </c>
      <c r="O32" s="2895" t="s">
        <v>3130</v>
      </c>
      <c r="P32" s="2895" t="s">
        <v>3027</v>
      </c>
    </row>
    <row r="33" spans="1:16" hidden="1">
      <c r="A33" s="2895" t="s">
        <v>3131</v>
      </c>
      <c r="B33" s="2895" t="s">
        <v>3015</v>
      </c>
      <c r="C33" s="2895" t="s">
        <v>3023</v>
      </c>
      <c r="D33" s="2895">
        <v>37975.71</v>
      </c>
      <c r="E33" s="2895">
        <v>94939.28</v>
      </c>
      <c r="F33" s="2895" t="s">
        <v>3124</v>
      </c>
      <c r="G33" s="2895">
        <f t="shared" si="0"/>
        <v>2.5</v>
      </c>
      <c r="H33" s="2895" t="s">
        <v>3018</v>
      </c>
      <c r="I33" s="2895" t="s">
        <v>3132</v>
      </c>
      <c r="J33" s="2895">
        <v>10538.27</v>
      </c>
      <c r="K33" s="2895">
        <v>10538.27</v>
      </c>
      <c r="L33" s="2895">
        <v>1110</v>
      </c>
      <c r="M33" s="2895">
        <f t="shared" si="1"/>
        <v>1110</v>
      </c>
      <c r="N33" s="2895">
        <v>0</v>
      </c>
      <c r="O33" s="2895" t="s">
        <v>3126</v>
      </c>
      <c r="P33" s="2895" t="s">
        <v>3027</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5" t="s">
        <v>522</v>
      </c>
      <c r="D6" s="3386"/>
      <c r="E6" s="3409" t="s">
        <v>523</v>
      </c>
      <c r="F6" s="3410"/>
      <c r="G6" s="3385" t="s">
        <v>524</v>
      </c>
      <c r="H6" s="3386"/>
      <c r="I6" s="3385" t="s">
        <v>525</v>
      </c>
      <c r="J6" s="3386"/>
      <c r="K6" s="514" t="s">
        <v>526</v>
      </c>
      <c r="L6" s="2119"/>
      <c r="M6" s="2120"/>
      <c r="N6" s="2120"/>
      <c r="O6" s="2120"/>
      <c r="P6" s="3387" t="s">
        <v>527</v>
      </c>
      <c r="Q6" s="3388"/>
      <c r="R6" s="3373" t="s">
        <v>523</v>
      </c>
      <c r="S6" s="3374"/>
      <c r="T6" s="3373" t="s">
        <v>524</v>
      </c>
      <c r="U6" s="3374"/>
      <c r="V6" s="3393" t="s">
        <v>525</v>
      </c>
      <c r="W6" s="3393"/>
      <c r="X6" s="1554"/>
      <c r="Y6" s="3373" t="s">
        <v>527</v>
      </c>
      <c r="Z6" s="3374"/>
      <c r="AA6" s="3368" t="s">
        <v>523</v>
      </c>
      <c r="AB6" s="3369" t="s">
        <v>524</v>
      </c>
      <c r="AC6" s="3368" t="s">
        <v>525</v>
      </c>
    </row>
    <row r="7" spans="1:29" ht="15">
      <c r="A7" s="515"/>
      <c r="B7" s="516"/>
      <c r="C7" s="3396" t="s">
        <v>2927</v>
      </c>
      <c r="D7" s="3397"/>
      <c r="E7" s="3411" t="s">
        <v>2928</v>
      </c>
      <c r="F7" s="3412"/>
      <c r="G7" s="3396" t="s">
        <v>2929</v>
      </c>
      <c r="H7" s="3397"/>
      <c r="I7" s="3396" t="s">
        <v>2930</v>
      </c>
      <c r="J7" s="3397"/>
      <c r="K7" s="514"/>
      <c r="L7" s="2119"/>
      <c r="M7" s="2120"/>
      <c r="N7" s="2120"/>
      <c r="O7" s="2120"/>
      <c r="P7" s="3389"/>
      <c r="Q7" s="3390"/>
      <c r="R7" s="3375"/>
      <c r="S7" s="3376"/>
      <c r="T7" s="3375"/>
      <c r="U7" s="3376"/>
      <c r="V7" s="3393"/>
      <c r="W7" s="3393"/>
      <c r="X7" s="1554"/>
      <c r="Y7" s="3375"/>
      <c r="Z7" s="3376"/>
      <c r="AA7" s="3369"/>
      <c r="AB7" s="3369"/>
      <c r="AC7" s="3369"/>
    </row>
    <row r="8" spans="1:29" ht="15.75" thickBot="1">
      <c r="A8" s="517"/>
      <c r="B8" s="518"/>
      <c r="C8" s="3394" t="s">
        <v>2931</v>
      </c>
      <c r="D8" s="3395"/>
      <c r="E8" s="3413" t="s">
        <v>2931</v>
      </c>
      <c r="F8" s="3414"/>
      <c r="G8" s="3394" t="s">
        <v>2931</v>
      </c>
      <c r="H8" s="3395"/>
      <c r="I8" s="3394" t="s">
        <v>2931</v>
      </c>
      <c r="J8" s="3395"/>
      <c r="K8" s="514" t="s">
        <v>528</v>
      </c>
      <c r="L8" s="2119"/>
      <c r="M8" s="2120"/>
      <c r="N8" s="2120"/>
      <c r="O8" s="2120"/>
      <c r="P8" s="3391"/>
      <c r="Q8" s="3392"/>
      <c r="R8" s="3375"/>
      <c r="S8" s="3376"/>
      <c r="T8" s="3377"/>
      <c r="U8" s="3378"/>
      <c r="V8" s="3393"/>
      <c r="W8" s="3393"/>
      <c r="X8" s="1554"/>
      <c r="Y8" s="3377"/>
      <c r="Z8" s="3378"/>
      <c r="AA8" s="3370"/>
      <c r="AB8" s="3370"/>
      <c r="AC8" s="3370"/>
    </row>
    <row r="9" spans="1:29" s="1216" customFormat="1" ht="15.75" thickBot="1">
      <c r="A9" s="2868"/>
      <c r="B9" s="2875" t="s">
        <v>529</v>
      </c>
      <c r="C9" s="519">
        <f>'数据-取费表'!B2</f>
        <v>43700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1" t="s">
        <v>530</v>
      </c>
      <c r="Q9" s="3380"/>
      <c r="R9" s="1555" t="s">
        <v>8</v>
      </c>
      <c r="S9" s="1556">
        <f t="shared" ref="S9:S17" si="0">F9</f>
        <v>0</v>
      </c>
      <c r="T9" s="1555" t="s">
        <v>8</v>
      </c>
      <c r="U9" s="1556">
        <f t="shared" ref="U9:U17" si="1">H9</f>
        <v>0</v>
      </c>
      <c r="V9" s="1555" t="s">
        <v>8</v>
      </c>
      <c r="W9" s="1556">
        <f t="shared" ref="W9:W17" si="2">J9</f>
        <v>0</v>
      </c>
      <c r="X9" s="1557"/>
      <c r="Y9" s="3371" t="s">
        <v>530</v>
      </c>
      <c r="Z9" s="337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1" t="s">
        <v>533</v>
      </c>
      <c r="Q10" s="3372"/>
      <c r="R10" s="1555" t="s">
        <v>8</v>
      </c>
      <c r="S10" s="1556">
        <f t="shared" si="0"/>
        <v>0</v>
      </c>
      <c r="T10" s="1555" t="s">
        <v>8</v>
      </c>
      <c r="U10" s="1556">
        <f t="shared" si="1"/>
        <v>0</v>
      </c>
      <c r="V10" s="1555" t="s">
        <v>8</v>
      </c>
      <c r="W10" s="1556">
        <f t="shared" si="2"/>
        <v>0</v>
      </c>
      <c r="X10" s="1557"/>
      <c r="Y10" s="3371" t="s">
        <v>533</v>
      </c>
      <c r="Z10" s="337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3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9"/>
      <c r="Q12" s="1147" t="str">
        <f t="shared" si="6"/>
        <v>土地使用年限（年）</v>
      </c>
      <c r="R12" s="1555" t="s">
        <v>8</v>
      </c>
      <c r="S12" s="1556">
        <f t="shared" si="0"/>
        <v>103</v>
      </c>
      <c r="T12" s="1555" t="s">
        <v>8</v>
      </c>
      <c r="U12" s="1556">
        <f t="shared" si="1"/>
        <v>103</v>
      </c>
      <c r="V12" s="1555" t="s">
        <v>8</v>
      </c>
      <c r="W12" s="1556">
        <f t="shared" si="2"/>
        <v>103</v>
      </c>
      <c r="X12" s="1557"/>
      <c r="Y12" s="3336"/>
      <c r="Z12" s="1146" t="str">
        <f t="shared" si="7"/>
        <v>土地使用年限（年）</v>
      </c>
      <c r="AA12" s="1558">
        <f t="shared" si="3"/>
        <v>0.970873786407767</v>
      </c>
      <c r="AB12" s="1558">
        <f t="shared" si="4"/>
        <v>0.970873786407767</v>
      </c>
      <c r="AC12" s="1558">
        <f t="shared" si="5"/>
        <v>0.970873786407767</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9"/>
      <c r="Q13" s="1147" t="str">
        <f t="shared" si="6"/>
        <v>容积率</v>
      </c>
      <c r="R13" s="1555" t="s">
        <v>8</v>
      </c>
      <c r="S13" s="1556" t="e">
        <f t="shared" si="0"/>
        <v>#N/A</v>
      </c>
      <c r="T13" s="1555" t="s">
        <v>8</v>
      </c>
      <c r="U13" s="1556" t="e">
        <f t="shared" si="1"/>
        <v>#N/A</v>
      </c>
      <c r="V13" s="1555" t="s">
        <v>8</v>
      </c>
      <c r="W13" s="1556" t="e">
        <f t="shared" si="2"/>
        <v>#N/A</v>
      </c>
      <c r="X13" s="1557"/>
      <c r="Y13" s="333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9"/>
      <c r="Q15" s="1147">
        <f t="shared" si="6"/>
        <v>111</v>
      </c>
      <c r="R15" s="1555" t="s">
        <v>8</v>
      </c>
      <c r="S15" s="1556">
        <f t="shared" si="0"/>
        <v>100</v>
      </c>
      <c r="T15" s="1555" t="s">
        <v>8</v>
      </c>
      <c r="U15" s="1556">
        <f t="shared" si="1"/>
        <v>100</v>
      </c>
      <c r="V15" s="1555" t="s">
        <v>8</v>
      </c>
      <c r="W15" s="1556">
        <f t="shared" si="2"/>
        <v>100</v>
      </c>
      <c r="X15" s="1557"/>
      <c r="Y15" s="333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9"/>
      <c r="Q16" s="1147">
        <f t="shared" si="6"/>
        <v>111</v>
      </c>
      <c r="R16" s="1555" t="s">
        <v>8</v>
      </c>
      <c r="S16" s="1556">
        <f t="shared" si="0"/>
        <v>100</v>
      </c>
      <c r="T16" s="1555" t="s">
        <v>8</v>
      </c>
      <c r="U16" s="1556">
        <f t="shared" si="1"/>
        <v>100</v>
      </c>
      <c r="V16" s="1555" t="s">
        <v>8</v>
      </c>
      <c r="W16" s="1556">
        <f t="shared" si="2"/>
        <v>100</v>
      </c>
      <c r="X16" s="1557"/>
      <c r="Y16" s="333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1" t="s">
        <v>540</v>
      </c>
      <c r="Q17" s="1559" t="str">
        <f t="shared" si="6"/>
        <v>产业集聚程度</v>
      </c>
      <c r="R17" s="1560" t="s">
        <v>8</v>
      </c>
      <c r="S17" s="1561">
        <f t="shared" si="0"/>
        <v>100</v>
      </c>
      <c r="T17" s="1560" t="s">
        <v>8</v>
      </c>
      <c r="U17" s="1561">
        <f t="shared" si="1"/>
        <v>100</v>
      </c>
      <c r="V17" s="1560" t="s">
        <v>8</v>
      </c>
      <c r="W17" s="1561">
        <f t="shared" si="2"/>
        <v>100</v>
      </c>
      <c r="X17" s="1554"/>
      <c r="Y17" s="338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2"/>
      <c r="Q18" s="1559"/>
      <c r="R18" s="1560"/>
      <c r="S18" s="1561"/>
      <c r="T18" s="1560"/>
      <c r="U18" s="1561"/>
      <c r="V18" s="1560"/>
      <c r="W18" s="1561"/>
      <c r="X18" s="1554"/>
      <c r="Y18" s="338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2"/>
      <c r="Q19" s="1559" t="str">
        <f>B19</f>
        <v>交通便捷度</v>
      </c>
      <c r="R19" s="1560" t="s">
        <v>8</v>
      </c>
      <c r="S19" s="1561">
        <f>F19</f>
        <v>100</v>
      </c>
      <c r="T19" s="1560" t="s">
        <v>8</v>
      </c>
      <c r="U19" s="1561">
        <f>H19</f>
        <v>100</v>
      </c>
      <c r="V19" s="1560" t="s">
        <v>8</v>
      </c>
      <c r="W19" s="1561">
        <f>J19</f>
        <v>100</v>
      </c>
      <c r="X19" s="1554"/>
      <c r="Y19" s="338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2"/>
      <c r="Q20" s="1559"/>
      <c r="R20" s="1560"/>
      <c r="S20" s="1561"/>
      <c r="T20" s="1560"/>
      <c r="U20" s="1561"/>
      <c r="V20" s="1560"/>
      <c r="W20" s="1561"/>
      <c r="X20" s="1554"/>
      <c r="Y20" s="338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2"/>
      <c r="Q21" s="1559" t="str">
        <f t="shared" ref="Q21:Q35" si="8">B21</f>
        <v>区域土地利用方向</v>
      </c>
      <c r="R21" s="1560" t="s">
        <v>8</v>
      </c>
      <c r="S21" s="1561">
        <f>F21</f>
        <v>100</v>
      </c>
      <c r="T21" s="1560" t="s">
        <v>8</v>
      </c>
      <c r="U21" s="1561">
        <f>H21</f>
        <v>100</v>
      </c>
      <c r="V21" s="1560" t="s">
        <v>8</v>
      </c>
      <c r="W21" s="1561">
        <f>J21</f>
        <v>100</v>
      </c>
      <c r="X21" s="1554"/>
      <c r="Y21" s="338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2"/>
      <c r="Q22" s="1559"/>
      <c r="R22" s="1560"/>
      <c r="S22" s="1561"/>
      <c r="T22" s="1560"/>
      <c r="U22" s="1561"/>
      <c r="V22" s="1560"/>
      <c r="W22" s="1561"/>
      <c r="X22" s="1554"/>
      <c r="Y22" s="338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2"/>
      <c r="Q23" s="1559" t="str">
        <f t="shared" si="8"/>
        <v>环境状况</v>
      </c>
      <c r="R23" s="1560" t="s">
        <v>8</v>
      </c>
      <c r="S23" s="1561">
        <f>F23</f>
        <v>100</v>
      </c>
      <c r="T23" s="1560" t="s">
        <v>8</v>
      </c>
      <c r="U23" s="1561">
        <f>H23</f>
        <v>100</v>
      </c>
      <c r="V23" s="1560" t="s">
        <v>8</v>
      </c>
      <c r="W23" s="1561">
        <f>J23</f>
        <v>100</v>
      </c>
      <c r="X23" s="1554"/>
      <c r="Y23" s="338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2"/>
      <c r="Q24" s="1559"/>
      <c r="R24" s="1560"/>
      <c r="S24" s="1561"/>
      <c r="T24" s="1560"/>
      <c r="U24" s="1561"/>
      <c r="V24" s="1560"/>
      <c r="W24" s="1561"/>
      <c r="X24" s="1554"/>
      <c r="Y24" s="3382"/>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2"/>
      <c r="Q25" s="1147" t="str">
        <f t="shared" si="8"/>
        <v>公共配套设施</v>
      </c>
      <c r="R25" s="1555" t="s">
        <v>8</v>
      </c>
      <c r="S25" s="1556">
        <f>F25</f>
        <v>100</v>
      </c>
      <c r="T25" s="1555" t="s">
        <v>8</v>
      </c>
      <c r="U25" s="1556">
        <f>H25</f>
        <v>100</v>
      </c>
      <c r="V25" s="1555" t="s">
        <v>8</v>
      </c>
      <c r="W25" s="1556">
        <f>J25</f>
        <v>100</v>
      </c>
      <c r="X25" s="1557"/>
      <c r="Y25" s="338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2"/>
      <c r="Q26" s="1147"/>
      <c r="R26" s="1555"/>
      <c r="S26" s="1556"/>
      <c r="T26" s="1555"/>
      <c r="U26" s="1556"/>
      <c r="V26" s="1555"/>
      <c r="W26" s="1556"/>
      <c r="X26" s="1557"/>
      <c r="Y26" s="3382"/>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2"/>
      <c r="Q27" s="2543" t="str">
        <f t="shared" ref="Q27" si="9">B27</f>
        <v>基础设施水平</v>
      </c>
      <c r="R27" s="1555" t="s">
        <v>8</v>
      </c>
      <c r="S27" s="1556">
        <f>F27</f>
        <v>100</v>
      </c>
      <c r="T27" s="1555" t="s">
        <v>8</v>
      </c>
      <c r="U27" s="1556">
        <f>H27</f>
        <v>100</v>
      </c>
      <c r="V27" s="1555" t="s">
        <v>8</v>
      </c>
      <c r="W27" s="1556">
        <f>J27</f>
        <v>100</v>
      </c>
      <c r="X27" s="1557"/>
      <c r="Y27" s="338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2"/>
      <c r="Q28" s="2543"/>
      <c r="R28" s="1555"/>
      <c r="S28" s="1556"/>
      <c r="T28" s="1555"/>
      <c r="U28" s="1556"/>
      <c r="V28" s="1555"/>
      <c r="W28" s="1556"/>
      <c r="X28" s="1557"/>
      <c r="Y28" s="338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2"/>
      <c r="Q30" s="1559" t="str">
        <f t="shared" si="8"/>
        <v>毗邻道路的类型与等级</v>
      </c>
      <c r="R30" s="1560" t="s">
        <v>8</v>
      </c>
      <c r="S30" s="1561">
        <f t="shared" si="10"/>
        <v>100</v>
      </c>
      <c r="T30" s="1560" t="s">
        <v>8</v>
      </c>
      <c r="U30" s="1561">
        <f t="shared" si="11"/>
        <v>100</v>
      </c>
      <c r="V30" s="1560" t="s">
        <v>8</v>
      </c>
      <c r="W30" s="1561">
        <f t="shared" si="12"/>
        <v>100</v>
      </c>
      <c r="X30" s="1554"/>
      <c r="Y30" s="338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2"/>
      <c r="Q31" s="1559"/>
      <c r="R31" s="1560"/>
      <c r="S31" s="1561"/>
      <c r="T31" s="1560"/>
      <c r="U31" s="1561"/>
      <c r="V31" s="1560"/>
      <c r="W31" s="1561"/>
      <c r="X31" s="1554"/>
      <c r="Y31" s="338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2"/>
      <c r="Q32" s="1559" t="str">
        <f t="shared" si="8"/>
        <v>土地级别</v>
      </c>
      <c r="R32" s="1560" t="s">
        <v>8</v>
      </c>
      <c r="S32" s="1561">
        <f t="shared" si="10"/>
        <v>100</v>
      </c>
      <c r="T32" s="1560" t="s">
        <v>8</v>
      </c>
      <c r="U32" s="1561">
        <f t="shared" si="11"/>
        <v>100</v>
      </c>
      <c r="V32" s="1560" t="s">
        <v>8</v>
      </c>
      <c r="W32" s="1561">
        <f t="shared" si="12"/>
        <v>100</v>
      </c>
      <c r="X32" s="1554"/>
      <c r="Y32" s="338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2"/>
      <c r="Q33" s="1559">
        <f t="shared" si="8"/>
        <v>111</v>
      </c>
      <c r="R33" s="1560" t="s">
        <v>8</v>
      </c>
      <c r="S33" s="1561">
        <f t="shared" si="10"/>
        <v>100</v>
      </c>
      <c r="T33" s="1560" t="s">
        <v>8</v>
      </c>
      <c r="U33" s="1561">
        <f t="shared" si="11"/>
        <v>100</v>
      </c>
      <c r="V33" s="1560" t="s">
        <v>8</v>
      </c>
      <c r="W33" s="1561">
        <f t="shared" si="12"/>
        <v>100</v>
      </c>
      <c r="X33" s="1554"/>
      <c r="Y33" s="338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3" t="s">
        <v>550</v>
      </c>
      <c r="Q34" s="1559">
        <f t="shared" si="8"/>
        <v>111</v>
      </c>
      <c r="R34" s="1560" t="s">
        <v>8</v>
      </c>
      <c r="S34" s="1561">
        <f t="shared" si="10"/>
        <v>100</v>
      </c>
      <c r="T34" s="1560" t="s">
        <v>8</v>
      </c>
      <c r="U34" s="1561">
        <f t="shared" si="11"/>
        <v>100</v>
      </c>
      <c r="V34" s="1560" t="s">
        <v>8</v>
      </c>
      <c r="W34" s="1561">
        <f t="shared" si="12"/>
        <v>100</v>
      </c>
      <c r="X34" s="1554"/>
      <c r="Y34" s="338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4"/>
      <c r="Q35" s="1559">
        <f t="shared" si="8"/>
        <v>111</v>
      </c>
      <c r="R35" s="1564" t="s">
        <v>8</v>
      </c>
      <c r="S35" s="1565">
        <f t="shared" si="10"/>
        <v>100</v>
      </c>
      <c r="T35" s="1564" t="s">
        <v>8</v>
      </c>
      <c r="U35" s="1565">
        <f t="shared" si="11"/>
        <v>100</v>
      </c>
      <c r="V35" s="1564" t="s">
        <v>8</v>
      </c>
      <c r="W35" s="1565">
        <f t="shared" si="12"/>
        <v>100</v>
      </c>
      <c r="X35" s="1566"/>
      <c r="Y35" s="3384"/>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4"/>
      <c r="Q36" s="1559" t="str">
        <f>B36</f>
        <v>宗地面积</v>
      </c>
      <c r="R36" s="1560" t="s">
        <v>8</v>
      </c>
      <c r="S36" s="1561" t="e">
        <f t="shared" si="10"/>
        <v>#N/A</v>
      </c>
      <c r="T36" s="1560" t="s">
        <v>8</v>
      </c>
      <c r="U36" s="1561" t="e">
        <f t="shared" si="11"/>
        <v>#N/A</v>
      </c>
      <c r="V36" s="1560" t="s">
        <v>8</v>
      </c>
      <c r="W36" s="1561" t="e">
        <f t="shared" si="12"/>
        <v>#N/A</v>
      </c>
      <c r="X36" s="1554"/>
      <c r="Y36" s="338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4"/>
      <c r="Q37" s="1559" t="str">
        <f t="shared" ref="Q37:Q42" si="14">B37</f>
        <v>宗地形状</v>
      </c>
      <c r="R37" s="1560" t="s">
        <v>8</v>
      </c>
      <c r="S37" s="1561">
        <f t="shared" si="10"/>
        <v>100</v>
      </c>
      <c r="T37" s="1560" t="s">
        <v>8</v>
      </c>
      <c r="U37" s="1561">
        <f t="shared" si="11"/>
        <v>100</v>
      </c>
      <c r="V37" s="1560" t="s">
        <v>8</v>
      </c>
      <c r="W37" s="1561">
        <f t="shared" si="12"/>
        <v>100</v>
      </c>
      <c r="X37" s="1554"/>
      <c r="Y37" s="3384"/>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4"/>
      <c r="Q38" s="1559" t="str">
        <f t="shared" si="14"/>
        <v>宗地开发程度</v>
      </c>
      <c r="R38" s="1555" t="s">
        <v>8</v>
      </c>
      <c r="S38" s="1556">
        <f t="shared" si="10"/>
        <v>100</v>
      </c>
      <c r="T38" s="1555" t="s">
        <v>8</v>
      </c>
      <c r="U38" s="1556">
        <f t="shared" si="11"/>
        <v>100</v>
      </c>
      <c r="V38" s="1555" t="s">
        <v>8</v>
      </c>
      <c r="W38" s="1556">
        <f t="shared" si="12"/>
        <v>100</v>
      </c>
      <c r="X38" s="1557"/>
      <c r="Y38" s="338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4" t="s">
        <v>601</v>
      </c>
      <c r="Q39" s="1559" t="str">
        <f t="shared" si="14"/>
        <v>工程地质条件</v>
      </c>
      <c r="R39" s="1560" t="s">
        <v>8</v>
      </c>
      <c r="S39" s="1561">
        <f t="shared" si="10"/>
        <v>100</v>
      </c>
      <c r="T39" s="1560" t="s">
        <v>8</v>
      </c>
      <c r="U39" s="1561">
        <f t="shared" si="11"/>
        <v>100</v>
      </c>
      <c r="V39" s="1560" t="s">
        <v>8</v>
      </c>
      <c r="W39" s="1561">
        <f t="shared" si="12"/>
        <v>100</v>
      </c>
      <c r="X39" s="1554"/>
      <c r="Y39" s="338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4"/>
      <c r="Q40" s="1559">
        <f t="shared" si="14"/>
        <v>111</v>
      </c>
      <c r="R40" s="1560" t="s">
        <v>8</v>
      </c>
      <c r="S40" s="1561">
        <f t="shared" si="10"/>
        <v>100</v>
      </c>
      <c r="T40" s="1560" t="s">
        <v>8</v>
      </c>
      <c r="U40" s="1561">
        <f t="shared" si="11"/>
        <v>100</v>
      </c>
      <c r="V40" s="1560" t="s">
        <v>8</v>
      </c>
      <c r="W40" s="1561">
        <f t="shared" si="12"/>
        <v>100</v>
      </c>
      <c r="X40" s="1554"/>
      <c r="Y40" s="338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4"/>
      <c r="Q41" s="1559">
        <f t="shared" si="14"/>
        <v>111</v>
      </c>
      <c r="R41" s="1560" t="s">
        <v>8</v>
      </c>
      <c r="S41" s="1561">
        <f t="shared" si="10"/>
        <v>100</v>
      </c>
      <c r="T41" s="1560" t="s">
        <v>8</v>
      </c>
      <c r="U41" s="1561">
        <f t="shared" si="11"/>
        <v>100</v>
      </c>
      <c r="V41" s="1560" t="s">
        <v>8</v>
      </c>
      <c r="W41" s="1561">
        <f t="shared" si="12"/>
        <v>100</v>
      </c>
      <c r="X41" s="1554"/>
      <c r="Y41" s="338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4"/>
      <c r="Q42" s="1559">
        <f t="shared" si="14"/>
        <v>111</v>
      </c>
      <c r="R42" s="1564" t="s">
        <v>8</v>
      </c>
      <c r="S42" s="1565">
        <f t="shared" si="10"/>
        <v>100</v>
      </c>
      <c r="T42" s="1564" t="s">
        <v>8</v>
      </c>
      <c r="U42" s="1565">
        <f t="shared" si="11"/>
        <v>100</v>
      </c>
      <c r="V42" s="1564" t="s">
        <v>8</v>
      </c>
      <c r="W42" s="1565">
        <f t="shared" si="12"/>
        <v>100</v>
      </c>
      <c r="X42" s="1566"/>
      <c r="Y42" s="3384"/>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30"/>
      <c r="M43" s="2120"/>
      <c r="N43" s="2120"/>
      <c r="O43" s="2131"/>
      <c r="P43" s="3379" t="str">
        <f>A43</f>
        <v>成交单价</v>
      </c>
      <c r="Q43" s="3379"/>
      <c r="R43" s="3393">
        <f>E43</f>
        <v>0</v>
      </c>
      <c r="S43" s="3393"/>
      <c r="T43" s="3393">
        <f>G43</f>
        <v>0</v>
      </c>
      <c r="U43" s="3393"/>
      <c r="V43" s="3393">
        <f>I43</f>
        <v>0</v>
      </c>
      <c r="W43" s="339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9" t="str">
        <f>A44</f>
        <v>比较价格（元/平方米）</v>
      </c>
      <c r="Q44" s="3379"/>
      <c r="R44" s="3403" t="e">
        <f>ROUND(PRODUCT(R43,AA9:AA42),0)</f>
        <v>#DIV/0!</v>
      </c>
      <c r="S44" s="3403"/>
      <c r="T44" s="3403" t="e">
        <f>ROUND(PRODUCT(T43,AB9:AB42),0)</f>
        <v>#DIV/0!</v>
      </c>
      <c r="U44" s="3403"/>
      <c r="V44" s="3403" t="e">
        <f>ROUND(PRODUCT(V43,AC9:AC42),0)</f>
        <v>#DIV/0!</v>
      </c>
      <c r="W44" s="3403"/>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400" t="str">
        <f>A45</f>
        <v>估价对象XX用房的比较价格（楼面单价，元/平方米）</v>
      </c>
      <c r="Q45" s="3401"/>
      <c r="R45" s="3402" t="e">
        <f>ROUND(AVERAGE(R44:V44),0)</f>
        <v>#DIV/0!</v>
      </c>
      <c r="S45" s="3402"/>
      <c r="T45" s="3402"/>
      <c r="U45" s="3402"/>
      <c r="V45" s="3402"/>
      <c r="W45" s="340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4" t="s">
        <v>2284</v>
      </c>
      <c r="H52" s="340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300507</v>
      </c>
      <c r="F53" s="1936" t="e">
        <f t="shared" ref="F53:F62" si="15">ROUND(B53*E53/10000,0)</f>
        <v>#DIV/0!</v>
      </c>
      <c r="G53" s="3406"/>
      <c r="H53" s="340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83474.2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7"/>
      <c r="L4" s="1871" t="s">
        <v>2241</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1" t="e">
        <f>ROUND(C6+C16,0)</f>
        <v>#DIV/0!</v>
      </c>
      <c r="E5" s="3071"/>
      <c r="F5" s="1413"/>
      <c r="G5" s="1414"/>
      <c r="H5" s="1414"/>
      <c r="I5" s="1414"/>
      <c r="J5" s="1415"/>
      <c r="K5" s="3148"/>
      <c r="L5" s="1871" t="s">
        <v>2242</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6"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7"/>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7" t="s">
        <v>2783</v>
      </c>
      <c r="X8" s="3428"/>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7"/>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6" t="s">
        <v>2779</v>
      </c>
      <c r="X9" s="2887" t="s">
        <v>2780</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7"/>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7"/>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6"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6"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6"/>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8"/>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5"/>
      <c r="R13" s="2893">
        <v>12</v>
      </c>
      <c r="S13" s="2882"/>
      <c r="T13" s="2893" t="e">
        <f t="shared" si="0"/>
        <v>#DIV/0!</v>
      </c>
      <c r="U13" s="2882"/>
      <c r="V13" s="2893" t="e">
        <f t="shared" si="1"/>
        <v>#DIV/0!</v>
      </c>
      <c r="W13" s="342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8"/>
      <c r="B14" s="1448"/>
      <c r="C14" s="1449"/>
      <c r="D14" s="1450"/>
      <c r="E14" s="1450"/>
      <c r="F14" s="1451"/>
      <c r="G14" s="1452" t="s">
        <v>949</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9"/>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6" t="s">
        <v>1838</v>
      </c>
      <c r="B16" s="1424" t="s">
        <v>950</v>
      </c>
      <c r="C16" s="1052" t="e">
        <f>ROUND(IF(F17="与级别开发程度一致",0,(G17-E17)/C17),0)</f>
        <v>#DIV/0!</v>
      </c>
      <c r="D16" s="3434" t="s">
        <v>954</v>
      </c>
      <c r="E16" s="3435"/>
      <c r="F16" s="3434" t="s">
        <v>951</v>
      </c>
      <c r="G16" s="3435"/>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0"/>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69" t="s">
        <v>955</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43700</v>
      </c>
      <c r="H19" s="1464" t="s">
        <v>2993</v>
      </c>
      <c r="I19" s="2741" t="str">
        <f>IF(H19="季度增幅（自定义）",SUMIF(N21:N24,E2,O21:O24),"")</f>
        <v/>
      </c>
      <c r="J19" s="1460"/>
      <c r="K19" s="3148"/>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0"/>
      <c r="L20" s="2995" t="s">
        <v>2842</v>
      </c>
      <c r="M20" s="3157">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8"/>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8" t="s">
        <v>2648</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3" t="s">
        <v>2958</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2985</v>
      </c>
      <c r="C41" s="839" t="e">
        <f>ROUND(POWER(1+E41,H41-G41)*(POWER(1+E41,G41)-1)/(POWER(1+E41,H41)-1),4)</f>
        <v>#DIV/0!</v>
      </c>
      <c r="D41" s="378" t="s">
        <v>2983</v>
      </c>
      <c r="E41" s="3145">
        <f>G20</f>
        <v>0</v>
      </c>
      <c r="F41" s="378" t="s">
        <v>2984</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8"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t="str">
        <f>估价对象房地状况!C24</f>
        <v>支路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7"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8" t="s">
        <v>2936</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支路</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7" t="s">
        <v>2934</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支路</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7"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7"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1" t="s">
        <v>1633</v>
      </c>
      <c r="B90" s="3421"/>
      <c r="C90" s="3421"/>
      <c r="D90" s="3421"/>
      <c r="E90" s="3421"/>
      <c r="F90" s="3421"/>
      <c r="G90" s="3421"/>
      <c r="H90" s="3421"/>
      <c r="I90" s="3421"/>
      <c r="J90" s="3421"/>
      <c r="K90" s="2415"/>
      <c r="L90" s="2415"/>
      <c r="M90" s="2415"/>
      <c r="N90" s="2415"/>
    </row>
    <row r="91" spans="1:40">
      <c r="A91" s="3422" t="s">
        <v>1443</v>
      </c>
      <c r="B91" s="3422" t="s">
        <v>1634</v>
      </c>
      <c r="C91" s="1136" t="s">
        <v>1635</v>
      </c>
      <c r="D91" s="1137"/>
      <c r="E91" s="1137"/>
      <c r="F91" s="1137"/>
      <c r="G91" s="1137"/>
      <c r="H91" s="1137"/>
      <c r="I91" s="1137"/>
      <c r="J91" s="1138"/>
      <c r="K91" s="1130"/>
      <c r="L91" s="1130"/>
      <c r="M91" s="1130"/>
      <c r="N91" s="1130"/>
    </row>
    <row r="92" spans="1:40">
      <c r="A92" s="3422"/>
      <c r="B92" s="342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0"/>
      <c r="B108" s="343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1"/>
      <c r="B109" s="343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5" t="s">
        <v>1639</v>
      </c>
      <c r="B110" s="3415"/>
      <c r="C110" s="3415"/>
      <c r="D110" s="3415"/>
      <c r="E110" s="3415"/>
      <c r="F110" s="3415"/>
      <c r="G110" s="3415"/>
      <c r="H110" s="3415"/>
      <c r="I110" s="3415"/>
      <c r="J110" s="341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2" t="s">
        <v>1007</v>
      </c>
      <c r="B18" s="1150" t="s">
        <v>1446</v>
      </c>
      <c r="C18" s="1127" t="s">
        <v>1447</v>
      </c>
      <c r="D18" s="1128"/>
      <c r="E18" s="1150">
        <v>1</v>
      </c>
      <c r="F18" s="1129" t="s">
        <v>1448</v>
      </c>
      <c r="G18" s="1130"/>
      <c r="H18" s="1101"/>
      <c r="I18" s="1101"/>
    </row>
    <row r="19" spans="1:9" s="1585" customFormat="1" ht="19.5" customHeight="1">
      <c r="A19" s="3422"/>
      <c r="B19" s="3422" t="s">
        <v>1449</v>
      </c>
      <c r="C19" s="1127" t="s">
        <v>1450</v>
      </c>
      <c r="D19" s="1128"/>
      <c r="E19" s="1150">
        <v>0.9</v>
      </c>
      <c r="F19" s="1129" t="s">
        <v>1451</v>
      </c>
      <c r="G19" s="1130"/>
      <c r="H19" s="1101"/>
      <c r="I19" s="1101"/>
    </row>
    <row r="20" spans="1:9" s="1585" customFormat="1" ht="19.5" customHeight="1">
      <c r="A20" s="3422"/>
      <c r="B20" s="3422"/>
      <c r="C20" s="1127" t="s">
        <v>1452</v>
      </c>
      <c r="D20" s="1128"/>
      <c r="E20" s="1150">
        <v>1.1000000000000001</v>
      </c>
      <c r="F20" s="1129" t="s">
        <v>1453</v>
      </c>
      <c r="G20" s="1130"/>
      <c r="H20" s="1101"/>
      <c r="I20" s="1101"/>
    </row>
    <row r="21" spans="1:9" s="1585" customFormat="1" ht="19.5" customHeight="1">
      <c r="A21" s="3422"/>
      <c r="B21" s="3422"/>
      <c r="C21" s="1127" t="s">
        <v>1454</v>
      </c>
      <c r="D21" s="1128"/>
      <c r="E21" s="1150">
        <v>0.8</v>
      </c>
      <c r="F21" s="1129" t="s">
        <v>1455</v>
      </c>
      <c r="G21" s="1130"/>
      <c r="H21" s="1101"/>
      <c r="I21" s="1101"/>
    </row>
    <row r="22" spans="1:9" s="1585" customFormat="1" ht="19.5" customHeight="1">
      <c r="A22" s="3422"/>
      <c r="B22" s="3422"/>
      <c r="C22" s="1127" t="s">
        <v>1456</v>
      </c>
      <c r="D22" s="1128"/>
      <c r="E22" s="1150">
        <v>0.5</v>
      </c>
      <c r="F22" s="1129"/>
      <c r="G22" s="1130"/>
      <c r="H22" s="1101"/>
      <c r="I22" s="1101"/>
    </row>
    <row r="23" spans="1:9" s="1585" customFormat="1" ht="19.5" customHeight="1">
      <c r="A23" s="3422" t="s">
        <v>1029</v>
      </c>
      <c r="B23" s="1150" t="s">
        <v>1446</v>
      </c>
      <c r="C23" s="1127" t="s">
        <v>1457</v>
      </c>
      <c r="D23" s="1128"/>
      <c r="E23" s="1150">
        <v>1</v>
      </c>
      <c r="F23" s="1129" t="s">
        <v>1458</v>
      </c>
      <c r="G23" s="1130"/>
      <c r="H23" s="1101"/>
      <c r="I23" s="1101"/>
    </row>
    <row r="24" spans="1:9" s="1585" customFormat="1" ht="19.5" customHeight="1">
      <c r="A24" s="3422"/>
      <c r="B24" s="3422" t="s">
        <v>1449</v>
      </c>
      <c r="C24" s="1127" t="s">
        <v>1459</v>
      </c>
      <c r="D24" s="1128"/>
      <c r="E24" s="1150">
        <v>0.5</v>
      </c>
      <c r="F24" s="1129"/>
      <c r="G24" s="1130"/>
      <c r="H24" s="1101"/>
      <c r="I24" s="1101"/>
    </row>
    <row r="25" spans="1:9" s="1585" customFormat="1" ht="19.5" customHeight="1">
      <c r="A25" s="3422"/>
      <c r="B25" s="3422"/>
      <c r="C25" s="1127" t="s">
        <v>1460</v>
      </c>
      <c r="D25" s="1128"/>
      <c r="E25" s="1150">
        <v>1.1000000000000001</v>
      </c>
      <c r="F25" s="1129"/>
      <c r="G25" s="1130"/>
      <c r="H25" s="1101"/>
      <c r="I25" s="1101"/>
    </row>
    <row r="26" spans="1:9" s="1585" customFormat="1" ht="19.5" customHeight="1">
      <c r="A26" s="3422"/>
      <c r="B26" s="3422"/>
      <c r="C26" s="1127" t="s">
        <v>1461</v>
      </c>
      <c r="D26" s="1128"/>
      <c r="E26" s="1150">
        <v>1.1000000000000001</v>
      </c>
      <c r="F26" s="1129"/>
      <c r="G26" s="1130"/>
      <c r="H26" s="1101"/>
      <c r="I26" s="1101"/>
    </row>
    <row r="27" spans="1:9" s="1585" customFormat="1" ht="19.5" customHeight="1">
      <c r="A27" s="3422"/>
      <c r="B27" s="3422"/>
      <c r="C27" s="1127" t="s">
        <v>1462</v>
      </c>
      <c r="D27" s="1128"/>
      <c r="E27" s="1150">
        <v>0.9</v>
      </c>
      <c r="F27" s="1129" t="s">
        <v>1463</v>
      </c>
      <c r="G27" s="1130"/>
      <c r="H27" s="1101"/>
      <c r="I27" s="1101"/>
    </row>
    <row r="28" spans="1:9" s="1585" customFormat="1" ht="19.5" customHeight="1">
      <c r="A28" s="3422"/>
      <c r="B28" s="3422"/>
      <c r="C28" s="1127" t="s">
        <v>1464</v>
      </c>
      <c r="D28" s="1128"/>
      <c r="E28" s="1150">
        <v>0.9</v>
      </c>
      <c r="F28" s="1129" t="s">
        <v>1465</v>
      </c>
      <c r="G28" s="1130"/>
      <c r="H28" s="1101"/>
      <c r="I28" s="1101"/>
    </row>
    <row r="29" spans="1:9" s="1585" customFormat="1" ht="19.5" customHeight="1">
      <c r="A29" s="3422"/>
      <c r="B29" s="3422"/>
      <c r="C29" s="1127" t="s">
        <v>1466</v>
      </c>
      <c r="D29" s="1128"/>
      <c r="E29" s="1150">
        <v>0.9</v>
      </c>
      <c r="F29" s="1129" t="s">
        <v>1467</v>
      </c>
      <c r="G29" s="1130"/>
      <c r="H29" s="1101"/>
      <c r="I29" s="1101"/>
    </row>
    <row r="30" spans="1:9" s="1585" customFormat="1" ht="19.5" customHeight="1">
      <c r="A30" s="3422"/>
      <c r="B30" s="3422"/>
      <c r="C30" s="1127" t="s">
        <v>1468</v>
      </c>
      <c r="D30" s="1128"/>
      <c r="E30" s="1150">
        <v>0.9</v>
      </c>
      <c r="F30" s="1129" t="s">
        <v>1469</v>
      </c>
      <c r="G30" s="1130"/>
      <c r="H30" s="1101"/>
      <c r="I30" s="1101"/>
    </row>
    <row r="31" spans="1:9" s="1585" customFormat="1" ht="19.5" customHeight="1">
      <c r="A31" s="3422"/>
      <c r="B31" s="3422"/>
      <c r="C31" s="1127" t="s">
        <v>1470</v>
      </c>
      <c r="D31" s="1128"/>
      <c r="E31" s="1150">
        <v>0.8</v>
      </c>
      <c r="F31" s="1129" t="s">
        <v>1471</v>
      </c>
      <c r="G31" s="1130"/>
      <c r="H31" s="1101"/>
      <c r="I31" s="1101"/>
    </row>
    <row r="32" spans="1:9" s="1585" customFormat="1" ht="19.5" customHeight="1">
      <c r="A32" s="3422"/>
      <c r="B32" s="3422"/>
      <c r="C32" s="1127" t="s">
        <v>1472</v>
      </c>
      <c r="D32" s="1128"/>
      <c r="E32" s="1150">
        <v>0.8</v>
      </c>
      <c r="F32" s="1129" t="s">
        <v>1473</v>
      </c>
      <c r="G32" s="1130"/>
      <c r="H32" s="1101"/>
      <c r="I32" s="1101"/>
    </row>
    <row r="33" spans="1:9" s="1585" customFormat="1" ht="19.5" customHeight="1">
      <c r="A33" s="3422" t="s">
        <v>1474</v>
      </c>
      <c r="B33" s="1150" t="s">
        <v>1446</v>
      </c>
      <c r="C33" s="1127" t="s">
        <v>1475</v>
      </c>
      <c r="D33" s="1128"/>
      <c r="E33" s="1150">
        <v>1</v>
      </c>
      <c r="F33" s="1129" t="s">
        <v>1476</v>
      </c>
      <c r="G33" s="1130"/>
      <c r="H33" s="1101"/>
      <c r="I33" s="1101"/>
    </row>
    <row r="34" spans="1:9" s="1585" customFormat="1" ht="19.5" customHeight="1">
      <c r="A34" s="3422"/>
      <c r="B34" s="1150" t="s">
        <v>1449</v>
      </c>
      <c r="C34" s="1127" t="s">
        <v>1477</v>
      </c>
      <c r="D34" s="1128"/>
      <c r="E34" s="1150">
        <v>1.5</v>
      </c>
      <c r="F34" s="1129" t="s">
        <v>1478</v>
      </c>
      <c r="G34" s="1130"/>
      <c r="H34" s="1101"/>
      <c r="I34" s="1101"/>
    </row>
    <row r="35" spans="1:9" s="1585" customFormat="1" ht="19.5" customHeight="1">
      <c r="A35" s="3422" t="s">
        <v>1432</v>
      </c>
      <c r="B35" s="1150" t="s">
        <v>1446</v>
      </c>
      <c r="C35" s="1127" t="s">
        <v>1479</v>
      </c>
      <c r="D35" s="1128"/>
      <c r="E35" s="1150">
        <v>1</v>
      </c>
      <c r="F35" s="1129" t="s">
        <v>1480</v>
      </c>
      <c r="G35" s="1130"/>
      <c r="H35" s="1101"/>
      <c r="I35" s="1101"/>
    </row>
    <row r="36" spans="1:9" s="1585" customFormat="1" ht="19.5" customHeight="1">
      <c r="A36" s="3422"/>
      <c r="B36" s="3422" t="s">
        <v>1449</v>
      </c>
      <c r="C36" s="1127" t="s">
        <v>1481</v>
      </c>
      <c r="D36" s="1128"/>
      <c r="E36" s="1150">
        <v>1</v>
      </c>
      <c r="F36" s="1129" t="s">
        <v>1482</v>
      </c>
      <c r="G36" s="1130"/>
      <c r="H36" s="1101"/>
      <c r="I36" s="1101"/>
    </row>
    <row r="37" spans="1:9" s="1585" customFormat="1" ht="19.5" customHeight="1">
      <c r="A37" s="3422"/>
      <c r="B37" s="3422"/>
      <c r="C37" s="1127" t="s">
        <v>1483</v>
      </c>
      <c r="D37" s="1128"/>
      <c r="E37" s="1150">
        <v>1.5</v>
      </c>
      <c r="F37" s="1129" t="s">
        <v>1484</v>
      </c>
      <c r="G37" s="1130"/>
      <c r="H37" s="1101"/>
      <c r="I37" s="1101"/>
    </row>
    <row r="38" spans="1:9" s="1585" customFormat="1" ht="19.5" customHeight="1">
      <c r="A38" s="3422"/>
      <c r="B38" s="3422"/>
      <c r="C38" s="1127" t="s">
        <v>1485</v>
      </c>
      <c r="D38" s="1128"/>
      <c r="E38" s="1150">
        <v>1</v>
      </c>
      <c r="F38" s="1129" t="s">
        <v>1486</v>
      </c>
      <c r="G38" s="1130"/>
      <c r="H38" s="1101"/>
      <c r="I38" s="1101"/>
    </row>
    <row r="39" spans="1:9" s="1585" customFormat="1" ht="19.5" customHeight="1">
      <c r="A39" s="3422"/>
      <c r="B39" s="342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2" t="s">
        <v>1501</v>
      </c>
      <c r="C61" s="1064" t="s">
        <v>1502</v>
      </c>
      <c r="D61" s="1064" t="s">
        <v>1503</v>
      </c>
      <c r="E61" s="1135">
        <v>0.5</v>
      </c>
      <c r="F61" s="1150">
        <v>80</v>
      </c>
      <c r="H61" s="1101">
        <f>SUMIF(C59:C119,基准地价!C8,E59:E119)</f>
        <v>0</v>
      </c>
    </row>
    <row r="62" spans="1:8" s="1101" customFormat="1" ht="24">
      <c r="A62" s="1150">
        <v>2</v>
      </c>
      <c r="B62" s="3422"/>
      <c r="C62" s="1064" t="s">
        <v>1504</v>
      </c>
      <c r="D62" s="1064" t="s">
        <v>1505</v>
      </c>
      <c r="E62" s="1135">
        <v>0.5</v>
      </c>
      <c r="F62" s="1150">
        <v>80</v>
      </c>
    </row>
    <row r="63" spans="1:8" s="1101" customFormat="1" ht="36">
      <c r="A63" s="1150">
        <v>3</v>
      </c>
      <c r="B63" s="3422"/>
      <c r="C63" s="1064" t="s">
        <v>1506</v>
      </c>
      <c r="D63" s="1064" t="s">
        <v>1507</v>
      </c>
      <c r="E63" s="1135">
        <v>0.5</v>
      </c>
      <c r="F63" s="1150">
        <v>80</v>
      </c>
    </row>
    <row r="64" spans="1:8" s="1101" customFormat="1" ht="36">
      <c r="A64" s="1150">
        <v>4</v>
      </c>
      <c r="B64" s="3422"/>
      <c r="C64" s="1064" t="s">
        <v>1508</v>
      </c>
      <c r="D64" s="1064" t="s">
        <v>1509</v>
      </c>
      <c r="E64" s="1135">
        <v>0.4</v>
      </c>
      <c r="F64" s="1150">
        <v>60</v>
      </c>
    </row>
    <row r="65" spans="1:6" s="1101" customFormat="1" ht="36">
      <c r="A65" s="1150">
        <v>5</v>
      </c>
      <c r="B65" s="3422"/>
      <c r="C65" s="1064" t="s">
        <v>1510</v>
      </c>
      <c r="D65" s="1064" t="s">
        <v>1511</v>
      </c>
      <c r="E65" s="1135">
        <v>0.2</v>
      </c>
      <c r="F65" s="1150">
        <v>30</v>
      </c>
    </row>
    <row r="66" spans="1:6" s="1101" customFormat="1" ht="36">
      <c r="A66" s="1150">
        <v>6</v>
      </c>
      <c r="B66" s="3422"/>
      <c r="C66" s="1064" t="s">
        <v>1512</v>
      </c>
      <c r="D66" s="1064" t="s">
        <v>1513</v>
      </c>
      <c r="E66" s="1135">
        <v>0.3</v>
      </c>
      <c r="F66" s="1150">
        <v>50</v>
      </c>
    </row>
    <row r="67" spans="1:6" s="1101" customFormat="1" ht="36">
      <c r="A67" s="1150">
        <v>7</v>
      </c>
      <c r="B67" s="3422"/>
      <c r="C67" s="1064" t="s">
        <v>1514</v>
      </c>
      <c r="D67" s="1064" t="s">
        <v>1515</v>
      </c>
      <c r="E67" s="1135">
        <v>0.2</v>
      </c>
      <c r="F67" s="1150">
        <v>30</v>
      </c>
    </row>
    <row r="68" spans="1:6" s="1101" customFormat="1" ht="36">
      <c r="A68" s="1150">
        <v>8</v>
      </c>
      <c r="B68" s="3422"/>
      <c r="C68" s="1064" t="s">
        <v>1516</v>
      </c>
      <c r="D68" s="1064" t="s">
        <v>1517</v>
      </c>
      <c r="E68" s="1135">
        <v>0.2</v>
      </c>
      <c r="F68" s="1150">
        <v>30</v>
      </c>
    </row>
    <row r="69" spans="1:6" s="1101" customFormat="1" ht="36">
      <c r="A69" s="1150">
        <v>9</v>
      </c>
      <c r="B69" s="3422"/>
      <c r="C69" s="1064" t="s">
        <v>1518</v>
      </c>
      <c r="D69" s="1064" t="s">
        <v>1519</v>
      </c>
      <c r="E69" s="1135">
        <v>0.2</v>
      </c>
      <c r="F69" s="1150">
        <v>30</v>
      </c>
    </row>
    <row r="70" spans="1:6" s="1101" customFormat="1" ht="48">
      <c r="A70" s="1150">
        <v>10</v>
      </c>
      <c r="B70" s="3422"/>
      <c r="C70" s="1064" t="s">
        <v>1520</v>
      </c>
      <c r="D70" s="1064" t="s">
        <v>1521</v>
      </c>
      <c r="E70" s="1135">
        <v>0.2</v>
      </c>
      <c r="F70" s="1150">
        <v>30</v>
      </c>
    </row>
    <row r="71" spans="1:6" s="1101" customFormat="1" ht="48">
      <c r="A71" s="1150">
        <v>11</v>
      </c>
      <c r="B71" s="3422"/>
      <c r="C71" s="1064" t="s">
        <v>1522</v>
      </c>
      <c r="D71" s="1064" t="s">
        <v>1523</v>
      </c>
      <c r="E71" s="1135">
        <v>0.2</v>
      </c>
      <c r="F71" s="1150">
        <v>30</v>
      </c>
    </row>
    <row r="72" spans="1:6" s="1101" customFormat="1" ht="36">
      <c r="A72" s="1150">
        <v>12</v>
      </c>
      <c r="B72" s="3422"/>
      <c r="C72" s="1064" t="s">
        <v>1524</v>
      </c>
      <c r="D72" s="1064" t="s">
        <v>1525</v>
      </c>
      <c r="E72" s="1135">
        <v>0.5</v>
      </c>
      <c r="F72" s="1150">
        <v>80</v>
      </c>
    </row>
    <row r="73" spans="1:6" s="1101" customFormat="1" ht="24">
      <c r="A73" s="1150">
        <v>13</v>
      </c>
      <c r="B73" s="3422"/>
      <c r="C73" s="1064" t="s">
        <v>1526</v>
      </c>
      <c r="D73" s="1064" t="s">
        <v>1527</v>
      </c>
      <c r="E73" s="1135">
        <v>0.4</v>
      </c>
      <c r="F73" s="1150">
        <v>60</v>
      </c>
    </row>
    <row r="74" spans="1:6" s="1101" customFormat="1" ht="24">
      <c r="A74" s="1150">
        <v>14</v>
      </c>
      <c r="B74" s="3422"/>
      <c r="C74" s="1064" t="s">
        <v>1528</v>
      </c>
      <c r="D74" s="1064" t="s">
        <v>1529</v>
      </c>
      <c r="E74" s="1135">
        <v>0.2</v>
      </c>
      <c r="F74" s="1150">
        <v>30</v>
      </c>
    </row>
    <row r="75" spans="1:6" s="1101" customFormat="1" ht="24">
      <c r="A75" s="1150">
        <v>15</v>
      </c>
      <c r="B75" s="3422"/>
      <c r="C75" s="1064" t="s">
        <v>1530</v>
      </c>
      <c r="D75" s="1064" t="s">
        <v>1531</v>
      </c>
      <c r="E75" s="1135">
        <v>0.2</v>
      </c>
      <c r="F75" s="1150">
        <v>30</v>
      </c>
    </row>
    <row r="76" spans="1:6" s="1101" customFormat="1" ht="24">
      <c r="A76" s="1150">
        <v>16</v>
      </c>
      <c r="B76" s="3422" t="s">
        <v>1532</v>
      </c>
      <c r="C76" s="1064" t="s">
        <v>1533</v>
      </c>
      <c r="D76" s="1064" t="s">
        <v>1534</v>
      </c>
      <c r="E76" s="1135">
        <v>0.5</v>
      </c>
      <c r="F76" s="1150">
        <v>80</v>
      </c>
    </row>
    <row r="77" spans="1:6" s="1101" customFormat="1" ht="24">
      <c r="A77" s="1150">
        <v>17</v>
      </c>
      <c r="B77" s="3422"/>
      <c r="C77" s="1064" t="s">
        <v>1535</v>
      </c>
      <c r="D77" s="1064" t="s">
        <v>1536</v>
      </c>
      <c r="E77" s="1135">
        <v>0.5</v>
      </c>
      <c r="F77" s="1150">
        <v>80</v>
      </c>
    </row>
    <row r="78" spans="1:6" s="1101" customFormat="1" ht="24">
      <c r="A78" s="1150">
        <v>18</v>
      </c>
      <c r="B78" s="3422"/>
      <c r="C78" s="1064" t="s">
        <v>1537</v>
      </c>
      <c r="D78" s="1064" t="s">
        <v>1538</v>
      </c>
      <c r="E78" s="1135">
        <v>0.2</v>
      </c>
      <c r="F78" s="1150">
        <v>30</v>
      </c>
    </row>
    <row r="79" spans="1:6" s="1101" customFormat="1" ht="24">
      <c r="A79" s="1150">
        <v>19</v>
      </c>
      <c r="B79" s="3422"/>
      <c r="C79" s="1064" t="s">
        <v>1539</v>
      </c>
      <c r="D79" s="1064" t="s">
        <v>1540</v>
      </c>
      <c r="E79" s="1135">
        <v>0.5</v>
      </c>
      <c r="F79" s="1150">
        <v>80</v>
      </c>
    </row>
    <row r="80" spans="1:6" s="1101" customFormat="1" ht="36">
      <c r="A80" s="1150">
        <v>20</v>
      </c>
      <c r="B80" s="3422"/>
      <c r="C80" s="1064" t="s">
        <v>1541</v>
      </c>
      <c r="D80" s="1064" t="s">
        <v>1542</v>
      </c>
      <c r="E80" s="1135">
        <v>0.2</v>
      </c>
      <c r="F80" s="1150">
        <v>30</v>
      </c>
    </row>
    <row r="81" spans="1:6" s="1101" customFormat="1" ht="36">
      <c r="A81" s="1150">
        <v>21</v>
      </c>
      <c r="B81" s="3422"/>
      <c r="C81" s="1064" t="s">
        <v>1543</v>
      </c>
      <c r="D81" s="1064" t="s">
        <v>1544</v>
      </c>
      <c r="E81" s="1135">
        <v>0.2</v>
      </c>
      <c r="F81" s="1150">
        <v>30</v>
      </c>
    </row>
    <row r="82" spans="1:6" s="1101" customFormat="1" ht="48">
      <c r="A82" s="1150">
        <v>22</v>
      </c>
      <c r="B82" s="3422"/>
      <c r="C82" s="1064" t="s">
        <v>1545</v>
      </c>
      <c r="D82" s="1064" t="s">
        <v>1546</v>
      </c>
      <c r="E82" s="1135">
        <v>0.2</v>
      </c>
      <c r="F82" s="1150">
        <v>30</v>
      </c>
    </row>
    <row r="83" spans="1:6" s="1101" customFormat="1" ht="48">
      <c r="A83" s="1150">
        <v>23</v>
      </c>
      <c r="B83" s="3422"/>
      <c r="C83" s="1064" t="s">
        <v>1547</v>
      </c>
      <c r="D83" s="1064" t="s">
        <v>1548</v>
      </c>
      <c r="E83" s="1135">
        <v>0.2</v>
      </c>
      <c r="F83" s="1150">
        <v>30</v>
      </c>
    </row>
    <row r="84" spans="1:6" s="1101" customFormat="1" ht="36">
      <c r="A84" s="1150">
        <v>24</v>
      </c>
      <c r="B84" s="3422"/>
      <c r="C84" s="1064" t="s">
        <v>1549</v>
      </c>
      <c r="D84" s="1064" t="s">
        <v>1550</v>
      </c>
      <c r="E84" s="1135">
        <v>0.2</v>
      </c>
      <c r="F84" s="1150">
        <v>30</v>
      </c>
    </row>
    <row r="85" spans="1:6" s="1101" customFormat="1" ht="36">
      <c r="A85" s="1150">
        <v>25</v>
      </c>
      <c r="B85" s="3422"/>
      <c r="C85" s="1064" t="s">
        <v>1551</v>
      </c>
      <c r="D85" s="1064" t="s">
        <v>1552</v>
      </c>
      <c r="E85" s="1135">
        <v>0.5</v>
      </c>
      <c r="F85" s="1150">
        <v>80</v>
      </c>
    </row>
    <row r="86" spans="1:6" s="1101" customFormat="1" ht="36">
      <c r="A86" s="1150">
        <v>26</v>
      </c>
      <c r="B86" s="3422"/>
      <c r="C86" s="1064" t="s">
        <v>1553</v>
      </c>
      <c r="D86" s="1064" t="s">
        <v>1554</v>
      </c>
      <c r="E86" s="1135">
        <v>0.2</v>
      </c>
      <c r="F86" s="1150">
        <v>30</v>
      </c>
    </row>
    <row r="87" spans="1:6" s="1101" customFormat="1" ht="36">
      <c r="A87" s="1150">
        <v>27</v>
      </c>
      <c r="B87" s="3422"/>
      <c r="C87" s="1064" t="s">
        <v>1555</v>
      </c>
      <c r="D87" s="1064" t="s">
        <v>1556</v>
      </c>
      <c r="E87" s="1135">
        <v>0.2</v>
      </c>
      <c r="F87" s="1150">
        <v>30</v>
      </c>
    </row>
    <row r="88" spans="1:6" s="1101" customFormat="1" ht="36">
      <c r="A88" s="1150">
        <v>28</v>
      </c>
      <c r="B88" s="3422"/>
      <c r="C88" s="1064" t="s">
        <v>1557</v>
      </c>
      <c r="D88" s="1064" t="s">
        <v>1558</v>
      </c>
      <c r="E88" s="1135">
        <v>0.2</v>
      </c>
      <c r="F88" s="1150">
        <v>30</v>
      </c>
    </row>
    <row r="89" spans="1:6" s="1101" customFormat="1" ht="24">
      <c r="A89" s="1150">
        <v>29</v>
      </c>
      <c r="B89" s="3422"/>
      <c r="C89" s="1064" t="s">
        <v>1559</v>
      </c>
      <c r="D89" s="1064" t="s">
        <v>1560</v>
      </c>
      <c r="E89" s="1135">
        <v>0.2</v>
      </c>
      <c r="F89" s="1150">
        <v>30</v>
      </c>
    </row>
    <row r="90" spans="1:6" s="1101" customFormat="1" ht="24">
      <c r="A90" s="1150">
        <v>30</v>
      </c>
      <c r="B90" s="3422"/>
      <c r="C90" s="1064" t="s">
        <v>1561</v>
      </c>
      <c r="D90" s="1064" t="s">
        <v>1562</v>
      </c>
      <c r="E90" s="1135">
        <v>0.2</v>
      </c>
      <c r="F90" s="1150">
        <v>30</v>
      </c>
    </row>
    <row r="91" spans="1:6" s="1101" customFormat="1" ht="36">
      <c r="A91" s="1150">
        <v>31</v>
      </c>
      <c r="B91" s="3422"/>
      <c r="C91" s="1064" t="s">
        <v>1563</v>
      </c>
      <c r="D91" s="1064" t="s">
        <v>1564</v>
      </c>
      <c r="E91" s="1135">
        <v>0.2</v>
      </c>
      <c r="F91" s="1150">
        <v>30</v>
      </c>
    </row>
    <row r="92" spans="1:6" s="1101" customFormat="1" ht="24">
      <c r="A92" s="1150">
        <v>32</v>
      </c>
      <c r="B92" s="3422" t="s">
        <v>1565</v>
      </c>
      <c r="C92" s="1150" t="s">
        <v>1566</v>
      </c>
      <c r="D92" s="1064" t="s">
        <v>1567</v>
      </c>
      <c r="E92" s="1135">
        <v>0.2</v>
      </c>
      <c r="F92" s="1150">
        <v>30</v>
      </c>
    </row>
    <row r="93" spans="1:6" s="1101" customFormat="1" ht="36">
      <c r="A93" s="1150">
        <v>33</v>
      </c>
      <c r="B93" s="3422"/>
      <c r="C93" s="1150" t="s">
        <v>1568</v>
      </c>
      <c r="D93" s="1064" t="s">
        <v>1569</v>
      </c>
      <c r="E93" s="1135">
        <v>0.2</v>
      </c>
      <c r="F93" s="1150">
        <v>30</v>
      </c>
    </row>
    <row r="94" spans="1:6" s="1101" customFormat="1" ht="48">
      <c r="A94" s="1150">
        <v>34</v>
      </c>
      <c r="B94" s="3422"/>
      <c r="C94" s="1150" t="s">
        <v>1570</v>
      </c>
      <c r="D94" s="1064" t="s">
        <v>1571</v>
      </c>
      <c r="E94" s="1135">
        <v>0.2</v>
      </c>
      <c r="F94" s="1150">
        <v>30</v>
      </c>
    </row>
    <row r="95" spans="1:6" s="1101" customFormat="1" ht="36">
      <c r="A95" s="1150">
        <v>35</v>
      </c>
      <c r="B95" s="3422"/>
      <c r="C95" s="1150" t="s">
        <v>1572</v>
      </c>
      <c r="D95" s="1064" t="s">
        <v>1573</v>
      </c>
      <c r="E95" s="1135">
        <v>0.2</v>
      </c>
      <c r="F95" s="1150">
        <v>30</v>
      </c>
    </row>
    <row r="96" spans="1:6" s="1101" customFormat="1" ht="48">
      <c r="A96" s="1150">
        <v>36</v>
      </c>
      <c r="B96" s="3422"/>
      <c r="C96" s="1064" t="s">
        <v>1574</v>
      </c>
      <c r="D96" s="1064" t="s">
        <v>1575</v>
      </c>
      <c r="E96" s="1135">
        <v>0.2</v>
      </c>
      <c r="F96" s="1150">
        <v>30</v>
      </c>
    </row>
    <row r="97" spans="1:6" s="1101" customFormat="1" ht="36">
      <c r="A97" s="1150">
        <v>37</v>
      </c>
      <c r="B97" s="3422"/>
      <c r="C97" s="1150" t="s">
        <v>1576</v>
      </c>
      <c r="D97" s="1064" t="s">
        <v>1577</v>
      </c>
      <c r="E97" s="1135">
        <v>0.2</v>
      </c>
      <c r="F97" s="1150">
        <v>30</v>
      </c>
    </row>
    <row r="98" spans="1:6" s="1101" customFormat="1" ht="36">
      <c r="A98" s="1150">
        <v>38</v>
      </c>
      <c r="B98" s="3422"/>
      <c r="C98" s="1150" t="s">
        <v>1578</v>
      </c>
      <c r="D98" s="1064" t="s">
        <v>1579</v>
      </c>
      <c r="E98" s="1135">
        <v>0.2</v>
      </c>
      <c r="F98" s="1150">
        <v>30</v>
      </c>
    </row>
    <row r="99" spans="1:6" s="1101" customFormat="1" ht="36">
      <c r="A99" s="1150">
        <v>39</v>
      </c>
      <c r="B99" s="3422" t="s">
        <v>1580</v>
      </c>
      <c r="C99" s="1150" t="s">
        <v>1581</v>
      </c>
      <c r="D99" s="1064" t="s">
        <v>1582</v>
      </c>
      <c r="E99" s="1135">
        <v>0.3</v>
      </c>
      <c r="F99" s="1150">
        <v>50</v>
      </c>
    </row>
    <row r="100" spans="1:6" s="1101" customFormat="1" ht="24">
      <c r="A100" s="1150">
        <v>40</v>
      </c>
      <c r="B100" s="3422"/>
      <c r="C100" s="1150" t="s">
        <v>1583</v>
      </c>
      <c r="D100" s="1064" t="s">
        <v>1584</v>
      </c>
      <c r="E100" s="1135">
        <v>0.2</v>
      </c>
      <c r="F100" s="1150">
        <v>30</v>
      </c>
    </row>
    <row r="101" spans="1:6" s="1101" customFormat="1" ht="36">
      <c r="A101" s="1150">
        <v>41</v>
      </c>
      <c r="B101" s="342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2" t="s">
        <v>1595</v>
      </c>
      <c r="C105" s="1150" t="s">
        <v>1596</v>
      </c>
      <c r="D105" s="1064" t="s">
        <v>1597</v>
      </c>
      <c r="E105" s="1135">
        <v>0.2</v>
      </c>
      <c r="F105" s="1150">
        <v>30</v>
      </c>
    </row>
    <row r="106" spans="1:6" s="1101" customFormat="1" ht="36">
      <c r="A106" s="1150">
        <v>46</v>
      </c>
      <c r="B106" s="3422"/>
      <c r="C106" s="1150" t="s">
        <v>1598</v>
      </c>
      <c r="D106" s="1064" t="s">
        <v>1599</v>
      </c>
      <c r="E106" s="1135">
        <v>0.2</v>
      </c>
      <c r="F106" s="1150">
        <v>30</v>
      </c>
    </row>
    <row r="107" spans="1:6" s="1101" customFormat="1" ht="36">
      <c r="A107" s="1150">
        <v>47</v>
      </c>
      <c r="B107" s="3422" t="s">
        <v>1600</v>
      </c>
      <c r="C107" s="1150" t="s">
        <v>1601</v>
      </c>
      <c r="D107" s="1064" t="s">
        <v>1602</v>
      </c>
      <c r="E107" s="1135">
        <v>0.3</v>
      </c>
      <c r="F107" s="1150">
        <v>50</v>
      </c>
    </row>
    <row r="108" spans="1:6" s="1101" customFormat="1" ht="36">
      <c r="A108" s="1150">
        <v>48</v>
      </c>
      <c r="B108" s="342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2" t="s">
        <v>1611</v>
      </c>
      <c r="C111" s="1150" t="s">
        <v>1612</v>
      </c>
      <c r="D111" s="1064" t="s">
        <v>1613</v>
      </c>
      <c r="E111" s="1135">
        <v>0.2</v>
      </c>
      <c r="F111" s="1150">
        <v>30</v>
      </c>
    </row>
    <row r="112" spans="1:6" s="1101" customFormat="1" ht="24">
      <c r="A112" s="1150">
        <v>52</v>
      </c>
      <c r="B112" s="3422"/>
      <c r="C112" s="1150" t="s">
        <v>1614</v>
      </c>
      <c r="D112" s="1064" t="s">
        <v>1615</v>
      </c>
      <c r="E112" s="1135">
        <v>0.2</v>
      </c>
      <c r="F112" s="1150">
        <v>30</v>
      </c>
    </row>
    <row r="113" spans="1:14" s="1101" customFormat="1" ht="24">
      <c r="A113" s="1150">
        <v>53</v>
      </c>
      <c r="B113" s="342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2" t="s">
        <v>1624</v>
      </c>
      <c r="C116" s="1150" t="s">
        <v>1625</v>
      </c>
      <c r="D116" s="1064" t="s">
        <v>1626</v>
      </c>
      <c r="E116" s="1135">
        <v>0.2</v>
      </c>
      <c r="F116" s="1150">
        <v>30</v>
      </c>
    </row>
    <row r="117" spans="1:14" ht="36">
      <c r="A117" s="1150">
        <v>57</v>
      </c>
      <c r="B117" s="342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1" t="s">
        <v>1633</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1039</v>
      </c>
      <c r="B1" s="3436"/>
      <c r="C1" s="3436"/>
      <c r="D1" s="3436"/>
      <c r="E1" s="3436"/>
      <c r="F1" s="343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7" t="s">
        <v>1052</v>
      </c>
      <c r="B2" s="3437"/>
      <c r="C2" s="3437"/>
      <c r="D2" s="3437"/>
      <c r="E2" s="3437"/>
      <c r="F2" s="343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0" t="s">
        <v>2079</v>
      </c>
      <c r="B1" s="3440"/>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3" t="s">
        <v>2576</v>
      </c>
      <c r="C1" s="3443"/>
      <c r="D1" s="3443"/>
      <c r="E1" s="3443"/>
      <c r="F1" s="3443"/>
      <c r="G1" s="3442" t="s">
        <v>2577</v>
      </c>
      <c r="H1" s="3442"/>
      <c r="I1" s="3442"/>
      <c r="J1" s="3442"/>
      <c r="K1" s="3442"/>
      <c r="L1" s="3442"/>
      <c r="N1" s="3442" t="s">
        <v>2578</v>
      </c>
      <c r="O1" s="3442"/>
      <c r="P1" s="3442"/>
      <c r="Q1" s="3442"/>
      <c r="R1" s="2619"/>
      <c r="S1" s="3442" t="s">
        <v>2579</v>
      </c>
      <c r="T1" s="3442"/>
      <c r="U1" s="3442"/>
      <c r="V1" s="3442"/>
      <c r="X1" s="3441" t="s">
        <v>2639</v>
      </c>
      <c r="Y1" s="3442"/>
      <c r="Z1" s="3442"/>
      <c r="AA1" s="3442"/>
      <c r="AB1" s="3442"/>
      <c r="AD1" s="3441" t="s">
        <v>2643</v>
      </c>
      <c r="AE1" s="3442"/>
      <c r="AF1" s="3442"/>
      <c r="AG1" s="3442"/>
      <c r="AH1" s="3442"/>
    </row>
    <row r="2" spans="1:34" s="2720" customFormat="1" ht="14.25" thickBot="1">
      <c r="B2" s="2728" t="s">
        <v>2580</v>
      </c>
      <c r="C2" s="2728" t="s">
        <v>2641</v>
      </c>
      <c r="D2" s="2721" t="s">
        <v>1644</v>
      </c>
      <c r="E2" s="2721" t="s">
        <v>1949</v>
      </c>
      <c r="F2" s="2728" t="s">
        <v>2642</v>
      </c>
      <c r="G2" s="2724"/>
      <c r="H2" s="2723"/>
      <c r="I2" s="2728" t="s">
        <v>2953</v>
      </c>
      <c r="J2" s="2721" t="s">
        <v>2955</v>
      </c>
      <c r="K2" s="2721" t="s">
        <v>2956</v>
      </c>
      <c r="L2" s="2728" t="s">
        <v>2957</v>
      </c>
      <c r="N2" s="2728" t="s">
        <v>2580</v>
      </c>
      <c r="O2" s="2721" t="s">
        <v>2954</v>
      </c>
      <c r="P2" s="2721" t="s">
        <v>1949</v>
      </c>
      <c r="Q2" s="2728" t="s">
        <v>2642</v>
      </c>
      <c r="R2" s="2722"/>
      <c r="S2" s="2728" t="s">
        <v>2580</v>
      </c>
      <c r="T2" s="2721" t="s">
        <v>2954</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2992</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2991</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2989</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4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2976</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2977</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2973</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2964</v>
      </c>
      <c r="B12" s="3096">
        <v>439</v>
      </c>
      <c r="C12" s="3096">
        <v>327</v>
      </c>
      <c r="D12" s="3096">
        <f t="shared" si="65"/>
        <v>327</v>
      </c>
      <c r="E12" s="3096">
        <v>627</v>
      </c>
      <c r="F12" s="3097">
        <v>283</v>
      </c>
      <c r="G12" s="345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2968</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5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5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4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4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4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4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4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4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4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4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4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4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4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4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4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4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4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4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4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4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4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4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4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44">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5">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5">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46">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44">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5">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5">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4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83474.2平方米。根据《建设工程规划许可证》[]、《出让合同》[]，估价对象规划建筑面积为300507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2019年8月23日（评估专业人员勘察现场之日）</v>
      </c>
    </row>
    <row r="12" spans="1:4" ht="18.75">
      <c r="A12" s="1783" t="s">
        <v>2025</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根据《国有土地使用证》[]，估价对象（分摊）出让国有建设用地使用权面积为83474.2平方米。根据《建设工程规划许可证》[]、《出让合同》[]，估价对象规划建筑面积为300507平方米。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9月1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2078</v>
      </c>
      <c r="D3" s="3057" t="s">
        <v>2943</v>
      </c>
      <c r="E3" s="3058">
        <f ca="1">SUMIF(E7:E14,"&lt;&gt;#ref!",E7:E14)</f>
        <v>0</v>
      </c>
      <c r="F3" s="3056"/>
    </row>
    <row r="4" spans="1:6" ht="14.25">
      <c r="A4" s="3057" t="s">
        <v>2950</v>
      </c>
      <c r="B4" s="3058" t="e">
        <f ca="1">ROUND(B2*10000/E4,0)</f>
        <v>#DIV/0!</v>
      </c>
      <c r="C4" s="3057" t="s">
        <v>2078</v>
      </c>
      <c r="D4" s="3057" t="s">
        <v>2951</v>
      </c>
      <c r="E4" s="3058">
        <f ca="1">SUMIF(F7:F14,"&lt;&gt;#ref!",F7:F14)</f>
        <v>0</v>
      </c>
      <c r="F4" s="3056"/>
    </row>
    <row r="5" spans="1:6" ht="14.25">
      <c r="A5" s="3059"/>
      <c r="B5" s="1867"/>
      <c r="C5" s="1867"/>
      <c r="D5" s="1867"/>
      <c r="E5" s="1867"/>
      <c r="F5" s="3056"/>
    </row>
    <row r="6" spans="1:6" ht="28.5">
      <c r="A6" s="3060" t="s">
        <v>2947</v>
      </c>
      <c r="B6" s="3057" t="s">
        <v>2944</v>
      </c>
      <c r="C6" s="3058"/>
      <c r="D6" s="1867"/>
      <c r="E6" s="3057" t="s">
        <v>2945</v>
      </c>
      <c r="F6" s="3057" t="s">
        <v>2949</v>
      </c>
    </row>
    <row r="7" spans="1:6" ht="14.25">
      <c r="A7" s="260" t="s">
        <v>2948</v>
      </c>
      <c r="B7" s="3061" t="e">
        <f ca="1">SUMIF(INDIRECT("'"&amp;A7&amp;"'"&amp;"!A:A"),"总价",INDIRECT("'"&amp;A7&amp;"'"&amp;"!B:B"))</f>
        <v>#DIV/0!</v>
      </c>
      <c r="C7" s="3057" t="s">
        <v>2942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7"/>
      <c r="E9" s="3062" t="e">
        <f t="shared" ca="1" si="1"/>
        <v>#REF!</v>
      </c>
      <c r="F9" s="3062" t="e">
        <f t="shared" ca="1" si="2"/>
        <v>#REF!</v>
      </c>
    </row>
    <row r="10" spans="1:6" ht="14.25">
      <c r="A10" s="260"/>
      <c r="B10" s="3061" t="e">
        <f t="shared" ca="1" si="0"/>
        <v>#REF!</v>
      </c>
      <c r="C10" s="3057" t="s">
        <v>2942</v>
      </c>
      <c r="D10" s="1867"/>
      <c r="E10" s="3062" t="e">
        <f t="shared" ca="1" si="1"/>
        <v>#REF!</v>
      </c>
      <c r="F10" s="3062" t="e">
        <f t="shared" ca="1" si="2"/>
        <v>#REF!</v>
      </c>
    </row>
    <row r="11" spans="1:6" ht="14.25">
      <c r="A11" s="260"/>
      <c r="B11" s="3061" t="e">
        <f t="shared" ca="1" si="0"/>
        <v>#REF!</v>
      </c>
      <c r="C11" s="3057" t="s">
        <v>2942</v>
      </c>
      <c r="D11" s="1867"/>
      <c r="E11" s="3062" t="e">
        <f t="shared" ca="1" si="1"/>
        <v>#REF!</v>
      </c>
      <c r="F11" s="3062" t="e">
        <f t="shared" ca="1" si="2"/>
        <v>#REF!</v>
      </c>
    </row>
    <row r="12" spans="1:6" ht="14.25">
      <c r="A12" s="260"/>
      <c r="B12" s="3061" t="e">
        <f t="shared" ca="1" si="0"/>
        <v>#REF!</v>
      </c>
      <c r="C12" s="3057" t="s">
        <v>2942</v>
      </c>
      <c r="D12" s="1867"/>
      <c r="E12" s="3062" t="e">
        <f t="shared" ca="1" si="1"/>
        <v>#REF!</v>
      </c>
      <c r="F12" s="3062" t="e">
        <f t="shared" ca="1" si="2"/>
        <v>#REF!</v>
      </c>
    </row>
    <row r="13" spans="1:6" ht="14.25">
      <c r="A13" s="260"/>
      <c r="B13" s="3061" t="e">
        <f t="shared" ca="1" si="0"/>
        <v>#REF!</v>
      </c>
      <c r="C13" s="3057" t="s">
        <v>2942</v>
      </c>
      <c r="D13" s="1867"/>
      <c r="E13" s="3062" t="e">
        <f t="shared" ca="1" si="1"/>
        <v>#REF!</v>
      </c>
      <c r="F13" s="3062" t="e">
        <f t="shared" ca="1" si="2"/>
        <v>#REF!</v>
      </c>
    </row>
    <row r="14" spans="1:6" ht="14.25">
      <c r="A14" s="3055"/>
      <c r="B14" s="3061" t="e">
        <f t="shared" ca="1" si="0"/>
        <v>#REF!</v>
      </c>
      <c r="C14" s="3057" t="s">
        <v>2942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3" t="s">
        <v>2463</v>
      </c>
      <c r="C8" s="1811">
        <f ca="1">ROUND(F8*F10*F9*(1-F11)/10000,0)</f>
        <v>0</v>
      </c>
      <c r="D8" s="1808" t="s">
        <v>2534</v>
      </c>
      <c r="E8" s="61" t="s">
        <v>637</v>
      </c>
      <c r="F8" s="785">
        <f ca="1">INDIRECT("'数据-取费表'!u"&amp;$G$1)</f>
        <v>0</v>
      </c>
      <c r="G8" s="1579"/>
      <c r="H8" s="2469" t="s">
        <v>1824</v>
      </c>
      <c r="I8" s="3453" t="s">
        <v>2463</v>
      </c>
      <c r="J8" s="783">
        <f ca="1">ROUND(M8*M10*M9*(1-M11)/10000,0)</f>
        <v>0</v>
      </c>
      <c r="K8" s="341" t="s">
        <v>2534</v>
      </c>
      <c r="L8" s="784" t="s">
        <v>1738</v>
      </c>
      <c r="M8" s="785">
        <f ca="1">INDIRECT("'数据-取费表'!z"&amp;$G$1)</f>
        <v>0</v>
      </c>
    </row>
    <row r="9" spans="1:25" ht="18" customHeight="1">
      <c r="A9" s="2465"/>
      <c r="B9" s="3454"/>
      <c r="C9" s="1812"/>
      <c r="D9" s="1809"/>
      <c r="E9" s="61" t="s">
        <v>638</v>
      </c>
      <c r="F9" s="785">
        <f ca="1">IF(INDIRECT("'数据-取费表'!ah"&amp;$G$1)="",INDIRECT("'数据-取费表'!k"&amp;$G$1),INDIRECT("'数据-取费表'!ah"&amp;$G$1))</f>
        <v>0</v>
      </c>
      <c r="G9" s="1579"/>
      <c r="H9" s="2454"/>
      <c r="I9" s="3454"/>
      <c r="J9" s="788"/>
      <c r="K9" s="789"/>
      <c r="L9" s="784" t="s">
        <v>1739</v>
      </c>
      <c r="M9" s="785">
        <f ca="1">F9</f>
        <v>0</v>
      </c>
    </row>
    <row r="10" spans="1:25" ht="18" customHeight="1">
      <c r="A10" s="2458"/>
      <c r="B10" s="3455"/>
      <c r="C10" s="1812"/>
      <c r="D10" s="1809"/>
      <c r="E10" s="61" t="s">
        <v>639</v>
      </c>
      <c r="F10" s="785">
        <f ca="1">INDIRECT("'数据-取费表'!ai"&amp;$G$1)</f>
        <v>0</v>
      </c>
      <c r="G10" s="1579"/>
      <c r="H10" s="2454"/>
      <c r="I10" s="3455"/>
      <c r="J10" s="788"/>
      <c r="K10" s="789"/>
      <c r="L10" s="784" t="s">
        <v>1740</v>
      </c>
      <c r="M10" s="785">
        <f ca="1">INDIRECT("'数据-取费表'!ai"&amp;$G$1)</f>
        <v>0</v>
      </c>
    </row>
    <row r="11" spans="1:25" ht="18" customHeight="1">
      <c r="A11" s="786"/>
      <c r="B11" s="3456"/>
      <c r="C11" s="1812"/>
      <c r="D11" s="1809"/>
      <c r="E11" s="61" t="s">
        <v>640</v>
      </c>
      <c r="F11" s="794">
        <f ca="1">INDIRECT("'数据-取费表'!w"&amp;$G$1)</f>
        <v>0</v>
      </c>
      <c r="G11" s="1579"/>
      <c r="H11" s="2470"/>
      <c r="I11" s="345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2971</v>
      </c>
      <c r="E12" s="2463" t="s">
        <v>2464</v>
      </c>
      <c r="F12" s="2586"/>
      <c r="G12" s="1579"/>
      <c r="H12" s="2526" t="s">
        <v>1825</v>
      </c>
      <c r="I12" s="2531" t="s">
        <v>2459</v>
      </c>
      <c r="J12" s="783">
        <f ca="1">ROUND(IF(M12="押一",J8/12*M13,IF(M12="押二",J8/12*2*M13,IF(M12="押三",J8/12*3*M13,J13*M13))),0)</f>
        <v>0</v>
      </c>
      <c r="K12" s="2466" t="s">
        <v>2971</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52"/>
      <c r="J36" s="2065"/>
      <c r="K36" s="2066"/>
      <c r="L36" s="2065"/>
      <c r="M36" s="2065"/>
    </row>
    <row r="37" spans="1:18" ht="18" customHeight="1">
      <c r="A37" s="815"/>
      <c r="B37" s="793"/>
      <c r="C37" s="69"/>
      <c r="D37" s="816"/>
      <c r="E37" s="784" t="s">
        <v>674</v>
      </c>
      <c r="F37" s="785">
        <f ca="1">INDIRECT("'数据-取费表'!r"&amp;$G$1)</f>
        <v>0</v>
      </c>
      <c r="G37" s="2048"/>
      <c r="H37" s="2051"/>
      <c r="I37" s="345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2959</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7"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4" t="s">
        <v>2349</v>
      </c>
      <c r="L48" s="3108">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5"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6"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6"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09">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29.25" thickBot="1">
      <c r="A54" s="2082"/>
      <c r="I54" s="3101" t="s">
        <v>2975</v>
      </c>
      <c r="J54" s="3180">
        <f ca="1">IF(M48="住宅",MAX(J52,L49-'数据-取费表'!B20),MIN(J52,L49-'数据-取费表'!B20))</f>
        <v>-3</v>
      </c>
      <c r="K54" s="3457"/>
      <c r="L54" s="3458"/>
      <c r="O54" s="2366" t="s">
        <v>2388</v>
      </c>
      <c r="P54" s="2364" t="s">
        <v>2389</v>
      </c>
      <c r="Q54" s="2365">
        <f ca="1">J54</f>
        <v>-3</v>
      </c>
      <c r="R54" s="2364"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2391</v>
      </c>
      <c r="P55" s="2364" t="s">
        <v>2408</v>
      </c>
      <c r="Q55" s="2365">
        <f ca="1">Q49+Q50</f>
        <v>0</v>
      </c>
      <c r="R55" s="2368" t="s">
        <v>2392</v>
      </c>
    </row>
    <row r="56" spans="1:18" s="2045" customFormat="1" ht="16.5" thickBot="1">
      <c r="A56" s="2082"/>
      <c r="B56" s="2083"/>
      <c r="C56" s="2083"/>
      <c r="I56" s="3112" t="s">
        <v>2355</v>
      </c>
      <c r="J56" s="3052" t="e">
        <f ca="1">ROUND(IF(J48="钢混",J58/J51,1-(1-2%)*(J51-J58)/J51),3)</f>
        <v>#VALUE!</v>
      </c>
      <c r="K56" s="3113" t="s">
        <v>2356</v>
      </c>
      <c r="L56" s="2351"/>
      <c r="O56" s="2369" t="s">
        <v>2411</v>
      </c>
      <c r="P56" s="1579"/>
      <c r="Q56" s="1590"/>
      <c r="R56" s="1579"/>
    </row>
    <row r="57" spans="1:18" s="2045" customFormat="1" ht="43.5" thickBot="1">
      <c r="A57" s="2082"/>
      <c r="B57" s="2083"/>
      <c r="C57" s="2083"/>
      <c r="I57" s="3114" t="s">
        <v>2357</v>
      </c>
      <c r="J57" s="3124" t="s">
        <v>1678</v>
      </c>
      <c r="K57" s="3077" t="s">
        <v>2362</v>
      </c>
      <c r="L57" s="1894">
        <f ca="1">IF(L49&lt;J52,"——",L49-J52)</f>
        <v>0</v>
      </c>
      <c r="O57" s="2360" t="s">
        <v>2375</v>
      </c>
      <c r="P57" s="2361" t="s">
        <v>2376</v>
      </c>
      <c r="Q57" s="2362" t="s">
        <v>2377</v>
      </c>
      <c r="R57" s="2361" t="s">
        <v>2378</v>
      </c>
    </row>
    <row r="58" spans="1:18" s="2045" customFormat="1" ht="29.25" thickBot="1">
      <c r="A58" s="2082"/>
      <c r="B58" s="2083"/>
      <c r="C58" s="2083"/>
      <c r="I58" s="3115" t="s">
        <v>2358</v>
      </c>
      <c r="J58" s="3116"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5"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5" t="s">
        <v>2360</v>
      </c>
      <c r="J60" s="3116"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7" t="s">
        <v>2361</v>
      </c>
      <c r="J61" s="3118" t="str">
        <f ca="1">IF(OR(M48="住宅",J52&lt;L49,J57="是"),"0",ROUND(J60/(1+J53)^J54,0))</f>
        <v>0</v>
      </c>
      <c r="K61" s="3119" t="s">
        <v>2366</v>
      </c>
      <c r="L61" s="3118"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0" t="s">
        <v>2367</v>
      </c>
      <c r="J63" s="3121" t="s">
        <v>2368</v>
      </c>
      <c r="K63" s="3121" t="s">
        <v>2369</v>
      </c>
      <c r="L63" s="3121" t="s">
        <v>2350</v>
      </c>
      <c r="M63" s="3122" t="s">
        <v>2940</v>
      </c>
      <c r="O63" s="2366" t="s">
        <v>2388</v>
      </c>
      <c r="P63" s="2364" t="s">
        <v>2396</v>
      </c>
      <c r="Q63" s="2365">
        <f ca="1">L60</f>
        <v>0</v>
      </c>
      <c r="R63" s="2368" t="s">
        <v>2397</v>
      </c>
    </row>
    <row r="64" spans="1:18" s="2045" customFormat="1" ht="15.75" thickBot="1">
      <c r="A64" s="2082"/>
      <c r="B64" s="2083"/>
      <c r="C64" s="2083"/>
      <c r="I64" s="3120" t="s">
        <v>2370</v>
      </c>
      <c r="J64" s="3121">
        <v>70</v>
      </c>
      <c r="K64" s="3121">
        <v>50</v>
      </c>
      <c r="L64" s="3121">
        <v>80</v>
      </c>
      <c r="M64" s="3123">
        <v>0.02</v>
      </c>
      <c r="O64" s="2363" t="s">
        <v>2391</v>
      </c>
      <c r="P64" s="2364" t="s">
        <v>2408</v>
      </c>
      <c r="Q64" s="2365" t="e">
        <f ca="1">Q58+Q59</f>
        <v>#DIV/0!</v>
      </c>
      <c r="R64" s="2368" t="s">
        <v>2392</v>
      </c>
    </row>
    <row r="65" spans="1:18" s="2045" customFormat="1" ht="16.5" thickBot="1">
      <c r="A65" s="2082"/>
      <c r="B65" s="2083"/>
      <c r="C65" s="2083"/>
      <c r="I65" s="3120" t="s">
        <v>2371</v>
      </c>
      <c r="J65" s="3121">
        <v>50</v>
      </c>
      <c r="K65" s="3121">
        <v>35</v>
      </c>
      <c r="L65" s="3121">
        <v>60</v>
      </c>
      <c r="M65" s="846">
        <v>0</v>
      </c>
      <c r="O65" s="2369" t="s">
        <v>2415</v>
      </c>
      <c r="P65" s="1579"/>
      <c r="Q65" s="1590"/>
      <c r="R65" s="1579"/>
    </row>
    <row r="66" spans="1:18" s="2045" customFormat="1" ht="15.75" thickBot="1">
      <c r="A66" s="2082"/>
      <c r="B66" s="2083"/>
      <c r="C66" s="2083"/>
      <c r="I66" s="3120" t="s">
        <v>2372</v>
      </c>
      <c r="J66" s="3121">
        <v>40</v>
      </c>
      <c r="K66" s="3121">
        <v>30</v>
      </c>
      <c r="L66" s="3121">
        <v>50</v>
      </c>
      <c r="M66" s="3123">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6" t="s">
        <v>952</v>
      </c>
      <c r="E1" s="2352" t="s">
        <v>2374</v>
      </c>
      <c r="F1" s="2353">
        <f ca="1">J53</f>
        <v>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53" t="s">
        <v>2463</v>
      </c>
      <c r="C6" s="783">
        <f ca="1">ROUND(F6*F8*F7*(1-F9)/10000,0)</f>
        <v>0</v>
      </c>
      <c r="D6" s="2462" t="s">
        <v>2462</v>
      </c>
      <c r="E6" s="784" t="s">
        <v>1738</v>
      </c>
      <c r="F6" s="785">
        <f ca="1">INDIRECT("'数据-取费表'!u"&amp;$G$1)</f>
        <v>0</v>
      </c>
      <c r="G6" s="1579"/>
      <c r="H6" s="2469" t="s">
        <v>2468</v>
      </c>
      <c r="I6" s="3453" t="s">
        <v>2463</v>
      </c>
      <c r="J6" s="783">
        <f ca="1">ROUND(M6*M8*M7*(1-M9)/10000,0)</f>
        <v>0</v>
      </c>
      <c r="K6" s="341" t="s">
        <v>1737</v>
      </c>
      <c r="L6" s="784" t="s">
        <v>1738</v>
      </c>
      <c r="M6" s="785">
        <f ca="1">INDIRECT("'数据-取费表'!z"&amp;$G$1)</f>
        <v>0</v>
      </c>
    </row>
    <row r="7" spans="1:33" ht="18" customHeight="1">
      <c r="A7" s="2465"/>
      <c r="B7" s="3454"/>
      <c r="C7" s="788"/>
      <c r="D7" s="789"/>
      <c r="E7" s="784" t="s">
        <v>1739</v>
      </c>
      <c r="F7" s="785">
        <f ca="1">IF(INDIRECT("'数据-取费表'!ah"&amp;$G$1)="",INDIRECT("'数据-取费表'!k"&amp;$G$1),INDIRECT("'数据-取费表'!ah"&amp;$G$1))</f>
        <v>0</v>
      </c>
      <c r="G7" s="1579"/>
      <c r="H7" s="2454"/>
      <c r="I7" s="3454"/>
      <c r="J7" s="788"/>
      <c r="K7" s="789"/>
      <c r="L7" s="784" t="s">
        <v>1739</v>
      </c>
      <c r="M7" s="785">
        <f ca="1">F7</f>
        <v>0</v>
      </c>
    </row>
    <row r="8" spans="1:33" ht="18" customHeight="1">
      <c r="A8" s="2458"/>
      <c r="B8" s="3455"/>
      <c r="C8" s="788"/>
      <c r="D8" s="789"/>
      <c r="E8" s="784" t="s">
        <v>1740</v>
      </c>
      <c r="F8" s="785">
        <f ca="1">INDIRECT("'数据-取费表'!ai"&amp;$G$1)</f>
        <v>0</v>
      </c>
      <c r="G8" s="1579"/>
      <c r="H8" s="2454"/>
      <c r="I8" s="3455"/>
      <c r="J8" s="788"/>
      <c r="K8" s="789"/>
      <c r="L8" s="784" t="s">
        <v>1740</v>
      </c>
      <c r="M8" s="785">
        <f ca="1">INDIRECT("'数据-取费表'!ai"&amp;$G$1)</f>
        <v>0</v>
      </c>
    </row>
    <row r="9" spans="1:33" ht="18" customHeight="1">
      <c r="A9" s="786"/>
      <c r="B9" s="3456"/>
      <c r="C9" s="788"/>
      <c r="D9" s="789"/>
      <c r="E9" s="784" t="s">
        <v>1741</v>
      </c>
      <c r="F9" s="794">
        <f ca="1">INDIRECT("'数据-取费表'!w"&amp;$G$1)</f>
        <v>0</v>
      </c>
      <c r="G9" s="1579"/>
      <c r="H9" s="2470"/>
      <c r="I9" s="345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2971</v>
      </c>
      <c r="E10" s="2463" t="s">
        <v>2464</v>
      </c>
      <c r="F10" s="2586"/>
      <c r="G10" s="1579"/>
      <c r="H10" s="2526" t="s">
        <v>2469</v>
      </c>
      <c r="I10" s="2531" t="s">
        <v>2459</v>
      </c>
      <c r="J10" s="783">
        <f ca="1">ROUND(IF(M10="押一",J6/12*M11,IF(M10="押二",J6/12*2*M11,IF(M10="押三",J6/12*3*M11,J11*M11))),0)</f>
        <v>0</v>
      </c>
      <c r="K10" s="2466" t="s">
        <v>2971</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2961</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7"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c r="K47" s="3104" t="s">
        <v>2349</v>
      </c>
      <c r="L47" s="3108">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c r="K48" s="3105"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7" t="s">
        <v>2346</v>
      </c>
      <c r="J49" s="2348"/>
      <c r="K49" s="3106"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7" t="s">
        <v>2347</v>
      </c>
      <c r="J50" s="3102">
        <f>SUMPRODUCT((I63:I65=J47)*(J62:L62=J48)*(J63:L65))</f>
        <v>0</v>
      </c>
      <c r="K50" s="3106"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099" t="s">
        <v>2348</v>
      </c>
      <c r="J51" s="3103">
        <f>IF(J49="",J50,J49+J50-YEAR('数据-取费表'!B2))</f>
        <v>0</v>
      </c>
      <c r="K51" s="3077" t="s">
        <v>2354</v>
      </c>
      <c r="L51" s="3109">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2972</v>
      </c>
      <c r="E52" s="2463" t="s">
        <v>2464</v>
      </c>
      <c r="F52" s="2586"/>
      <c r="I52" s="3100" t="s">
        <v>2421</v>
      </c>
      <c r="J52" s="2350"/>
      <c r="K52" s="3100"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1" t="s">
        <v>2975</v>
      </c>
      <c r="J53" s="3180">
        <f ca="1">IF(M47="住宅",IF(D1="——",MAX(J51,L48),MAX(J51,L48-'数据-取费表'!B20)),IF(D1="——",MIN(J51,L48),MIN(J51,L48-'数据-取费表'!B20)))</f>
        <v>0</v>
      </c>
      <c r="K53" s="3459" t="s">
        <v>2963</v>
      </c>
      <c r="L53" s="3460"/>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2" t="s">
        <v>2355</v>
      </c>
      <c r="J55" s="3052" t="e">
        <f ca="1">ROUND(IF(J47="钢混",J57/J50,1-(1-2%)*(J50-J57)/J50),3)</f>
        <v>#DIV/0!</v>
      </c>
      <c r="K55" s="3113" t="s">
        <v>2356</v>
      </c>
      <c r="L55" s="2351"/>
      <c r="O55" s="2369" t="s">
        <v>2411</v>
      </c>
      <c r="P55" s="1579"/>
      <c r="Q55" s="1590"/>
      <c r="R55" s="1579"/>
    </row>
    <row r="56" spans="1:18" s="2045" customFormat="1" ht="42.75" customHeight="1" thickBot="1">
      <c r="A56" s="1636"/>
      <c r="B56" s="2217" t="s">
        <v>2302</v>
      </c>
      <c r="C56" s="53">
        <f ca="1">C29</f>
        <v>0</v>
      </c>
      <c r="D56" s="2604"/>
      <c r="E56" s="784"/>
      <c r="F56" s="809"/>
      <c r="I56" s="3114" t="s">
        <v>2357</v>
      </c>
      <c r="J56" s="3124"/>
      <c r="K56" s="3077"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5" t="s">
        <v>2358</v>
      </c>
      <c r="J57" s="3116">
        <f ca="1">IF(OR(M47="住宅",J51&lt;L48,J56="是"),"——",J51-L48)</f>
        <v>0</v>
      </c>
      <c r="K57" s="3077"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5" t="s">
        <v>2359</v>
      </c>
      <c r="J58" s="3053" t="e">
        <f ca="1">IF(J55&lt;0.4,0.4,J55)</f>
        <v>#DIV/0!</v>
      </c>
      <c r="K58" s="3077"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5" t="s">
        <v>2360</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0" t="s">
        <v>2367</v>
      </c>
      <c r="J62" s="3121" t="s">
        <v>2368</v>
      </c>
      <c r="K62" s="3121" t="s">
        <v>2369</v>
      </c>
      <c r="L62" s="3121" t="s">
        <v>2350</v>
      </c>
      <c r="M62" s="3122" t="s">
        <v>2940</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0" t="s">
        <v>2370</v>
      </c>
      <c r="J63" s="3121">
        <v>70</v>
      </c>
      <c r="K63" s="3121">
        <v>50</v>
      </c>
      <c r="L63" s="3121">
        <v>80</v>
      </c>
      <c r="M63" s="3123">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0" t="s">
        <v>2371</v>
      </c>
      <c r="J64" s="3121">
        <v>50</v>
      </c>
      <c r="K64" s="3121">
        <v>35</v>
      </c>
      <c r="L64" s="3121">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0" t="s">
        <v>2372</v>
      </c>
      <c r="J65" s="3121">
        <v>40</v>
      </c>
      <c r="K65" s="3121">
        <v>30</v>
      </c>
      <c r="L65" s="3121">
        <v>50</v>
      </c>
      <c r="M65" s="3123">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2471</v>
      </c>
      <c r="B1" s="3478"/>
      <c r="C1" s="3479"/>
      <c r="D1" s="3480">
        <f>SUM(I10,I15,I20,I21,I23)</f>
        <v>0</v>
      </c>
      <c r="E1" s="3480"/>
      <c r="F1" s="3480"/>
      <c r="G1" s="3480"/>
      <c r="H1" s="3480"/>
      <c r="I1" s="3481"/>
    </row>
    <row r="2" spans="1:9">
      <c r="A2" s="3467" t="s">
        <v>2472</v>
      </c>
      <c r="B2" s="3468" t="s">
        <v>2473</v>
      </c>
      <c r="C2" s="3468"/>
      <c r="D2" s="2472" t="s">
        <v>2474</v>
      </c>
      <c r="E2" s="2472" t="s">
        <v>2475</v>
      </c>
      <c r="F2" s="2472" t="s">
        <v>2476</v>
      </c>
      <c r="G2" s="2472" t="s">
        <v>2477</v>
      </c>
      <c r="H2" s="2472" t="s">
        <v>2478</v>
      </c>
      <c r="I2" s="2473" t="s">
        <v>2479</v>
      </c>
    </row>
    <row r="3" spans="1:9">
      <c r="A3" s="3467"/>
      <c r="B3" s="3468" t="s">
        <v>2480</v>
      </c>
      <c r="C3" s="3468"/>
      <c r="D3" s="2474"/>
      <c r="E3" s="2472"/>
      <c r="F3" s="2475"/>
      <c r="G3" s="2475"/>
      <c r="H3" s="2476"/>
      <c r="I3" s="2477">
        <f>ROUND(D3*E3*F3*G3*H3/10000,0)</f>
        <v>0</v>
      </c>
    </row>
    <row r="4" spans="1:9">
      <c r="A4" s="3467"/>
      <c r="B4" s="3468" t="s">
        <v>2481</v>
      </c>
      <c r="C4" s="3468"/>
      <c r="D4" s="2474"/>
      <c r="E4" s="2472"/>
      <c r="F4" s="2475"/>
      <c r="G4" s="2475"/>
      <c r="H4" s="2476"/>
      <c r="I4" s="2477">
        <f t="shared" ref="I4:I9" si="0">ROUND(D4*E4*F4*G4*H4/10000,0)</f>
        <v>0</v>
      </c>
    </row>
    <row r="5" spans="1:9">
      <c r="A5" s="3467"/>
      <c r="B5" s="3468" t="s">
        <v>2482</v>
      </c>
      <c r="C5" s="3468"/>
      <c r="D5" s="2474"/>
      <c r="E5" s="2472"/>
      <c r="F5" s="2475"/>
      <c r="G5" s="2475"/>
      <c r="H5" s="2476"/>
      <c r="I5" s="2477">
        <f t="shared" si="0"/>
        <v>0</v>
      </c>
    </row>
    <row r="6" spans="1:9">
      <c r="A6" s="3467"/>
      <c r="B6" s="3468" t="s">
        <v>2483</v>
      </c>
      <c r="C6" s="3468"/>
      <c r="D6" s="2474"/>
      <c r="E6" s="2472"/>
      <c r="F6" s="2475"/>
      <c r="G6" s="2475"/>
      <c r="H6" s="2476"/>
      <c r="I6" s="2477">
        <f t="shared" si="0"/>
        <v>0</v>
      </c>
    </row>
    <row r="7" spans="1:9">
      <c r="A7" s="3467"/>
      <c r="B7" s="3468" t="s">
        <v>2484</v>
      </c>
      <c r="C7" s="3468"/>
      <c r="D7" s="2474"/>
      <c r="E7" s="2472"/>
      <c r="F7" s="2475"/>
      <c r="G7" s="2475"/>
      <c r="H7" s="2476"/>
      <c r="I7" s="2477">
        <f t="shared" si="0"/>
        <v>0</v>
      </c>
    </row>
    <row r="8" spans="1:9">
      <c r="A8" s="3467"/>
      <c r="B8" s="3468" t="s">
        <v>2485</v>
      </c>
      <c r="C8" s="3468"/>
      <c r="D8" s="2474"/>
      <c r="E8" s="2472"/>
      <c r="F8" s="2475"/>
      <c r="G8" s="2475"/>
      <c r="H8" s="2476"/>
      <c r="I8" s="2477">
        <f t="shared" si="0"/>
        <v>0</v>
      </c>
    </row>
    <row r="9" spans="1:9">
      <c r="A9" s="3467"/>
      <c r="B9" s="3468" t="s">
        <v>2486</v>
      </c>
      <c r="C9" s="3468"/>
      <c r="D9" s="2474"/>
      <c r="E9" s="2472"/>
      <c r="F9" s="2475"/>
      <c r="G9" s="2475"/>
      <c r="H9" s="2476"/>
      <c r="I9" s="2477">
        <f t="shared" si="0"/>
        <v>0</v>
      </c>
    </row>
    <row r="10" spans="1:9">
      <c r="A10" s="3467"/>
      <c r="B10" s="3469" t="s">
        <v>2487</v>
      </c>
      <c r="C10" s="3469"/>
      <c r="D10" s="2478">
        <v>527</v>
      </c>
      <c r="E10" s="2478" t="e">
        <f>ROUND(D1*10000/D10/H9,0)</f>
        <v>#DIV/0!</v>
      </c>
      <c r="F10" s="2479"/>
      <c r="G10" s="2479"/>
      <c r="H10" s="2480"/>
      <c r="I10" s="2481">
        <f>SUM(I3:I9)</f>
        <v>0</v>
      </c>
    </row>
    <row r="11" spans="1:9" ht="14.25">
      <c r="A11" s="3467" t="s">
        <v>2488</v>
      </c>
      <c r="B11" s="3468" t="s">
        <v>2489</v>
      </c>
      <c r="C11" s="3468"/>
      <c r="D11" s="2474" t="s">
        <v>2490</v>
      </c>
      <c r="E11" s="2474" t="s">
        <v>2491</v>
      </c>
      <c r="F11" s="2475" t="s">
        <v>2492</v>
      </c>
      <c r="G11" s="2475" t="s">
        <v>2493</v>
      </c>
      <c r="H11" s="2482" t="s">
        <v>2494</v>
      </c>
      <c r="I11" s="2473" t="s">
        <v>2495</v>
      </c>
    </row>
    <row r="12" spans="1:9">
      <c r="A12" s="3467"/>
      <c r="B12" s="3468" t="s">
        <v>2496</v>
      </c>
      <c r="C12" s="3468"/>
      <c r="D12" s="2474"/>
      <c r="E12" s="2474"/>
      <c r="F12" s="2475"/>
      <c r="G12" s="2476"/>
      <c r="H12" s="2483"/>
      <c r="I12" s="2473">
        <f>ROUND(D12*E12*F12*G12/10000,0)</f>
        <v>0</v>
      </c>
    </row>
    <row r="13" spans="1:9">
      <c r="A13" s="3467"/>
      <c r="B13" s="3468" t="s">
        <v>2497</v>
      </c>
      <c r="C13" s="3468"/>
      <c r="D13" s="2474"/>
      <c r="E13" s="2474"/>
      <c r="F13" s="2475"/>
      <c r="G13" s="2476"/>
      <c r="H13" s="2483"/>
      <c r="I13" s="2473">
        <f>ROUND(D13*E13*F13*G13/10000,0)</f>
        <v>0</v>
      </c>
    </row>
    <row r="14" spans="1:9">
      <c r="A14" s="3467"/>
      <c r="B14" s="3468" t="s">
        <v>2498</v>
      </c>
      <c r="C14" s="3468"/>
      <c r="D14" s="2474"/>
      <c r="E14" s="2474"/>
      <c r="F14" s="2475"/>
      <c r="G14" s="2476"/>
      <c r="H14" s="2483"/>
      <c r="I14" s="2473">
        <f>ROUND(D14*E14*F14*G14/10000,0)</f>
        <v>0</v>
      </c>
    </row>
    <row r="15" spans="1:9">
      <c r="A15" s="3467"/>
      <c r="B15" s="3469" t="s">
        <v>2487</v>
      </c>
      <c r="C15" s="3469"/>
      <c r="D15" s="2478"/>
      <c r="E15" s="2478">
        <f>SUM(E12:E14)</f>
        <v>0</v>
      </c>
      <c r="F15" s="2479"/>
      <c r="G15" s="2476"/>
      <c r="H15" s="2483"/>
      <c r="I15" s="2484">
        <f>SUM(I12:I14)</f>
        <v>0</v>
      </c>
    </row>
    <row r="16" spans="1:9" ht="24">
      <c r="A16" s="3467" t="s">
        <v>2499</v>
      </c>
      <c r="B16" s="3468" t="s">
        <v>2500</v>
      </c>
      <c r="C16" s="3468"/>
      <c r="D16" s="2474" t="s">
        <v>2501</v>
      </c>
      <c r="E16" s="2485" t="s">
        <v>2502</v>
      </c>
      <c r="F16" s="2475" t="s">
        <v>2503</v>
      </c>
      <c r="G16" s="2476" t="s">
        <v>2493</v>
      </c>
      <c r="H16" s="2482" t="s">
        <v>2494</v>
      </c>
      <c r="I16" s="2473" t="s">
        <v>2495</v>
      </c>
    </row>
    <row r="17" spans="1:9" ht="14.25">
      <c r="A17" s="3467"/>
      <c r="B17" s="3468" t="s">
        <v>2504</v>
      </c>
      <c r="C17" s="3468"/>
      <c r="D17" s="2474"/>
      <c r="E17" s="2474"/>
      <c r="F17" s="2475"/>
      <c r="G17" s="2476"/>
      <c r="H17" s="2486"/>
      <c r="I17" s="2487">
        <f>ROUND(D17*E17*F17*G17/10000,0)</f>
        <v>0</v>
      </c>
    </row>
    <row r="18" spans="1:9" ht="14.25">
      <c r="A18" s="3467"/>
      <c r="B18" s="3468" t="s">
        <v>2505</v>
      </c>
      <c r="C18" s="3468"/>
      <c r="D18" s="2474"/>
      <c r="E18" s="2474"/>
      <c r="F18" s="2475"/>
      <c r="G18" s="2476"/>
      <c r="H18" s="2486"/>
      <c r="I18" s="2487">
        <f>ROUND(D18*E18*F18*G18/10000,0)</f>
        <v>0</v>
      </c>
    </row>
    <row r="19" spans="1:9" ht="14.25">
      <c r="A19" s="3467"/>
      <c r="B19" s="3468" t="s">
        <v>2506</v>
      </c>
      <c r="C19" s="3468"/>
      <c r="D19" s="2474"/>
      <c r="E19" s="2474"/>
      <c r="F19" s="2475"/>
      <c r="G19" s="2476"/>
      <c r="H19" s="2486"/>
      <c r="I19" s="2487">
        <f>ROUND(D19*E19*F19*G19/10000,0)</f>
        <v>0</v>
      </c>
    </row>
    <row r="20" spans="1:9">
      <c r="A20" s="3467"/>
      <c r="B20" s="3469" t="s">
        <v>2487</v>
      </c>
      <c r="C20" s="3469"/>
      <c r="D20" s="2478">
        <f>SUM(D17:D19)</f>
        <v>0</v>
      </c>
      <c r="E20" s="2478"/>
      <c r="F20" s="2479"/>
      <c r="G20" s="2476"/>
      <c r="H20" s="2483"/>
      <c r="I20" s="2484">
        <f>SUM(I17:I19)</f>
        <v>0</v>
      </c>
    </row>
    <row r="21" spans="1:9">
      <c r="A21" s="3467" t="s">
        <v>2507</v>
      </c>
      <c r="B21" s="3470"/>
      <c r="C21" s="3470"/>
      <c r="D21" s="3470"/>
      <c r="E21" s="3470"/>
      <c r="F21" s="3470"/>
      <c r="G21" s="3470"/>
      <c r="H21" s="2488">
        <v>0.1</v>
      </c>
      <c r="I21" s="2481">
        <f>ROUND(I10*H21,0)</f>
        <v>0</v>
      </c>
    </row>
    <row r="22" spans="1:9" ht="14.25">
      <c r="A22" s="3471" t="s">
        <v>2508</v>
      </c>
      <c r="B22" s="3472"/>
      <c r="C22" s="3473"/>
      <c r="D22" s="2489" t="s">
        <v>2509</v>
      </c>
      <c r="E22" s="2489" t="s">
        <v>2510</v>
      </c>
      <c r="F22" s="2490" t="s">
        <v>2511</v>
      </c>
      <c r="G22" s="2490" t="s">
        <v>2512</v>
      </c>
      <c r="H22" s="2482" t="s">
        <v>2513</v>
      </c>
      <c r="I22" s="2473" t="s">
        <v>2514</v>
      </c>
    </row>
    <row r="23" spans="1:9" ht="14.25" thickBot="1">
      <c r="A23" s="3474"/>
      <c r="B23" s="3475"/>
      <c r="C23" s="3476"/>
      <c r="D23" s="2491"/>
      <c r="E23" s="2491"/>
      <c r="F23" s="2491"/>
      <c r="G23" s="2492"/>
      <c r="H23" s="2493"/>
      <c r="I23" s="2494">
        <f>ROUND(E23*D23*F23*(1-G23)/10000,0)</f>
        <v>0</v>
      </c>
    </row>
    <row r="26" spans="1:9">
      <c r="A26" s="2495" t="s">
        <v>2515</v>
      </c>
      <c r="B26" s="2495"/>
      <c r="C26" s="2495"/>
      <c r="D26" s="2495"/>
      <c r="E26" s="3464">
        <f>C27-C30-C31-C32</f>
        <v>0</v>
      </c>
      <c r="F26" s="3464"/>
      <c r="G26" s="3464"/>
      <c r="H26" s="2996" t="s">
        <v>2843</v>
      </c>
    </row>
    <row r="27" spans="1:9">
      <c r="A27" s="2496">
        <v>1</v>
      </c>
      <c r="B27" s="2497" t="s">
        <v>2516</v>
      </c>
      <c r="C27" s="2497"/>
      <c r="D27" s="2497"/>
      <c r="E27" s="3465"/>
      <c r="F27" s="3465"/>
      <c r="G27" s="3465"/>
    </row>
    <row r="28" spans="1:9">
      <c r="A28" s="2498" t="s">
        <v>2517</v>
      </c>
      <c r="B28" s="2497" t="s">
        <v>2518</v>
      </c>
      <c r="C28" s="2497"/>
      <c r="D28" s="2497"/>
      <c r="E28" s="3465"/>
      <c r="F28" s="3465"/>
      <c r="G28" s="346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6"/>
      <c r="F32" s="3466"/>
      <c r="G32" s="3466"/>
    </row>
    <row r="33" spans="1:7" hidden="1">
      <c r="A33" s="3461" t="s">
        <v>2526</v>
      </c>
      <c r="B33" s="3462"/>
      <c r="C33" s="3462"/>
      <c r="D33" s="3463"/>
      <c r="E33" s="3464"/>
      <c r="F33" s="3464"/>
      <c r="G33" s="3464"/>
    </row>
    <row r="34" spans="1:7" hidden="1">
      <c r="A34" s="2500">
        <v>1</v>
      </c>
      <c r="B34" s="2497" t="s">
        <v>2527</v>
      </c>
      <c r="C34" s="2497"/>
      <c r="D34" s="2497"/>
      <c r="E34" s="3465"/>
      <c r="F34" s="3465"/>
      <c r="G34" s="3465"/>
    </row>
    <row r="35" spans="1:7" hidden="1">
      <c r="A35" s="2500">
        <v>2</v>
      </c>
      <c r="B35" s="2497" t="s">
        <v>2528</v>
      </c>
      <c r="C35" s="2497"/>
      <c r="D35" s="2497"/>
      <c r="E35" s="3465"/>
      <c r="F35" s="3465"/>
      <c r="G35" s="3465"/>
    </row>
    <row r="36" spans="1:7" hidden="1">
      <c r="A36" s="2500">
        <v>3</v>
      </c>
      <c r="B36" s="2497" t="s">
        <v>2529</v>
      </c>
      <c r="C36" s="2497"/>
      <c r="D36" s="2497"/>
      <c r="E36" s="3465"/>
      <c r="F36" s="3465"/>
      <c r="G36" s="3465"/>
    </row>
    <row r="37" spans="1:7" hidden="1">
      <c r="A37" s="2500">
        <v>4</v>
      </c>
      <c r="B37" s="2497" t="s">
        <v>2530</v>
      </c>
      <c r="C37" s="2497"/>
      <c r="D37" s="2497"/>
      <c r="E37" s="3465"/>
      <c r="F37" s="3465"/>
      <c r="G37" s="3465"/>
    </row>
    <row r="38" spans="1:7" hidden="1">
      <c r="A38" s="3461" t="s">
        <v>2531</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300507</v>
      </c>
      <c r="E10" s="749">
        <f>'数据-取费表'!B31</f>
        <v>80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3005</v>
      </c>
      <c r="D12" s="758">
        <f>'数据-汇总表'!E5</f>
        <v>250423</v>
      </c>
      <c r="E12" s="757">
        <f>'数据-取费表'!B27</f>
        <v>120</v>
      </c>
      <c r="F12" s="755"/>
      <c r="G12" s="759"/>
    </row>
    <row r="13" spans="1:25" s="2169" customFormat="1" ht="13.5" customHeight="1">
      <c r="A13" s="2441" t="s">
        <v>2447</v>
      </c>
      <c r="B13" s="756" t="s">
        <v>612</v>
      </c>
      <c r="C13" s="757">
        <f>ROUND(D13*E13/10000,0)</f>
        <v>601</v>
      </c>
      <c r="D13" s="758">
        <f>'数据-汇总表'!E6</f>
        <v>50084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0.92600000000000005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5" t="s">
        <v>522</v>
      </c>
      <c r="D4" s="3386"/>
      <c r="E4" s="3409" t="s">
        <v>523</v>
      </c>
      <c r="F4" s="3410"/>
      <c r="G4" s="3385" t="s">
        <v>524</v>
      </c>
      <c r="H4" s="3386"/>
      <c r="I4" s="3385" t="s">
        <v>525</v>
      </c>
      <c r="J4" s="3386"/>
      <c r="K4" s="853"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68" t="s">
        <v>524</v>
      </c>
      <c r="AC4" s="3368" t="s">
        <v>525</v>
      </c>
    </row>
    <row r="5" spans="1:29" ht="15">
      <c r="A5" s="515"/>
      <c r="B5" s="516"/>
      <c r="C5" s="3396" t="s">
        <v>2927</v>
      </c>
      <c r="D5" s="3397"/>
      <c r="E5" s="3411" t="s">
        <v>2928</v>
      </c>
      <c r="F5" s="3412"/>
      <c r="G5" s="3396" t="s">
        <v>2929</v>
      </c>
      <c r="H5" s="3397"/>
      <c r="I5" s="3396" t="s">
        <v>2930</v>
      </c>
      <c r="J5" s="3397"/>
      <c r="K5" s="854"/>
      <c r="L5" s="2119"/>
      <c r="M5" s="2120"/>
      <c r="N5" s="2120"/>
      <c r="O5" s="2120"/>
      <c r="P5" s="3389"/>
      <c r="Q5" s="3390"/>
      <c r="R5" s="3375"/>
      <c r="S5" s="3376"/>
      <c r="T5" s="3375"/>
      <c r="U5" s="3376"/>
      <c r="V5" s="3393"/>
      <c r="W5" s="3393"/>
      <c r="X5" s="1554"/>
      <c r="Y5" s="3375"/>
      <c r="Z5" s="3376"/>
      <c r="AA5" s="3369"/>
      <c r="AB5" s="3369"/>
      <c r="AC5" s="3369"/>
    </row>
    <row r="6" spans="1:29" ht="15.75" thickBot="1">
      <c r="A6" s="517"/>
      <c r="B6" s="518"/>
      <c r="C6" s="3394" t="s">
        <v>2931</v>
      </c>
      <c r="D6" s="3395"/>
      <c r="E6" s="3413" t="s">
        <v>2931</v>
      </c>
      <c r="F6" s="3414"/>
      <c r="G6" s="3394" t="s">
        <v>2931</v>
      </c>
      <c r="H6" s="3395"/>
      <c r="I6" s="3394" t="s">
        <v>2931</v>
      </c>
      <c r="J6" s="3395"/>
      <c r="K6" s="854" t="s">
        <v>528</v>
      </c>
      <c r="L6" s="2119"/>
      <c r="M6" s="2120"/>
      <c r="N6" s="2120"/>
      <c r="O6" s="2120"/>
      <c r="P6" s="3391"/>
      <c r="Q6" s="3392"/>
      <c r="R6" s="3375"/>
      <c r="S6" s="3376"/>
      <c r="T6" s="3377"/>
      <c r="U6" s="3378"/>
      <c r="V6" s="3393"/>
      <c r="W6" s="3393"/>
      <c r="X6" s="1554"/>
      <c r="Y6" s="3377"/>
      <c r="Z6" s="3378"/>
      <c r="AA6" s="3370"/>
      <c r="AB6" s="3370"/>
      <c r="AC6" s="3370"/>
    </row>
    <row r="7" spans="1:29" s="1216" customFormat="1" ht="15.75" thickBot="1">
      <c r="A7" s="2868"/>
      <c r="B7" s="2875" t="s">
        <v>529</v>
      </c>
      <c r="C7" s="519">
        <f>'数据-取费表'!B2</f>
        <v>43700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71" t="s">
        <v>530</v>
      </c>
      <c r="Q7" s="3380"/>
      <c r="R7" s="1555" t="s">
        <v>13</v>
      </c>
      <c r="S7" s="1556">
        <f t="shared" ref="S7:S15" si="0">F7</f>
        <v>0</v>
      </c>
      <c r="T7" s="1555" t="s">
        <v>13</v>
      </c>
      <c r="U7" s="1556">
        <f t="shared" ref="U7:U15" si="1">H7</f>
        <v>0</v>
      </c>
      <c r="V7" s="1555" t="s">
        <v>13</v>
      </c>
      <c r="W7" s="1556">
        <f t="shared" ref="W7:W15"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71" t="s">
        <v>533</v>
      </c>
      <c r="Q8" s="3372"/>
      <c r="R8" s="1555" t="s">
        <v>13</v>
      </c>
      <c r="S8" s="1556">
        <f t="shared" si="0"/>
        <v>0</v>
      </c>
      <c r="T8" s="1555" t="s">
        <v>13</v>
      </c>
      <c r="U8" s="1556">
        <f t="shared" si="1"/>
        <v>0</v>
      </c>
      <c r="V8" s="1555" t="s">
        <v>13</v>
      </c>
      <c r="W8" s="1556">
        <f t="shared" si="2"/>
        <v>0</v>
      </c>
      <c r="X8" s="1557"/>
      <c r="Y8" s="3371" t="s">
        <v>533</v>
      </c>
      <c r="Z8" s="337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9"/>
      <c r="Q11" s="1147" t="str">
        <f t="shared" si="6"/>
        <v>容积率</v>
      </c>
      <c r="R11" s="1555" t="s">
        <v>11</v>
      </c>
      <c r="S11" s="1556" t="e">
        <f t="shared" si="0"/>
        <v>#N/A</v>
      </c>
      <c r="T11" s="1555" t="s">
        <v>11</v>
      </c>
      <c r="U11" s="1556" t="e">
        <f t="shared" si="1"/>
        <v>#N/A</v>
      </c>
      <c r="V11" s="1555" t="s">
        <v>11</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9"/>
      <c r="Q12" s="1147">
        <f t="shared" si="6"/>
        <v>111</v>
      </c>
      <c r="R12" s="1555" t="s">
        <v>11</v>
      </c>
      <c r="S12" s="1556">
        <f t="shared" si="0"/>
        <v>100</v>
      </c>
      <c r="T12" s="1555" t="s">
        <v>11</v>
      </c>
      <c r="U12" s="1556">
        <f t="shared" si="1"/>
        <v>100</v>
      </c>
      <c r="V12" s="1555" t="s">
        <v>11</v>
      </c>
      <c r="W12" s="1556">
        <f t="shared" si="2"/>
        <v>100</v>
      </c>
      <c r="X12" s="1557"/>
      <c r="Y12" s="333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9"/>
      <c r="Q13" s="1147">
        <f t="shared" si="6"/>
        <v>111</v>
      </c>
      <c r="R13" s="1555" t="s">
        <v>11</v>
      </c>
      <c r="S13" s="1556">
        <f t="shared" si="0"/>
        <v>100</v>
      </c>
      <c r="T13" s="1555" t="s">
        <v>11</v>
      </c>
      <c r="U13" s="1556">
        <f t="shared" si="1"/>
        <v>100</v>
      </c>
      <c r="V13" s="1555" t="s">
        <v>11</v>
      </c>
      <c r="W13" s="1556">
        <f t="shared" si="2"/>
        <v>100</v>
      </c>
      <c r="X13" s="1557"/>
      <c r="Y13" s="333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9"/>
      <c r="Q14" s="1147">
        <f t="shared" si="6"/>
        <v>111</v>
      </c>
      <c r="R14" s="1555" t="s">
        <v>11</v>
      </c>
      <c r="S14" s="1556">
        <f t="shared" si="0"/>
        <v>100</v>
      </c>
      <c r="T14" s="1555" t="s">
        <v>11</v>
      </c>
      <c r="U14" s="1556">
        <f t="shared" si="1"/>
        <v>100</v>
      </c>
      <c r="V14" s="1555" t="s">
        <v>11</v>
      </c>
      <c r="W14" s="1556">
        <f t="shared" si="2"/>
        <v>100</v>
      </c>
      <c r="X14" s="1557"/>
      <c r="Y14" s="3336"/>
      <c r="Z14" s="1146">
        <f t="shared" si="7"/>
        <v>111</v>
      </c>
      <c r="AA14" s="1558">
        <f t="shared" si="3"/>
        <v>1</v>
      </c>
      <c r="AB14" s="1558">
        <f t="shared" si="4"/>
        <v>1</v>
      </c>
      <c r="AC14" s="1558">
        <f t="shared" si="5"/>
        <v>1</v>
      </c>
    </row>
    <row r="15" spans="1:29" ht="15">
      <c r="A15" s="2866" t="s">
        <v>2754</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1" t="s">
        <v>540</v>
      </c>
      <c r="Q15" s="1559" t="str">
        <f t="shared" si="6"/>
        <v>居住社区成熟度</v>
      </c>
      <c r="R15" s="1560" t="s">
        <v>11</v>
      </c>
      <c r="S15" s="1561">
        <f t="shared" si="0"/>
        <v>100</v>
      </c>
      <c r="T15" s="1560" t="s">
        <v>11</v>
      </c>
      <c r="U15" s="1561">
        <f t="shared" si="1"/>
        <v>100</v>
      </c>
      <c r="V15" s="1560" t="s">
        <v>11</v>
      </c>
      <c r="W15" s="1561">
        <f t="shared" si="2"/>
        <v>100</v>
      </c>
      <c r="X15" s="1554"/>
      <c r="Y15" s="3381"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2"/>
      <c r="Q16" s="1559"/>
      <c r="R16" s="1560"/>
      <c r="S16" s="1561"/>
      <c r="T16" s="1560"/>
      <c r="U16" s="1561"/>
      <c r="V16" s="1560"/>
      <c r="W16" s="1561"/>
      <c r="X16" s="1554"/>
      <c r="Y16" s="3382"/>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2"/>
      <c r="Q17" s="1559" t="str">
        <f>B17</f>
        <v>交通便捷度</v>
      </c>
      <c r="R17" s="1560" t="s">
        <v>11</v>
      </c>
      <c r="S17" s="1561">
        <f>F17</f>
        <v>100</v>
      </c>
      <c r="T17" s="1560" t="s">
        <v>11</v>
      </c>
      <c r="U17" s="1561">
        <f>H17</f>
        <v>100</v>
      </c>
      <c r="V17" s="1560" t="s">
        <v>11</v>
      </c>
      <c r="W17" s="1561">
        <f>J17</f>
        <v>100</v>
      </c>
      <c r="X17" s="1554"/>
      <c r="Y17" s="338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2"/>
      <c r="Q18" s="1559"/>
      <c r="R18" s="1560"/>
      <c r="S18" s="1561"/>
      <c r="T18" s="1560"/>
      <c r="U18" s="1561"/>
      <c r="V18" s="1560"/>
      <c r="W18" s="1561"/>
      <c r="X18" s="1554"/>
      <c r="Y18" s="3382"/>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2"/>
      <c r="Q19" s="1559" t="str">
        <f>B19</f>
        <v>公共配套设施</v>
      </c>
      <c r="R19" s="1560" t="s">
        <v>11</v>
      </c>
      <c r="S19" s="1561">
        <f>F19</f>
        <v>100</v>
      </c>
      <c r="T19" s="1560" t="s">
        <v>11</v>
      </c>
      <c r="U19" s="1561">
        <f>H19</f>
        <v>100</v>
      </c>
      <c r="V19" s="1560" t="s">
        <v>11</v>
      </c>
      <c r="W19" s="1561">
        <f>J19</f>
        <v>100</v>
      </c>
      <c r="X19" s="1554"/>
      <c r="Y19" s="338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2"/>
      <c r="Q20" s="1559"/>
      <c r="R20" s="1560"/>
      <c r="S20" s="1561"/>
      <c r="T20" s="1560"/>
      <c r="U20" s="1561"/>
      <c r="V20" s="1560"/>
      <c r="W20" s="1561"/>
      <c r="X20" s="1554"/>
      <c r="Y20" s="3382"/>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2"/>
      <c r="Q21" s="2544" t="str">
        <f>B21</f>
        <v>基础设施水平</v>
      </c>
      <c r="R21" s="1560" t="s">
        <v>11</v>
      </c>
      <c r="S21" s="1561">
        <f>F21</f>
        <v>100</v>
      </c>
      <c r="T21" s="1560" t="s">
        <v>11</v>
      </c>
      <c r="U21" s="1561">
        <f>H21</f>
        <v>100</v>
      </c>
      <c r="V21" s="1560" t="s">
        <v>11</v>
      </c>
      <c r="W21" s="1561">
        <f>J21</f>
        <v>100</v>
      </c>
      <c r="X21" s="2546"/>
      <c r="Y21" s="338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2"/>
      <c r="Q22" s="2544"/>
      <c r="R22" s="1560"/>
      <c r="S22" s="1561"/>
      <c r="T22" s="1560"/>
      <c r="U22" s="1561"/>
      <c r="V22" s="1560"/>
      <c r="W22" s="1561"/>
      <c r="X22" s="2546"/>
      <c r="Y22" s="3382"/>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2"/>
      <c r="Q23" s="1559" t="str">
        <f>B23</f>
        <v>自然及人文环境</v>
      </c>
      <c r="R23" s="1560" t="s">
        <v>11</v>
      </c>
      <c r="S23" s="1561">
        <f>F23</f>
        <v>100</v>
      </c>
      <c r="T23" s="1560" t="s">
        <v>11</v>
      </c>
      <c r="U23" s="1561">
        <f>H23</f>
        <v>100</v>
      </c>
      <c r="V23" s="1560" t="s">
        <v>11</v>
      </c>
      <c r="W23" s="1561">
        <f>J23</f>
        <v>100</v>
      </c>
      <c r="X23" s="1554"/>
      <c r="Y23" s="338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2"/>
      <c r="Q25" s="1559" t="str">
        <f t="shared" ref="Q25:Q46" si="11">B25</f>
        <v>楼层-1</v>
      </c>
      <c r="R25" s="1560" t="s">
        <v>11</v>
      </c>
      <c r="S25" s="1561">
        <f>F25</f>
        <v>100</v>
      </c>
      <c r="T25" s="1560" t="s">
        <v>11</v>
      </c>
      <c r="U25" s="1561">
        <f>H25</f>
        <v>100</v>
      </c>
      <c r="V25" s="1560" t="s">
        <v>11</v>
      </c>
      <c r="W25" s="1561">
        <f>J25</f>
        <v>100</v>
      </c>
      <c r="X25" s="1554"/>
      <c r="Y25" s="3382"/>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2"/>
      <c r="Q26" s="1559" t="str">
        <f t="shared" si="11"/>
        <v>朝向</v>
      </c>
      <c r="R26" s="1560" t="s">
        <v>11</v>
      </c>
      <c r="S26" s="1561">
        <f>F26</f>
        <v>100</v>
      </c>
      <c r="T26" s="1560" t="s">
        <v>11</v>
      </c>
      <c r="U26" s="1561">
        <f>H26</f>
        <v>100</v>
      </c>
      <c r="V26" s="1560" t="s">
        <v>11</v>
      </c>
      <c r="W26" s="1561">
        <f>J26</f>
        <v>100</v>
      </c>
      <c r="X26" s="1554"/>
      <c r="Y26" s="3382"/>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2"/>
      <c r="Q27" s="1147" t="str">
        <f t="shared" si="11"/>
        <v>道路级别</v>
      </c>
      <c r="R27" s="1555" t="s">
        <v>11</v>
      </c>
      <c r="S27" s="1556">
        <f>F27</f>
        <v>100</v>
      </c>
      <c r="T27" s="1555" t="s">
        <v>11</v>
      </c>
      <c r="U27" s="1556">
        <f>H27</f>
        <v>100</v>
      </c>
      <c r="V27" s="1555" t="s">
        <v>11</v>
      </c>
      <c r="W27" s="1556">
        <f>J27</f>
        <v>100</v>
      </c>
      <c r="X27" s="1557"/>
      <c r="Y27" s="338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2"/>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2"/>
      <c r="Q29" s="1559">
        <f t="shared" si="11"/>
        <v>111</v>
      </c>
      <c r="R29" s="1560" t="s">
        <v>11</v>
      </c>
      <c r="S29" s="1561">
        <f t="shared" si="12"/>
        <v>100</v>
      </c>
      <c r="T29" s="1560" t="s">
        <v>11</v>
      </c>
      <c r="U29" s="1561">
        <f t="shared" si="13"/>
        <v>100</v>
      </c>
      <c r="V29" s="1560" t="s">
        <v>11</v>
      </c>
      <c r="W29" s="1561">
        <f t="shared" si="14"/>
        <v>100</v>
      </c>
      <c r="X29" s="1554"/>
      <c r="Y29" s="338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2"/>
      <c r="Q30" s="1559">
        <f t="shared" si="11"/>
        <v>111</v>
      </c>
      <c r="R30" s="1560" t="s">
        <v>11</v>
      </c>
      <c r="S30" s="1561">
        <f t="shared" si="12"/>
        <v>100</v>
      </c>
      <c r="T30" s="1560" t="s">
        <v>11</v>
      </c>
      <c r="U30" s="1561">
        <f t="shared" si="13"/>
        <v>100</v>
      </c>
      <c r="V30" s="1560" t="s">
        <v>11</v>
      </c>
      <c r="W30" s="1561">
        <f t="shared" si="14"/>
        <v>100</v>
      </c>
      <c r="X30" s="1554"/>
      <c r="Y30" s="338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2"/>
      <c r="Q31" s="1559">
        <f t="shared" si="11"/>
        <v>111</v>
      </c>
      <c r="R31" s="1560" t="s">
        <v>11</v>
      </c>
      <c r="S31" s="1561">
        <f t="shared" si="12"/>
        <v>100</v>
      </c>
      <c r="T31" s="1560" t="s">
        <v>11</v>
      </c>
      <c r="U31" s="1561">
        <f t="shared" si="13"/>
        <v>100</v>
      </c>
      <c r="V31" s="1560" t="s">
        <v>11</v>
      </c>
      <c r="W31" s="1561">
        <f t="shared" si="14"/>
        <v>100</v>
      </c>
      <c r="X31" s="1554"/>
      <c r="Y31" s="3382"/>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3" t="s">
        <v>550</v>
      </c>
      <c r="Q32" s="1559" t="str">
        <f t="shared" si="11"/>
        <v>建筑类型</v>
      </c>
      <c r="R32" s="1560" t="s">
        <v>11</v>
      </c>
      <c r="S32" s="1561">
        <f t="shared" si="12"/>
        <v>100</v>
      </c>
      <c r="T32" s="1560" t="s">
        <v>11</v>
      </c>
      <c r="U32" s="1561">
        <f t="shared" si="13"/>
        <v>100</v>
      </c>
      <c r="V32" s="1560" t="s">
        <v>11</v>
      </c>
      <c r="W32" s="1561">
        <f t="shared" si="14"/>
        <v>100</v>
      </c>
      <c r="X32" s="1554"/>
      <c r="Y32" s="338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4"/>
      <c r="Q33" s="1591" t="str">
        <f t="shared" si="11"/>
        <v>项目建筑规模</v>
      </c>
      <c r="R33" s="1564" t="s">
        <v>11</v>
      </c>
      <c r="S33" s="1565" t="e">
        <f t="shared" si="12"/>
        <v>#N/A</v>
      </c>
      <c r="T33" s="1564" t="s">
        <v>11</v>
      </c>
      <c r="U33" s="1565" t="e">
        <f t="shared" si="13"/>
        <v>#N/A</v>
      </c>
      <c r="V33" s="1564" t="s">
        <v>11</v>
      </c>
      <c r="W33" s="1565" t="e">
        <f t="shared" si="14"/>
        <v>#N/A</v>
      </c>
      <c r="X33" s="1566"/>
      <c r="Y33" s="338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4"/>
      <c r="Q34" s="1559" t="str">
        <f t="shared" si="11"/>
        <v>建筑结构</v>
      </c>
      <c r="R34" s="1560" t="s">
        <v>11</v>
      </c>
      <c r="S34" s="1561">
        <f t="shared" si="12"/>
        <v>100</v>
      </c>
      <c r="T34" s="1560" t="s">
        <v>11</v>
      </c>
      <c r="U34" s="1561">
        <f t="shared" si="13"/>
        <v>100</v>
      </c>
      <c r="V34" s="1560" t="s">
        <v>11</v>
      </c>
      <c r="W34" s="1561">
        <f t="shared" si="14"/>
        <v>100</v>
      </c>
      <c r="X34" s="1554"/>
      <c r="Y34" s="338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4"/>
      <c r="Q35" s="1559" t="str">
        <f t="shared" si="11"/>
        <v>建筑品质</v>
      </c>
      <c r="R35" s="1560" t="s">
        <v>11</v>
      </c>
      <c r="S35" s="1561">
        <f t="shared" si="12"/>
        <v>100</v>
      </c>
      <c r="T35" s="1560" t="s">
        <v>11</v>
      </c>
      <c r="U35" s="1561">
        <f t="shared" si="13"/>
        <v>100</v>
      </c>
      <c r="V35" s="1560" t="s">
        <v>11</v>
      </c>
      <c r="W35" s="1561">
        <f t="shared" si="14"/>
        <v>100</v>
      </c>
      <c r="X35" s="1554"/>
      <c r="Y35" s="338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4"/>
      <c r="Q36" s="1559" t="str">
        <f t="shared" si="11"/>
        <v>公共部分装修</v>
      </c>
      <c r="R36" s="1560" t="s">
        <v>11</v>
      </c>
      <c r="S36" s="1561">
        <f t="shared" si="12"/>
        <v>100</v>
      </c>
      <c r="T36" s="1560" t="s">
        <v>11</v>
      </c>
      <c r="U36" s="1561">
        <f t="shared" si="13"/>
        <v>100</v>
      </c>
      <c r="V36" s="1560" t="s">
        <v>11</v>
      </c>
      <c r="W36" s="1561">
        <f t="shared" si="14"/>
        <v>100</v>
      </c>
      <c r="X36" s="1554"/>
      <c r="Y36" s="338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4"/>
      <c r="Q37" s="1147" t="str">
        <f t="shared" si="11"/>
        <v>成新度</v>
      </c>
      <c r="R37" s="1555" t="s">
        <v>11</v>
      </c>
      <c r="S37" s="1556" t="e">
        <f t="shared" si="12"/>
        <v>#N/A</v>
      </c>
      <c r="T37" s="1555" t="s">
        <v>11</v>
      </c>
      <c r="U37" s="1556" t="e">
        <f t="shared" si="13"/>
        <v>#N/A</v>
      </c>
      <c r="V37" s="1555" t="s">
        <v>11</v>
      </c>
      <c r="W37" s="1556" t="e">
        <f t="shared" si="14"/>
        <v>#N/A</v>
      </c>
      <c r="X37" s="1557"/>
      <c r="Y37" s="338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4" t="s">
        <v>550</v>
      </c>
      <c r="Q38" s="1559" t="str">
        <f t="shared" si="11"/>
        <v>物业管理</v>
      </c>
      <c r="R38" s="1560" t="s">
        <v>11</v>
      </c>
      <c r="S38" s="1561">
        <f t="shared" si="12"/>
        <v>100</v>
      </c>
      <c r="T38" s="1560" t="s">
        <v>11</v>
      </c>
      <c r="U38" s="1561">
        <f t="shared" si="13"/>
        <v>100</v>
      </c>
      <c r="V38" s="1560" t="s">
        <v>11</v>
      </c>
      <c r="W38" s="1561">
        <f t="shared" si="14"/>
        <v>100</v>
      </c>
      <c r="X38" s="1554"/>
      <c r="Y38" s="3384"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4"/>
      <c r="Q39" s="1559" t="str">
        <f t="shared" si="11"/>
        <v>市政基础设施</v>
      </c>
      <c r="R39" s="1560" t="s">
        <v>11</v>
      </c>
      <c r="S39" s="1561">
        <f t="shared" si="12"/>
        <v>100</v>
      </c>
      <c r="T39" s="1560" t="s">
        <v>11</v>
      </c>
      <c r="U39" s="1561">
        <f t="shared" si="13"/>
        <v>100</v>
      </c>
      <c r="V39" s="1560" t="s">
        <v>11</v>
      </c>
      <c r="W39" s="1561">
        <f t="shared" si="14"/>
        <v>100</v>
      </c>
      <c r="X39" s="1554"/>
      <c r="Y39" s="338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4"/>
      <c r="Q40" s="1559" t="str">
        <f t="shared" si="11"/>
        <v>房型</v>
      </c>
      <c r="R40" s="1560" t="s">
        <v>11</v>
      </c>
      <c r="S40" s="1561">
        <f t="shared" si="12"/>
        <v>100</v>
      </c>
      <c r="T40" s="1560" t="s">
        <v>11</v>
      </c>
      <c r="U40" s="1561">
        <f t="shared" si="13"/>
        <v>100</v>
      </c>
      <c r="V40" s="1560" t="s">
        <v>11</v>
      </c>
      <c r="W40" s="1561">
        <f t="shared" si="14"/>
        <v>100</v>
      </c>
      <c r="X40" s="1554"/>
      <c r="Y40" s="338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4"/>
      <c r="Q41" s="1591" t="str">
        <f t="shared" si="11"/>
        <v>单套/主力户型建筑面积</v>
      </c>
      <c r="R41" s="1564" t="s">
        <v>11</v>
      </c>
      <c r="S41" s="1565">
        <f t="shared" si="12"/>
        <v>100</v>
      </c>
      <c r="T41" s="1564" t="s">
        <v>11</v>
      </c>
      <c r="U41" s="1565">
        <f t="shared" si="13"/>
        <v>100</v>
      </c>
      <c r="V41" s="1564" t="s">
        <v>11</v>
      </c>
      <c r="W41" s="1565">
        <f t="shared" si="14"/>
        <v>100</v>
      </c>
      <c r="X41" s="1566"/>
      <c r="Y41" s="338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4"/>
      <c r="Q42" s="1559" t="str">
        <f t="shared" si="11"/>
        <v>内部装修</v>
      </c>
      <c r="R42" s="1560" t="s">
        <v>11</v>
      </c>
      <c r="S42" s="1561">
        <f t="shared" si="12"/>
        <v>100</v>
      </c>
      <c r="T42" s="1560" t="s">
        <v>11</v>
      </c>
      <c r="U42" s="1561">
        <f t="shared" si="13"/>
        <v>100</v>
      </c>
      <c r="V42" s="1560" t="s">
        <v>11</v>
      </c>
      <c r="W42" s="1561">
        <f t="shared" si="14"/>
        <v>100</v>
      </c>
      <c r="X42" s="1554"/>
      <c r="Y42" s="338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4"/>
      <c r="Q43" s="1559" t="str">
        <f t="shared" si="11"/>
        <v>内部装修维护情况</v>
      </c>
      <c r="R43" s="1560" t="s">
        <v>11</v>
      </c>
      <c r="S43" s="1561">
        <f t="shared" si="12"/>
        <v>100</v>
      </c>
      <c r="T43" s="1560" t="s">
        <v>11</v>
      </c>
      <c r="U43" s="1561">
        <f t="shared" si="13"/>
        <v>100</v>
      </c>
      <c r="V43" s="1560" t="s">
        <v>11</v>
      </c>
      <c r="W43" s="1561">
        <f t="shared" si="14"/>
        <v>100</v>
      </c>
      <c r="X43" s="1554"/>
      <c r="Y43" s="338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4"/>
      <c r="Q44" s="1147">
        <f t="shared" si="11"/>
        <v>111</v>
      </c>
      <c r="R44" s="1555" t="s">
        <v>11</v>
      </c>
      <c r="S44" s="1556">
        <f t="shared" si="12"/>
        <v>100</v>
      </c>
      <c r="T44" s="1555" t="s">
        <v>11</v>
      </c>
      <c r="U44" s="1556">
        <f t="shared" si="13"/>
        <v>100</v>
      </c>
      <c r="V44" s="1555" t="s">
        <v>11</v>
      </c>
      <c r="W44" s="1556">
        <f t="shared" si="14"/>
        <v>100</v>
      </c>
      <c r="X44" s="1557"/>
      <c r="Y44" s="338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4"/>
      <c r="Q45" s="1559">
        <f t="shared" si="11"/>
        <v>111</v>
      </c>
      <c r="R45" s="1560" t="s">
        <v>11</v>
      </c>
      <c r="S45" s="1561">
        <f t="shared" si="12"/>
        <v>100</v>
      </c>
      <c r="T45" s="1560" t="s">
        <v>11</v>
      </c>
      <c r="U45" s="1561">
        <f t="shared" si="13"/>
        <v>100</v>
      </c>
      <c r="V45" s="1560" t="s">
        <v>11</v>
      </c>
      <c r="W45" s="1561">
        <f t="shared" si="14"/>
        <v>100</v>
      </c>
      <c r="X45" s="1554"/>
      <c r="Y45" s="338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4"/>
      <c r="Q46" s="1559">
        <f t="shared" si="11"/>
        <v>111</v>
      </c>
      <c r="R46" s="1560" t="s">
        <v>10</v>
      </c>
      <c r="S46" s="1561">
        <f t="shared" si="12"/>
        <v>100</v>
      </c>
      <c r="T46" s="1560" t="s">
        <v>10</v>
      </c>
      <c r="U46" s="1561">
        <f t="shared" si="13"/>
        <v>100</v>
      </c>
      <c r="V46" s="1560" t="s">
        <v>10</v>
      </c>
      <c r="W46" s="1561">
        <f t="shared" si="14"/>
        <v>100</v>
      </c>
      <c r="X46" s="1554"/>
      <c r="Y46" s="348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9" t="str">
        <f>A47</f>
        <v>成交单价（元/平方米）</v>
      </c>
      <c r="Q47" s="3379"/>
      <c r="R47" s="3483">
        <f>E47</f>
        <v>0</v>
      </c>
      <c r="S47" s="3483"/>
      <c r="T47" s="3483">
        <f>G47</f>
        <v>0</v>
      </c>
      <c r="U47" s="3483"/>
      <c r="V47" s="3483">
        <f>I47</f>
        <v>0</v>
      </c>
      <c r="W47" s="348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400" t="str">
        <f>A49</f>
        <v>估价对象XX用房的比较价格（楼面单价，元/平方米）</v>
      </c>
      <c r="Q49" s="3401"/>
      <c r="R49" s="3482" t="e">
        <f>IF(F1="售价",ROUND(AVERAGE(R48:V48),0),ROUND(AVERAGE(R48:V48),1))</f>
        <v>#DIV/0!</v>
      </c>
      <c r="S49" s="3482"/>
      <c r="T49" s="3482"/>
      <c r="U49" s="3482"/>
      <c r="V49" s="3482"/>
      <c r="W49" s="348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5" t="s">
        <v>522</v>
      </c>
      <c r="D4" s="3386"/>
      <c r="E4" s="3409" t="s">
        <v>523</v>
      </c>
      <c r="F4" s="3410"/>
      <c r="G4" s="3385" t="s">
        <v>524</v>
      </c>
      <c r="H4" s="3386"/>
      <c r="I4" s="3385" t="s">
        <v>525</v>
      </c>
      <c r="J4" s="3386"/>
      <c r="K4" s="514"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93" t="s">
        <v>524</v>
      </c>
      <c r="AC4" s="3368" t="s">
        <v>525</v>
      </c>
    </row>
    <row r="5" spans="1:29" ht="15">
      <c r="A5" s="515"/>
      <c r="B5" s="516"/>
      <c r="C5" s="3396" t="s">
        <v>2927</v>
      </c>
      <c r="D5" s="3397"/>
      <c r="E5" s="3411" t="s">
        <v>2928</v>
      </c>
      <c r="F5" s="3412"/>
      <c r="G5" s="3396" t="s">
        <v>2929</v>
      </c>
      <c r="H5" s="3397"/>
      <c r="I5" s="3396" t="s">
        <v>2930</v>
      </c>
      <c r="J5" s="3397"/>
      <c r="K5" s="514"/>
      <c r="L5" s="2119"/>
      <c r="M5" s="2120"/>
      <c r="N5" s="2120"/>
      <c r="O5" s="2120"/>
      <c r="P5" s="3389"/>
      <c r="Q5" s="3390"/>
      <c r="R5" s="3375"/>
      <c r="S5" s="3376"/>
      <c r="T5" s="3375"/>
      <c r="U5" s="3376"/>
      <c r="V5" s="3393"/>
      <c r="W5" s="3393"/>
      <c r="X5" s="1554"/>
      <c r="Y5" s="3375"/>
      <c r="Z5" s="3376"/>
      <c r="AA5" s="3369"/>
      <c r="AB5" s="3393"/>
      <c r="AC5" s="3369"/>
    </row>
    <row r="6" spans="1:29" ht="15.75" thickBot="1">
      <c r="A6" s="517"/>
      <c r="B6" s="518"/>
      <c r="C6" s="3394" t="s">
        <v>2931</v>
      </c>
      <c r="D6" s="3395"/>
      <c r="E6" s="3413" t="s">
        <v>2931</v>
      </c>
      <c r="F6" s="3414"/>
      <c r="G6" s="3394" t="s">
        <v>2931</v>
      </c>
      <c r="H6" s="3395"/>
      <c r="I6" s="3394" t="s">
        <v>2931</v>
      </c>
      <c r="J6" s="3395"/>
      <c r="K6" s="514" t="s">
        <v>528</v>
      </c>
      <c r="L6" s="2119"/>
      <c r="M6" s="2120"/>
      <c r="N6" s="2120"/>
      <c r="O6" s="2120"/>
      <c r="P6" s="3391"/>
      <c r="Q6" s="3392"/>
      <c r="R6" s="3375"/>
      <c r="S6" s="3376"/>
      <c r="T6" s="3377"/>
      <c r="U6" s="3378"/>
      <c r="V6" s="3393"/>
      <c r="W6" s="3393"/>
      <c r="X6" s="1554"/>
      <c r="Y6" s="3377"/>
      <c r="Z6" s="3378"/>
      <c r="AA6" s="3370"/>
      <c r="AB6" s="3393"/>
      <c r="AC6" s="3370"/>
    </row>
    <row r="7" spans="1:29" s="1216" customFormat="1" ht="15.75" thickBot="1">
      <c r="A7" s="2868"/>
      <c r="B7" s="2875" t="s">
        <v>529</v>
      </c>
      <c r="C7" s="519">
        <f>'数据-取费表'!B2</f>
        <v>43700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1"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1" t="s">
        <v>540</v>
      </c>
      <c r="Q15" s="1559" t="str">
        <f t="shared" si="6"/>
        <v>商业繁华度</v>
      </c>
      <c r="R15" s="1560" t="s">
        <v>8</v>
      </c>
      <c r="S15" s="1561">
        <f t="shared" si="0"/>
        <v>100</v>
      </c>
      <c r="T15" s="1560" t="s">
        <v>8</v>
      </c>
      <c r="U15" s="1561">
        <f t="shared" si="1"/>
        <v>100</v>
      </c>
      <c r="V15" s="1560" t="s">
        <v>8</v>
      </c>
      <c r="W15" s="1561">
        <f t="shared" si="2"/>
        <v>100</v>
      </c>
      <c r="X15" s="1554"/>
      <c r="Y15" s="338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2"/>
      <c r="Q16" s="1559"/>
      <c r="R16" s="1560"/>
      <c r="S16" s="1561"/>
      <c r="T16" s="1560"/>
      <c r="U16" s="1561"/>
      <c r="V16" s="1560"/>
      <c r="W16" s="1561"/>
      <c r="X16" s="1554"/>
      <c r="Y16" s="3382"/>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2"/>
      <c r="Q18" s="1559"/>
      <c r="R18" s="1560"/>
      <c r="S18" s="1561"/>
      <c r="T18" s="1560"/>
      <c r="U18" s="1561"/>
      <c r="V18" s="1560"/>
      <c r="W18" s="1561"/>
      <c r="X18" s="1554"/>
      <c r="Y18" s="3382"/>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2"/>
      <c r="Q20" s="1559"/>
      <c r="R20" s="1560"/>
      <c r="S20" s="1561"/>
      <c r="T20" s="1560"/>
      <c r="U20" s="1561"/>
      <c r="V20" s="1560"/>
      <c r="W20" s="1561"/>
      <c r="X20" s="1554"/>
      <c r="Y20" s="3382"/>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2"/>
      <c r="Q22" s="2544"/>
      <c r="R22" s="1560"/>
      <c r="S22" s="1561"/>
      <c r="T22" s="1560"/>
      <c r="U22" s="1561"/>
      <c r="V22" s="1560"/>
      <c r="W22" s="1561"/>
      <c r="X22" s="2546"/>
      <c r="Y22" s="3382"/>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2"/>
      <c r="Q23" s="1559" t="str">
        <f>B23</f>
        <v>自然及人文环境</v>
      </c>
      <c r="R23" s="1560" t="s">
        <v>8</v>
      </c>
      <c r="S23" s="1561">
        <f>F23</f>
        <v>100</v>
      </c>
      <c r="T23" s="1560" t="s">
        <v>8</v>
      </c>
      <c r="U23" s="1561">
        <f>H23</f>
        <v>100</v>
      </c>
      <c r="V23" s="1560" t="s">
        <v>8</v>
      </c>
      <c r="W23" s="1561">
        <f>J23</f>
        <v>100</v>
      </c>
      <c r="X23" s="1554"/>
      <c r="Y23" s="338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2"/>
      <c r="Q25" s="1559" t="str">
        <f t="shared" ref="Q25:Q46" si="11">B25</f>
        <v>临街状况</v>
      </c>
      <c r="R25" s="1560" t="s">
        <v>8</v>
      </c>
      <c r="S25" s="1561">
        <f>F25</f>
        <v>100</v>
      </c>
      <c r="T25" s="1560" t="s">
        <v>8</v>
      </c>
      <c r="U25" s="1561">
        <f>H25</f>
        <v>100</v>
      </c>
      <c r="V25" s="1560" t="s">
        <v>8</v>
      </c>
      <c r="W25" s="1561">
        <f>J25</f>
        <v>100</v>
      </c>
      <c r="X25" s="1554"/>
      <c r="Y25" s="338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2"/>
      <c r="Q26" s="1559" t="str">
        <f t="shared" si="11"/>
        <v>平面位置/可视性</v>
      </c>
      <c r="R26" s="1560" t="s">
        <v>8</v>
      </c>
      <c r="S26" s="1561">
        <f>F26</f>
        <v>100</v>
      </c>
      <c r="T26" s="1560" t="s">
        <v>8</v>
      </c>
      <c r="U26" s="1561">
        <f>H26</f>
        <v>100</v>
      </c>
      <c r="V26" s="1560" t="s">
        <v>8</v>
      </c>
      <c r="W26" s="1561">
        <f>J26</f>
        <v>100</v>
      </c>
      <c r="X26" s="1554"/>
      <c r="Y26" s="338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2"/>
      <c r="Q27" s="1147" t="str">
        <f t="shared" si="11"/>
        <v>人流量</v>
      </c>
      <c r="R27" s="1555" t="s">
        <v>8</v>
      </c>
      <c r="S27" s="1556">
        <f>F27</f>
        <v>100</v>
      </c>
      <c r="T27" s="1555" t="s">
        <v>8</v>
      </c>
      <c r="U27" s="1556">
        <f>H27</f>
        <v>100</v>
      </c>
      <c r="V27" s="1555" t="s">
        <v>8</v>
      </c>
      <c r="W27" s="1556">
        <f>J27</f>
        <v>100</v>
      </c>
      <c r="X27" s="1557"/>
      <c r="Y27" s="338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2"/>
      <c r="Q29" s="1559">
        <f t="shared" si="11"/>
        <v>111</v>
      </c>
      <c r="R29" s="1560" t="s">
        <v>8</v>
      </c>
      <c r="S29" s="1561">
        <f t="shared" si="12"/>
        <v>100</v>
      </c>
      <c r="T29" s="1560" t="s">
        <v>8</v>
      </c>
      <c r="U29" s="1561">
        <f t="shared" si="13"/>
        <v>100</v>
      </c>
      <c r="V29" s="1560" t="s">
        <v>8</v>
      </c>
      <c r="W29" s="1561">
        <f t="shared" si="14"/>
        <v>100</v>
      </c>
      <c r="X29" s="1554"/>
      <c r="Y29" s="338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2"/>
      <c r="Q30" s="1559">
        <f t="shared" si="11"/>
        <v>111</v>
      </c>
      <c r="R30" s="1560" t="s">
        <v>8</v>
      </c>
      <c r="S30" s="1561">
        <f t="shared" si="12"/>
        <v>100</v>
      </c>
      <c r="T30" s="1560" t="s">
        <v>8</v>
      </c>
      <c r="U30" s="1561">
        <f t="shared" si="13"/>
        <v>100</v>
      </c>
      <c r="V30" s="1560" t="s">
        <v>8</v>
      </c>
      <c r="W30" s="1561">
        <f t="shared" si="14"/>
        <v>100</v>
      </c>
      <c r="X30" s="1554"/>
      <c r="Y30" s="338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2"/>
      <c r="Q31" s="1559">
        <f t="shared" si="11"/>
        <v>111</v>
      </c>
      <c r="R31" s="1560" t="s">
        <v>8</v>
      </c>
      <c r="S31" s="1561">
        <f t="shared" si="12"/>
        <v>100</v>
      </c>
      <c r="T31" s="1560" t="s">
        <v>8</v>
      </c>
      <c r="U31" s="1561">
        <f t="shared" si="13"/>
        <v>100</v>
      </c>
      <c r="V31" s="1560" t="s">
        <v>8</v>
      </c>
      <c r="W31" s="1561">
        <f t="shared" si="14"/>
        <v>100</v>
      </c>
      <c r="X31" s="1554"/>
      <c r="Y31" s="3382"/>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3" t="s">
        <v>550</v>
      </c>
      <c r="Q32" s="1559" t="str">
        <f t="shared" si="11"/>
        <v>商业类型</v>
      </c>
      <c r="R32" s="1560" t="s">
        <v>8</v>
      </c>
      <c r="S32" s="1561">
        <f t="shared" si="12"/>
        <v>100</v>
      </c>
      <c r="T32" s="1560" t="s">
        <v>8</v>
      </c>
      <c r="U32" s="1561">
        <f t="shared" si="13"/>
        <v>100</v>
      </c>
      <c r="V32" s="1560" t="s">
        <v>8</v>
      </c>
      <c r="W32" s="1561">
        <f t="shared" si="14"/>
        <v>100</v>
      </c>
      <c r="X32" s="1554"/>
      <c r="Y32" s="338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4"/>
      <c r="Q33" s="1591" t="str">
        <f t="shared" si="11"/>
        <v>项目建筑规模</v>
      </c>
      <c r="R33" s="1564" t="s">
        <v>8</v>
      </c>
      <c r="S33" s="1565" t="e">
        <f t="shared" si="12"/>
        <v>#N/A</v>
      </c>
      <c r="T33" s="1564" t="s">
        <v>8</v>
      </c>
      <c r="U33" s="1565" t="e">
        <f t="shared" si="13"/>
        <v>#N/A</v>
      </c>
      <c r="V33" s="1564" t="s">
        <v>8</v>
      </c>
      <c r="W33" s="1565" t="e">
        <f t="shared" si="14"/>
        <v>#N/A</v>
      </c>
      <c r="X33" s="1566"/>
      <c r="Y33" s="338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4"/>
      <c r="Q34" s="1559" t="str">
        <f t="shared" si="11"/>
        <v>建筑结构</v>
      </c>
      <c r="R34" s="1560" t="s">
        <v>8</v>
      </c>
      <c r="S34" s="1561">
        <f t="shared" si="12"/>
        <v>100</v>
      </c>
      <c r="T34" s="1560" t="s">
        <v>8</v>
      </c>
      <c r="U34" s="1561">
        <f t="shared" si="13"/>
        <v>100</v>
      </c>
      <c r="V34" s="1560" t="s">
        <v>8</v>
      </c>
      <c r="W34" s="1561">
        <f t="shared" si="14"/>
        <v>100</v>
      </c>
      <c r="X34" s="1554"/>
      <c r="Y34" s="338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4"/>
      <c r="Q35" s="1559" t="str">
        <f t="shared" si="11"/>
        <v>公共部分装修</v>
      </c>
      <c r="R35" s="1560" t="s">
        <v>8</v>
      </c>
      <c r="S35" s="1561">
        <f t="shared" si="12"/>
        <v>100</v>
      </c>
      <c r="T35" s="1560" t="s">
        <v>8</v>
      </c>
      <c r="U35" s="1561">
        <f t="shared" si="13"/>
        <v>100</v>
      </c>
      <c r="V35" s="1560" t="s">
        <v>8</v>
      </c>
      <c r="W35" s="1561">
        <f t="shared" si="14"/>
        <v>100</v>
      </c>
      <c r="X35" s="1554"/>
      <c r="Y35" s="338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4"/>
      <c r="Q36" s="1559" t="str">
        <f t="shared" si="11"/>
        <v>成新度</v>
      </c>
      <c r="R36" s="1560" t="s">
        <v>8</v>
      </c>
      <c r="S36" s="1561" t="e">
        <f t="shared" si="12"/>
        <v>#N/A</v>
      </c>
      <c r="T36" s="1560" t="s">
        <v>8</v>
      </c>
      <c r="U36" s="1561" t="e">
        <f t="shared" si="13"/>
        <v>#N/A</v>
      </c>
      <c r="V36" s="1560" t="s">
        <v>8</v>
      </c>
      <c r="W36" s="1561" t="e">
        <f t="shared" si="14"/>
        <v>#N/A</v>
      </c>
      <c r="X36" s="1554"/>
      <c r="Y36" s="3384"/>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4"/>
      <c r="Q37" s="1147" t="str">
        <f t="shared" si="11"/>
        <v>市政基础设施</v>
      </c>
      <c r="R37" s="1555" t="s">
        <v>8</v>
      </c>
      <c r="S37" s="1556">
        <f t="shared" si="12"/>
        <v>100</v>
      </c>
      <c r="T37" s="1555" t="s">
        <v>8</v>
      </c>
      <c r="U37" s="1556">
        <f t="shared" si="13"/>
        <v>100</v>
      </c>
      <c r="V37" s="1555" t="s">
        <v>8</v>
      </c>
      <c r="W37" s="1556">
        <f t="shared" si="14"/>
        <v>100</v>
      </c>
      <c r="X37" s="1557"/>
      <c r="Y37" s="338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4" t="s">
        <v>766</v>
      </c>
      <c r="Q38" s="1559" t="str">
        <f t="shared" si="11"/>
        <v>业态</v>
      </c>
      <c r="R38" s="1560" t="s">
        <v>8</v>
      </c>
      <c r="S38" s="1561">
        <f t="shared" si="12"/>
        <v>100</v>
      </c>
      <c r="T38" s="1560" t="s">
        <v>8</v>
      </c>
      <c r="U38" s="1561">
        <f t="shared" si="13"/>
        <v>100</v>
      </c>
      <c r="V38" s="1560" t="s">
        <v>8</v>
      </c>
      <c r="W38" s="1561">
        <f t="shared" si="14"/>
        <v>100</v>
      </c>
      <c r="X38" s="1554"/>
      <c r="Y38" s="338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4"/>
      <c r="Q39" s="1559" t="str">
        <f t="shared" si="11"/>
        <v>层高</v>
      </c>
      <c r="R39" s="1560" t="s">
        <v>8</v>
      </c>
      <c r="S39" s="1561">
        <f t="shared" si="12"/>
        <v>100</v>
      </c>
      <c r="T39" s="1560" t="s">
        <v>8</v>
      </c>
      <c r="U39" s="1561">
        <f t="shared" si="13"/>
        <v>100</v>
      </c>
      <c r="V39" s="1560" t="s">
        <v>8</v>
      </c>
      <c r="W39" s="1561">
        <f t="shared" si="14"/>
        <v>100</v>
      </c>
      <c r="X39" s="1554"/>
      <c r="Y39" s="338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4"/>
      <c r="Q40" s="1559" t="str">
        <f t="shared" si="11"/>
        <v>单套建筑面积</v>
      </c>
      <c r="R40" s="1560" t="s">
        <v>8</v>
      </c>
      <c r="S40" s="1561">
        <f t="shared" si="12"/>
        <v>100</v>
      </c>
      <c r="T40" s="1560" t="s">
        <v>8</v>
      </c>
      <c r="U40" s="1561">
        <f t="shared" si="13"/>
        <v>100</v>
      </c>
      <c r="V40" s="1560" t="s">
        <v>8</v>
      </c>
      <c r="W40" s="1561">
        <f t="shared" si="14"/>
        <v>100</v>
      </c>
      <c r="X40" s="1554"/>
      <c r="Y40" s="338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4"/>
      <c r="Q41" s="1591" t="str">
        <f t="shared" si="11"/>
        <v>进深比</v>
      </c>
      <c r="R41" s="1564" t="s">
        <v>8</v>
      </c>
      <c r="S41" s="1565">
        <f t="shared" si="12"/>
        <v>100</v>
      </c>
      <c r="T41" s="1564" t="s">
        <v>8</v>
      </c>
      <c r="U41" s="1565">
        <f t="shared" si="13"/>
        <v>100</v>
      </c>
      <c r="V41" s="1564" t="s">
        <v>8</v>
      </c>
      <c r="W41" s="1565">
        <f t="shared" si="14"/>
        <v>100</v>
      </c>
      <c r="X41" s="1566"/>
      <c r="Y41" s="338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4"/>
      <c r="Q42" s="1559" t="str">
        <f t="shared" si="11"/>
        <v>内部装修</v>
      </c>
      <c r="R42" s="1560" t="s">
        <v>8</v>
      </c>
      <c r="S42" s="1561">
        <f t="shared" si="12"/>
        <v>100</v>
      </c>
      <c r="T42" s="1560" t="s">
        <v>8</v>
      </c>
      <c r="U42" s="1561">
        <f t="shared" si="13"/>
        <v>100</v>
      </c>
      <c r="V42" s="1560" t="s">
        <v>8</v>
      </c>
      <c r="W42" s="1561">
        <f t="shared" si="14"/>
        <v>100</v>
      </c>
      <c r="X42" s="1554"/>
      <c r="Y42" s="338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4"/>
      <c r="Q43" s="1559" t="str">
        <f t="shared" si="11"/>
        <v>内部装修维护情况</v>
      </c>
      <c r="R43" s="1560" t="s">
        <v>8</v>
      </c>
      <c r="S43" s="1561">
        <f t="shared" si="12"/>
        <v>100</v>
      </c>
      <c r="T43" s="1560" t="s">
        <v>8</v>
      </c>
      <c r="U43" s="1561">
        <f t="shared" si="13"/>
        <v>100</v>
      </c>
      <c r="V43" s="1560" t="s">
        <v>8</v>
      </c>
      <c r="W43" s="1561">
        <f t="shared" si="14"/>
        <v>100</v>
      </c>
      <c r="X43" s="1554"/>
      <c r="Y43" s="338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4"/>
      <c r="Q44" s="1147">
        <f t="shared" si="11"/>
        <v>111</v>
      </c>
      <c r="R44" s="1555" t="s">
        <v>8</v>
      </c>
      <c r="S44" s="1556">
        <f t="shared" si="12"/>
        <v>100</v>
      </c>
      <c r="T44" s="1555" t="s">
        <v>8</v>
      </c>
      <c r="U44" s="1556">
        <f t="shared" si="13"/>
        <v>100</v>
      </c>
      <c r="V44" s="1555" t="s">
        <v>8</v>
      </c>
      <c r="W44" s="1556">
        <f t="shared" si="14"/>
        <v>100</v>
      </c>
      <c r="X44" s="1557"/>
      <c r="Y44" s="338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4"/>
      <c r="Q45" s="1559">
        <f t="shared" si="11"/>
        <v>111</v>
      </c>
      <c r="R45" s="1560" t="s">
        <v>8</v>
      </c>
      <c r="S45" s="1561">
        <f t="shared" si="12"/>
        <v>100</v>
      </c>
      <c r="T45" s="1560" t="s">
        <v>8</v>
      </c>
      <c r="U45" s="1561">
        <f t="shared" si="13"/>
        <v>100</v>
      </c>
      <c r="V45" s="1560" t="s">
        <v>8</v>
      </c>
      <c r="W45" s="1561">
        <f t="shared" si="14"/>
        <v>100</v>
      </c>
      <c r="X45" s="1554"/>
      <c r="Y45" s="338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4"/>
      <c r="Q46" s="1559">
        <f t="shared" si="11"/>
        <v>111</v>
      </c>
      <c r="R46" s="1560" t="s">
        <v>8</v>
      </c>
      <c r="S46" s="1561">
        <f t="shared" si="12"/>
        <v>100</v>
      </c>
      <c r="T46" s="1560" t="s">
        <v>8</v>
      </c>
      <c r="U46" s="1561">
        <f t="shared" si="13"/>
        <v>100</v>
      </c>
      <c r="V46" s="1560" t="s">
        <v>8</v>
      </c>
      <c r="W46" s="1561">
        <f t="shared" si="14"/>
        <v>100</v>
      </c>
      <c r="X46" s="1554"/>
      <c r="Y46" s="348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9" t="str">
        <f>A47</f>
        <v>成交单价（元/平方米）</v>
      </c>
      <c r="Q47" s="3379"/>
      <c r="R47" s="3483">
        <f>E47</f>
        <v>0</v>
      </c>
      <c r="S47" s="3483"/>
      <c r="T47" s="3483">
        <f>G47</f>
        <v>0</v>
      </c>
      <c r="U47" s="3483"/>
      <c r="V47" s="3483">
        <f>I47</f>
        <v>0</v>
      </c>
      <c r="W47" s="348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400" t="str">
        <f>A49</f>
        <v>估价对象XX用房的比较价格（楼面单价，元/平方米）</v>
      </c>
      <c r="Q49" s="3401"/>
      <c r="R49" s="3482" t="e">
        <f>IF(F1="售价",ROUND(AVERAGE(R48:V48),0),ROUND(AVERAGE(R48:V48),1))</f>
        <v>#DIV/0!</v>
      </c>
      <c r="S49" s="3482"/>
      <c r="T49" s="3482"/>
      <c r="U49" s="3482"/>
      <c r="V49" s="3482"/>
      <c r="W49" s="348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5" t="s">
        <v>522</v>
      </c>
      <c r="D4" s="3386"/>
      <c r="E4" s="3409" t="s">
        <v>523</v>
      </c>
      <c r="F4" s="3410"/>
      <c r="G4" s="3385" t="s">
        <v>524</v>
      </c>
      <c r="H4" s="3386"/>
      <c r="I4" s="3385" t="s">
        <v>525</v>
      </c>
      <c r="J4" s="3386"/>
      <c r="K4" s="514" t="s">
        <v>526</v>
      </c>
      <c r="L4" s="2119"/>
      <c r="M4" s="2120"/>
      <c r="N4" s="2120"/>
      <c r="O4" s="2120"/>
      <c r="P4" s="3485" t="s">
        <v>527</v>
      </c>
      <c r="Q4" s="3388"/>
      <c r="R4" s="3373" t="s">
        <v>523</v>
      </c>
      <c r="S4" s="3374"/>
      <c r="T4" s="3373" t="s">
        <v>524</v>
      </c>
      <c r="U4" s="3374"/>
      <c r="V4" s="3393" t="s">
        <v>525</v>
      </c>
      <c r="W4" s="3393"/>
      <c r="X4" s="1554"/>
      <c r="Y4" s="3373" t="s">
        <v>527</v>
      </c>
      <c r="Z4" s="3374"/>
      <c r="AA4" s="3368" t="s">
        <v>523</v>
      </c>
      <c r="AB4" s="3368" t="s">
        <v>524</v>
      </c>
      <c r="AC4" s="3368" t="s">
        <v>525</v>
      </c>
    </row>
    <row r="5" spans="1:29" ht="15">
      <c r="A5" s="515"/>
      <c r="B5" s="516"/>
      <c r="C5" s="3396" t="s">
        <v>2927</v>
      </c>
      <c r="D5" s="3397"/>
      <c r="E5" s="3411" t="s">
        <v>2928</v>
      </c>
      <c r="F5" s="3412"/>
      <c r="G5" s="3396" t="s">
        <v>2929</v>
      </c>
      <c r="H5" s="3397"/>
      <c r="I5" s="3396" t="s">
        <v>2930</v>
      </c>
      <c r="J5" s="3397"/>
      <c r="K5" s="514"/>
      <c r="L5" s="2119"/>
      <c r="M5" s="2120"/>
      <c r="N5" s="2120"/>
      <c r="O5" s="2120"/>
      <c r="P5" s="3486"/>
      <c r="Q5" s="3390"/>
      <c r="R5" s="3375"/>
      <c r="S5" s="3376"/>
      <c r="T5" s="3375"/>
      <c r="U5" s="3376"/>
      <c r="V5" s="3393"/>
      <c r="W5" s="3393"/>
      <c r="X5" s="1554"/>
      <c r="Y5" s="3375"/>
      <c r="Z5" s="3376"/>
      <c r="AA5" s="3369"/>
      <c r="AB5" s="3369"/>
      <c r="AC5" s="3369"/>
    </row>
    <row r="6" spans="1:29" ht="15.75" thickBot="1">
      <c r="A6" s="517"/>
      <c r="B6" s="518"/>
      <c r="C6" s="3394" t="s">
        <v>2931</v>
      </c>
      <c r="D6" s="3395"/>
      <c r="E6" s="3413" t="s">
        <v>2931</v>
      </c>
      <c r="F6" s="3414"/>
      <c r="G6" s="3394" t="s">
        <v>2931</v>
      </c>
      <c r="H6" s="3395"/>
      <c r="I6" s="3394" t="s">
        <v>2931</v>
      </c>
      <c r="J6" s="3395"/>
      <c r="K6" s="514" t="s">
        <v>528</v>
      </c>
      <c r="L6" s="2119"/>
      <c r="M6" s="2120"/>
      <c r="N6" s="2120"/>
      <c r="O6" s="2120"/>
      <c r="P6" s="3487"/>
      <c r="Q6" s="3392"/>
      <c r="R6" s="3375"/>
      <c r="S6" s="3376"/>
      <c r="T6" s="3377"/>
      <c r="U6" s="3378"/>
      <c r="V6" s="3393"/>
      <c r="W6" s="3393"/>
      <c r="X6" s="1554"/>
      <c r="Y6" s="3377"/>
      <c r="Z6" s="3378"/>
      <c r="AA6" s="3370"/>
      <c r="AB6" s="3370"/>
      <c r="AC6" s="3370"/>
    </row>
    <row r="7" spans="1:29" s="1216" customFormat="1" ht="15.75" thickBot="1">
      <c r="A7" s="2868"/>
      <c r="B7" s="2875" t="s">
        <v>529</v>
      </c>
      <c r="C7" s="519">
        <f>'数据-取费表'!B2</f>
        <v>43700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0"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0" t="s">
        <v>533</v>
      </c>
      <c r="Q8" s="3372"/>
      <c r="R8" s="1555" t="s">
        <v>8</v>
      </c>
      <c r="S8" s="1556">
        <f t="shared" si="0"/>
        <v>0</v>
      </c>
      <c r="T8" s="1555" t="s">
        <v>8</v>
      </c>
      <c r="U8" s="1556">
        <f t="shared" si="1"/>
        <v>0</v>
      </c>
      <c r="V8" s="1555" t="s">
        <v>8</v>
      </c>
      <c r="W8" s="1556">
        <f t="shared" si="2"/>
        <v>0</v>
      </c>
      <c r="X8" s="1557"/>
      <c r="Y8" s="3371" t="s">
        <v>533</v>
      </c>
      <c r="Z8" s="337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15">
      <c r="A15" s="2866"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1" t="s">
        <v>540</v>
      </c>
      <c r="Q15" s="1559" t="str">
        <f t="shared" si="6"/>
        <v>办公集聚程度</v>
      </c>
      <c r="R15" s="1560" t="s">
        <v>8</v>
      </c>
      <c r="S15" s="1561">
        <f t="shared" si="0"/>
        <v>100</v>
      </c>
      <c r="T15" s="1560" t="s">
        <v>8</v>
      </c>
      <c r="U15" s="1561">
        <f t="shared" si="1"/>
        <v>100</v>
      </c>
      <c r="V15" s="1560" t="s">
        <v>8</v>
      </c>
      <c r="W15" s="1561">
        <f t="shared" si="2"/>
        <v>100</v>
      </c>
      <c r="X15" s="1554"/>
      <c r="Y15" s="338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2"/>
      <c r="Q16" s="1559"/>
      <c r="R16" s="1560"/>
      <c r="S16" s="1561"/>
      <c r="T16" s="1560"/>
      <c r="U16" s="1561"/>
      <c r="V16" s="1560"/>
      <c r="W16" s="1561"/>
      <c r="X16" s="1554"/>
      <c r="Y16" s="3382"/>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2"/>
      <c r="Q18" s="1559"/>
      <c r="R18" s="1560"/>
      <c r="S18" s="1561"/>
      <c r="T18" s="1560"/>
      <c r="U18" s="1561"/>
      <c r="V18" s="1560"/>
      <c r="W18" s="1561"/>
      <c r="X18" s="1554"/>
      <c r="Y18" s="3382"/>
      <c r="Z18" s="1562"/>
      <c r="AA18" s="1563">
        <v>1</v>
      </c>
      <c r="AB18" s="1563">
        <v>1</v>
      </c>
      <c r="AC18" s="1563">
        <v>1</v>
      </c>
    </row>
    <row r="19" spans="1:29" ht="15">
      <c r="A19" s="532"/>
      <c r="B19" s="2568"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2"/>
      <c r="Q20" s="1559"/>
      <c r="R20" s="1560"/>
      <c r="S20" s="1561"/>
      <c r="T20" s="1560"/>
      <c r="U20" s="1561"/>
      <c r="V20" s="1560"/>
      <c r="W20" s="1561"/>
      <c r="X20" s="1554"/>
      <c r="Y20" s="3382"/>
      <c r="Z20" s="1562"/>
      <c r="AA20" s="1563">
        <v>1</v>
      </c>
      <c r="AB20" s="1563">
        <v>1</v>
      </c>
      <c r="AC20" s="1563">
        <v>1</v>
      </c>
    </row>
    <row r="21" spans="1:29" ht="15">
      <c r="A21" s="532"/>
      <c r="B21" s="2556"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2"/>
      <c r="Q22" s="2544"/>
      <c r="R22" s="1560"/>
      <c r="S22" s="1561"/>
      <c r="T22" s="1560"/>
      <c r="U22" s="1561"/>
      <c r="V22" s="1560"/>
      <c r="W22" s="1561"/>
      <c r="X22" s="2546"/>
      <c r="Y22" s="3382"/>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2"/>
      <c r="Q23" s="1559" t="str">
        <f>B23</f>
        <v>环境质量</v>
      </c>
      <c r="R23" s="1560" t="s">
        <v>8</v>
      </c>
      <c r="S23" s="1561">
        <f>F23</f>
        <v>100</v>
      </c>
      <c r="T23" s="1560" t="s">
        <v>8</v>
      </c>
      <c r="U23" s="1561">
        <f>H23</f>
        <v>100</v>
      </c>
      <c r="V23" s="1560" t="s">
        <v>8</v>
      </c>
      <c r="W23" s="1561">
        <f>J23</f>
        <v>100</v>
      </c>
      <c r="X23" s="1554"/>
      <c r="Y23" s="338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2"/>
      <c r="Q24" s="1559"/>
      <c r="R24" s="1560"/>
      <c r="S24" s="1561"/>
      <c r="T24" s="1560"/>
      <c r="U24" s="1561"/>
      <c r="V24" s="1560"/>
      <c r="W24" s="1561"/>
      <c r="X24" s="1554"/>
      <c r="Y24" s="338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2"/>
      <c r="Q25" s="1559" t="str">
        <f>B25</f>
        <v>毗邻道路的类型与等级</v>
      </c>
      <c r="R25" s="1560" t="s">
        <v>8</v>
      </c>
      <c r="S25" s="1561">
        <f>F25</f>
        <v>100</v>
      </c>
      <c r="T25" s="1560" t="s">
        <v>8</v>
      </c>
      <c r="U25" s="1561">
        <f>H25</f>
        <v>100</v>
      </c>
      <c r="V25" s="1560" t="s">
        <v>8</v>
      </c>
      <c r="W25" s="1561">
        <f>J25</f>
        <v>100</v>
      </c>
      <c r="X25" s="1554"/>
      <c r="Y25" s="338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2"/>
      <c r="Q26" s="1559"/>
      <c r="R26" s="1560"/>
      <c r="S26" s="1561"/>
      <c r="T26" s="1560"/>
      <c r="U26" s="1561"/>
      <c r="V26" s="1560"/>
      <c r="W26" s="1561"/>
      <c r="X26" s="1554"/>
      <c r="Y26" s="338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2"/>
      <c r="Q27" s="1559" t="str">
        <f t="shared" ref="Q27:Q47" si="11">B27</f>
        <v>楼层</v>
      </c>
      <c r="R27" s="1560" t="s">
        <v>8</v>
      </c>
      <c r="S27" s="1561">
        <f>F27</f>
        <v>100</v>
      </c>
      <c r="T27" s="1560" t="s">
        <v>8</v>
      </c>
      <c r="U27" s="1561">
        <f>H27</f>
        <v>100</v>
      </c>
      <c r="V27" s="1560" t="s">
        <v>8</v>
      </c>
      <c r="W27" s="1561">
        <f>J27</f>
        <v>100</v>
      </c>
      <c r="X27" s="1554"/>
      <c r="Y27" s="338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2"/>
      <c r="Q28" s="1147" t="str">
        <f t="shared" si="11"/>
        <v>朝向</v>
      </c>
      <c r="R28" s="1555" t="s">
        <v>8</v>
      </c>
      <c r="S28" s="1556">
        <f>F28</f>
        <v>100</v>
      </c>
      <c r="T28" s="1555" t="s">
        <v>8</v>
      </c>
      <c r="U28" s="1556">
        <f>H28</f>
        <v>100</v>
      </c>
      <c r="V28" s="1555" t="s">
        <v>8</v>
      </c>
      <c r="W28" s="1556">
        <f>J28</f>
        <v>100</v>
      </c>
      <c r="X28" s="1557"/>
      <c r="Y28" s="338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2"/>
      <c r="Q29" s="1559">
        <f t="shared" si="11"/>
        <v>111</v>
      </c>
      <c r="R29" s="1560" t="s">
        <v>8</v>
      </c>
      <c r="S29" s="1561">
        <f t="shared" ref="S29:S47" si="12">F29</f>
        <v>100</v>
      </c>
      <c r="T29" s="1560" t="s">
        <v>8</v>
      </c>
      <c r="U29" s="1561">
        <f t="shared" ref="U29:U47" si="13">H29</f>
        <v>100</v>
      </c>
      <c r="V29" s="1560" t="s">
        <v>8</v>
      </c>
      <c r="W29" s="1561">
        <f t="shared" ref="W29:W47" si="14">J29</f>
        <v>100</v>
      </c>
      <c r="X29" s="1554"/>
      <c r="Y29" s="338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2"/>
      <c r="Q30" s="1559">
        <f t="shared" si="11"/>
        <v>111</v>
      </c>
      <c r="R30" s="1560" t="s">
        <v>8</v>
      </c>
      <c r="S30" s="1561">
        <f t="shared" si="12"/>
        <v>100</v>
      </c>
      <c r="T30" s="1560" t="s">
        <v>8</v>
      </c>
      <c r="U30" s="1561">
        <f t="shared" si="13"/>
        <v>100</v>
      </c>
      <c r="V30" s="1560" t="s">
        <v>8</v>
      </c>
      <c r="W30" s="1561">
        <f t="shared" si="14"/>
        <v>100</v>
      </c>
      <c r="X30" s="1554"/>
      <c r="Y30" s="338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2"/>
      <c r="Q31" s="1559">
        <f t="shared" si="11"/>
        <v>111</v>
      </c>
      <c r="R31" s="1560" t="s">
        <v>8</v>
      </c>
      <c r="S31" s="1561">
        <f t="shared" si="12"/>
        <v>100</v>
      </c>
      <c r="T31" s="1560" t="s">
        <v>8</v>
      </c>
      <c r="U31" s="1561">
        <f t="shared" si="13"/>
        <v>100</v>
      </c>
      <c r="V31" s="1560" t="s">
        <v>8</v>
      </c>
      <c r="W31" s="1561">
        <f t="shared" si="14"/>
        <v>100</v>
      </c>
      <c r="X31" s="1554"/>
      <c r="Y31" s="338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2"/>
      <c r="Q32" s="1559">
        <f t="shared" si="11"/>
        <v>111</v>
      </c>
      <c r="R32" s="1560" t="s">
        <v>8</v>
      </c>
      <c r="S32" s="1561">
        <f t="shared" si="12"/>
        <v>100</v>
      </c>
      <c r="T32" s="1560" t="s">
        <v>8</v>
      </c>
      <c r="U32" s="1561">
        <f t="shared" si="13"/>
        <v>100</v>
      </c>
      <c r="V32" s="1560" t="s">
        <v>8</v>
      </c>
      <c r="W32" s="1561">
        <f t="shared" si="14"/>
        <v>100</v>
      </c>
      <c r="X32" s="1554"/>
      <c r="Y32" s="3382"/>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3" t="s">
        <v>550</v>
      </c>
      <c r="Q33" s="1559" t="str">
        <f t="shared" si="11"/>
        <v>建筑类型</v>
      </c>
      <c r="R33" s="1560" t="s">
        <v>8</v>
      </c>
      <c r="S33" s="1561">
        <f t="shared" si="12"/>
        <v>100</v>
      </c>
      <c r="T33" s="1560" t="s">
        <v>8</v>
      </c>
      <c r="U33" s="1561">
        <f t="shared" si="13"/>
        <v>100</v>
      </c>
      <c r="V33" s="1560" t="s">
        <v>8</v>
      </c>
      <c r="W33" s="1561">
        <f t="shared" si="14"/>
        <v>100</v>
      </c>
      <c r="X33" s="1554"/>
      <c r="Y33" s="338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4"/>
      <c r="Q34" s="1591" t="str">
        <f t="shared" si="11"/>
        <v>项目建筑规模</v>
      </c>
      <c r="R34" s="1564" t="s">
        <v>8</v>
      </c>
      <c r="S34" s="1565" t="e">
        <f t="shared" si="12"/>
        <v>#N/A</v>
      </c>
      <c r="T34" s="1564" t="s">
        <v>8</v>
      </c>
      <c r="U34" s="1565" t="e">
        <f t="shared" si="13"/>
        <v>#N/A</v>
      </c>
      <c r="V34" s="1564" t="s">
        <v>8</v>
      </c>
      <c r="W34" s="1565" t="e">
        <f t="shared" si="14"/>
        <v>#N/A</v>
      </c>
      <c r="X34" s="1566"/>
      <c r="Y34" s="338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4"/>
      <c r="Q35" s="1559" t="str">
        <f t="shared" si="11"/>
        <v>建筑结构</v>
      </c>
      <c r="R35" s="1560" t="s">
        <v>8</v>
      </c>
      <c r="S35" s="1561">
        <f t="shared" si="12"/>
        <v>100</v>
      </c>
      <c r="T35" s="1560" t="s">
        <v>8</v>
      </c>
      <c r="U35" s="1561">
        <f t="shared" si="13"/>
        <v>100</v>
      </c>
      <c r="V35" s="1560" t="s">
        <v>8</v>
      </c>
      <c r="W35" s="1561">
        <f t="shared" si="14"/>
        <v>100</v>
      </c>
      <c r="X35" s="1554"/>
      <c r="Y35" s="338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4"/>
      <c r="Q36" s="1559" t="str">
        <f t="shared" si="11"/>
        <v>公共部分装修</v>
      </c>
      <c r="R36" s="1560" t="s">
        <v>8</v>
      </c>
      <c r="S36" s="1561">
        <f t="shared" si="12"/>
        <v>100</v>
      </c>
      <c r="T36" s="1560" t="s">
        <v>8</v>
      </c>
      <c r="U36" s="1561">
        <f t="shared" si="13"/>
        <v>100</v>
      </c>
      <c r="V36" s="1560" t="s">
        <v>8</v>
      </c>
      <c r="W36" s="1561">
        <f t="shared" si="14"/>
        <v>100</v>
      </c>
      <c r="X36" s="1554"/>
      <c r="Y36" s="338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4"/>
      <c r="Q37" s="1559" t="str">
        <f t="shared" si="11"/>
        <v>成新度</v>
      </c>
      <c r="R37" s="1560" t="s">
        <v>8</v>
      </c>
      <c r="S37" s="1561" t="e">
        <f t="shared" si="12"/>
        <v>#N/A</v>
      </c>
      <c r="T37" s="1560" t="s">
        <v>8</v>
      </c>
      <c r="U37" s="1561" t="e">
        <f t="shared" si="13"/>
        <v>#N/A</v>
      </c>
      <c r="V37" s="1560" t="s">
        <v>8</v>
      </c>
      <c r="W37" s="1561" t="e">
        <f t="shared" si="14"/>
        <v>#N/A</v>
      </c>
      <c r="X37" s="1554"/>
      <c r="Y37" s="338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4"/>
      <c r="Q38" s="1147" t="str">
        <f t="shared" si="11"/>
        <v>写字楼等级</v>
      </c>
      <c r="R38" s="1555" t="s">
        <v>8</v>
      </c>
      <c r="S38" s="1556">
        <f t="shared" si="12"/>
        <v>100</v>
      </c>
      <c r="T38" s="1555" t="s">
        <v>8</v>
      </c>
      <c r="U38" s="1556">
        <f t="shared" si="13"/>
        <v>100</v>
      </c>
      <c r="V38" s="1555" t="s">
        <v>8</v>
      </c>
      <c r="W38" s="1556">
        <f t="shared" si="14"/>
        <v>100</v>
      </c>
      <c r="X38" s="1557"/>
      <c r="Y38" s="338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4" t="s">
        <v>550</v>
      </c>
      <c r="Q39" s="1559" t="str">
        <f t="shared" si="11"/>
        <v>物业管理</v>
      </c>
      <c r="R39" s="1560" t="s">
        <v>8</v>
      </c>
      <c r="S39" s="1561">
        <f t="shared" si="12"/>
        <v>100</v>
      </c>
      <c r="T39" s="1560" t="s">
        <v>8</v>
      </c>
      <c r="U39" s="1561">
        <f t="shared" si="13"/>
        <v>100</v>
      </c>
      <c r="V39" s="1560" t="s">
        <v>8</v>
      </c>
      <c r="W39" s="1561">
        <f t="shared" si="14"/>
        <v>100</v>
      </c>
      <c r="X39" s="1554"/>
      <c r="Y39" s="3384"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4"/>
      <c r="Q40" s="1559" t="str">
        <f t="shared" si="11"/>
        <v>市政基础设施</v>
      </c>
      <c r="R40" s="1560" t="s">
        <v>8</v>
      </c>
      <c r="S40" s="1561">
        <f t="shared" si="12"/>
        <v>100</v>
      </c>
      <c r="T40" s="1560" t="s">
        <v>8</v>
      </c>
      <c r="U40" s="1561">
        <f t="shared" si="13"/>
        <v>100</v>
      </c>
      <c r="V40" s="1560" t="s">
        <v>8</v>
      </c>
      <c r="W40" s="1561">
        <f t="shared" si="14"/>
        <v>100</v>
      </c>
      <c r="X40" s="1554"/>
      <c r="Y40" s="338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4"/>
      <c r="Q41" s="1559" t="str">
        <f t="shared" si="11"/>
        <v>层高</v>
      </c>
      <c r="R41" s="1560" t="s">
        <v>8</v>
      </c>
      <c r="S41" s="1561">
        <f t="shared" si="12"/>
        <v>100</v>
      </c>
      <c r="T41" s="1560" t="s">
        <v>8</v>
      </c>
      <c r="U41" s="1561">
        <f t="shared" si="13"/>
        <v>100</v>
      </c>
      <c r="V41" s="1560" t="s">
        <v>8</v>
      </c>
      <c r="W41" s="1561">
        <f t="shared" si="14"/>
        <v>100</v>
      </c>
      <c r="X41" s="1554"/>
      <c r="Y41" s="338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4"/>
      <c r="Q42" s="1591" t="str">
        <f t="shared" si="11"/>
        <v>单套建筑面积</v>
      </c>
      <c r="R42" s="1564" t="s">
        <v>8</v>
      </c>
      <c r="S42" s="1565">
        <f t="shared" si="12"/>
        <v>100</v>
      </c>
      <c r="T42" s="1564" t="s">
        <v>8</v>
      </c>
      <c r="U42" s="1565">
        <f t="shared" si="13"/>
        <v>100</v>
      </c>
      <c r="V42" s="1564" t="s">
        <v>8</v>
      </c>
      <c r="W42" s="1565">
        <f t="shared" si="14"/>
        <v>100</v>
      </c>
      <c r="X42" s="1566"/>
      <c r="Y42" s="338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4"/>
      <c r="Q43" s="1559" t="str">
        <f t="shared" si="11"/>
        <v>内部装修</v>
      </c>
      <c r="R43" s="1560" t="s">
        <v>8</v>
      </c>
      <c r="S43" s="1561">
        <f t="shared" si="12"/>
        <v>100</v>
      </c>
      <c r="T43" s="1560" t="s">
        <v>8</v>
      </c>
      <c r="U43" s="1561">
        <f t="shared" si="13"/>
        <v>100</v>
      </c>
      <c r="V43" s="1560" t="s">
        <v>8</v>
      </c>
      <c r="W43" s="1561">
        <f t="shared" si="14"/>
        <v>100</v>
      </c>
      <c r="X43" s="1554"/>
      <c r="Y43" s="338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4"/>
      <c r="Q44" s="1559" t="str">
        <f t="shared" si="11"/>
        <v>内部装修维护情况</v>
      </c>
      <c r="R44" s="1560" t="s">
        <v>8</v>
      </c>
      <c r="S44" s="1561">
        <f t="shared" si="12"/>
        <v>100</v>
      </c>
      <c r="T44" s="1560" t="s">
        <v>8</v>
      </c>
      <c r="U44" s="1561">
        <f t="shared" si="13"/>
        <v>100</v>
      </c>
      <c r="V44" s="1560" t="s">
        <v>8</v>
      </c>
      <c r="W44" s="1561">
        <f t="shared" si="14"/>
        <v>100</v>
      </c>
      <c r="X44" s="1554"/>
      <c r="Y44" s="338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4"/>
      <c r="Q45" s="1147">
        <f t="shared" si="11"/>
        <v>111</v>
      </c>
      <c r="R45" s="1555" t="s">
        <v>8</v>
      </c>
      <c r="S45" s="1556">
        <f t="shared" si="12"/>
        <v>100</v>
      </c>
      <c r="T45" s="1555" t="s">
        <v>8</v>
      </c>
      <c r="U45" s="1556">
        <f t="shared" si="13"/>
        <v>100</v>
      </c>
      <c r="V45" s="1555" t="s">
        <v>8</v>
      </c>
      <c r="W45" s="1556">
        <f t="shared" si="14"/>
        <v>100</v>
      </c>
      <c r="X45" s="1557"/>
      <c r="Y45" s="338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4"/>
      <c r="Q46" s="1559">
        <f t="shared" si="11"/>
        <v>111</v>
      </c>
      <c r="R46" s="1560" t="s">
        <v>8</v>
      </c>
      <c r="S46" s="1561">
        <f t="shared" si="12"/>
        <v>100</v>
      </c>
      <c r="T46" s="1560" t="s">
        <v>8</v>
      </c>
      <c r="U46" s="1561">
        <f t="shared" si="13"/>
        <v>100</v>
      </c>
      <c r="V46" s="1560" t="s">
        <v>8</v>
      </c>
      <c r="W46" s="1561">
        <f t="shared" si="14"/>
        <v>100</v>
      </c>
      <c r="X46" s="1554"/>
      <c r="Y46" s="338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4"/>
      <c r="Q47" s="1559">
        <f t="shared" si="11"/>
        <v>111</v>
      </c>
      <c r="R47" s="1560" t="s">
        <v>8</v>
      </c>
      <c r="S47" s="1561">
        <f t="shared" si="12"/>
        <v>100</v>
      </c>
      <c r="T47" s="1560" t="s">
        <v>8</v>
      </c>
      <c r="U47" s="1561">
        <f t="shared" si="13"/>
        <v>100</v>
      </c>
      <c r="V47" s="1560" t="s">
        <v>8</v>
      </c>
      <c r="W47" s="1561">
        <f t="shared" si="14"/>
        <v>100</v>
      </c>
      <c r="X47" s="1554"/>
      <c r="Y47" s="348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1" t="str">
        <f>A48</f>
        <v>成交单价（元/平方米）</v>
      </c>
      <c r="Q48" s="3379"/>
      <c r="R48" s="3483">
        <f>E48</f>
        <v>0</v>
      </c>
      <c r="S48" s="3483"/>
      <c r="T48" s="3483">
        <f>G48</f>
        <v>0</v>
      </c>
      <c r="U48" s="3483"/>
      <c r="V48" s="3483">
        <f>I48</f>
        <v>0</v>
      </c>
      <c r="W48" s="3483"/>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01" t="str">
        <f>A49</f>
        <v>比较价格（元/平方米）</v>
      </c>
      <c r="Q49" s="337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88" t="str">
        <f>A50</f>
        <v>估价对象XX用房的比较价格（楼面单价，元/平方米）</v>
      </c>
      <c r="Q50" s="3401"/>
      <c r="R50" s="3482" t="e">
        <f>IF(F1="售价",ROUND(AVERAGE(R49:V49),0),ROUND(AVERAGE(R49:V49),1))</f>
        <v>#DIV/0!</v>
      </c>
      <c r="S50" s="3482"/>
      <c r="T50" s="3482"/>
      <c r="U50" s="3482"/>
      <c r="V50" s="3482"/>
      <c r="W50" s="348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5" t="s">
        <v>522</v>
      </c>
      <c r="D4" s="3386"/>
      <c r="E4" s="3409" t="s">
        <v>523</v>
      </c>
      <c r="F4" s="3410"/>
      <c r="G4" s="3385" t="s">
        <v>524</v>
      </c>
      <c r="H4" s="3386"/>
      <c r="I4" s="3385" t="s">
        <v>525</v>
      </c>
      <c r="J4" s="3386"/>
      <c r="K4" s="514"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69" t="s">
        <v>524</v>
      </c>
      <c r="AC4" s="3368" t="s">
        <v>525</v>
      </c>
    </row>
    <row r="5" spans="1:29" ht="15">
      <c r="A5" s="515"/>
      <c r="B5" s="516"/>
      <c r="C5" s="3396" t="s">
        <v>2927</v>
      </c>
      <c r="D5" s="3397"/>
      <c r="E5" s="3411" t="s">
        <v>2928</v>
      </c>
      <c r="F5" s="3412"/>
      <c r="G5" s="3396" t="s">
        <v>2929</v>
      </c>
      <c r="H5" s="3397"/>
      <c r="I5" s="3396" t="s">
        <v>2930</v>
      </c>
      <c r="J5" s="3397"/>
      <c r="K5" s="514"/>
      <c r="L5" s="2119"/>
      <c r="M5" s="2120"/>
      <c r="N5" s="2120"/>
      <c r="O5" s="2120"/>
      <c r="P5" s="3389"/>
      <c r="Q5" s="3390"/>
      <c r="R5" s="3375"/>
      <c r="S5" s="3376"/>
      <c r="T5" s="3375"/>
      <c r="U5" s="3376"/>
      <c r="V5" s="3393"/>
      <c r="W5" s="3393"/>
      <c r="X5" s="1554"/>
      <c r="Y5" s="3375"/>
      <c r="Z5" s="3376"/>
      <c r="AA5" s="3369"/>
      <c r="AB5" s="3369"/>
      <c r="AC5" s="3369"/>
    </row>
    <row r="6" spans="1:29" ht="15.75" thickBot="1">
      <c r="A6" s="517"/>
      <c r="B6" s="518"/>
      <c r="C6" s="3394" t="s">
        <v>2931</v>
      </c>
      <c r="D6" s="3395"/>
      <c r="E6" s="3413" t="s">
        <v>2931</v>
      </c>
      <c r="F6" s="3414"/>
      <c r="G6" s="3394" t="s">
        <v>2931</v>
      </c>
      <c r="H6" s="3395"/>
      <c r="I6" s="3394" t="s">
        <v>2931</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5.75" thickBot="1">
      <c r="A7" s="2868"/>
      <c r="B7" s="2875" t="s">
        <v>529</v>
      </c>
      <c r="C7" s="519">
        <f>'数据-取费表'!B2</f>
        <v>43700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1"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1" t="s">
        <v>540</v>
      </c>
      <c r="Q15" s="1559" t="str">
        <f t="shared" si="6"/>
        <v>产业集聚程度</v>
      </c>
      <c r="R15" s="1560" t="s">
        <v>8</v>
      </c>
      <c r="S15" s="1561">
        <f t="shared" si="0"/>
        <v>100</v>
      </c>
      <c r="T15" s="1560" t="s">
        <v>8</v>
      </c>
      <c r="U15" s="1561">
        <f t="shared" si="1"/>
        <v>100</v>
      </c>
      <c r="V15" s="1560" t="s">
        <v>8</v>
      </c>
      <c r="W15" s="1561">
        <f t="shared" si="2"/>
        <v>100</v>
      </c>
      <c r="X15" s="1554"/>
      <c r="Y15" s="338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2"/>
      <c r="Q16" s="1559"/>
      <c r="R16" s="1560"/>
      <c r="S16" s="1561"/>
      <c r="T16" s="1560"/>
      <c r="U16" s="1561"/>
      <c r="V16" s="1560"/>
      <c r="W16" s="1561"/>
      <c r="X16" s="1554"/>
      <c r="Y16" s="338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2"/>
      <c r="Q18" s="1559"/>
      <c r="R18" s="1560"/>
      <c r="S18" s="1561"/>
      <c r="T18" s="1560"/>
      <c r="U18" s="1561"/>
      <c r="V18" s="1560"/>
      <c r="W18" s="1561"/>
      <c r="X18" s="1554"/>
      <c r="Y18" s="3382"/>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2"/>
      <c r="Q20" s="1559"/>
      <c r="R20" s="1560"/>
      <c r="S20" s="1561"/>
      <c r="T20" s="1560"/>
      <c r="U20" s="1561"/>
      <c r="V20" s="1560"/>
      <c r="W20" s="1561"/>
      <c r="X20" s="1554"/>
      <c r="Y20" s="3382"/>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2"/>
      <c r="Q22" s="2544"/>
      <c r="R22" s="1560"/>
      <c r="S22" s="1561"/>
      <c r="T22" s="1560"/>
      <c r="U22" s="1561"/>
      <c r="V22" s="1560"/>
      <c r="W22" s="1561"/>
      <c r="X22" s="2546"/>
      <c r="Y22" s="338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2"/>
      <c r="Q23" s="1559" t="str">
        <f>B23</f>
        <v>环境质量</v>
      </c>
      <c r="R23" s="1560" t="s">
        <v>8</v>
      </c>
      <c r="S23" s="1561">
        <f>F23</f>
        <v>100</v>
      </c>
      <c r="T23" s="1560" t="s">
        <v>8</v>
      </c>
      <c r="U23" s="1561">
        <f>H23</f>
        <v>100</v>
      </c>
      <c r="V23" s="1560" t="s">
        <v>8</v>
      </c>
      <c r="W23" s="1561">
        <f>J23</f>
        <v>100</v>
      </c>
      <c r="X23" s="1554"/>
      <c r="Y23" s="338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2"/>
      <c r="Q25" s="1559">
        <f>B25</f>
        <v>111</v>
      </c>
      <c r="R25" s="1560" t="s">
        <v>8</v>
      </c>
      <c r="S25" s="1561">
        <f>F25</f>
        <v>100</v>
      </c>
      <c r="T25" s="1560" t="s">
        <v>8</v>
      </c>
      <c r="U25" s="1561">
        <f>H25</f>
        <v>100</v>
      </c>
      <c r="V25" s="1560" t="s">
        <v>8</v>
      </c>
      <c r="W25" s="1561">
        <f>J25</f>
        <v>100</v>
      </c>
      <c r="X25" s="1554"/>
      <c r="Y25" s="338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2"/>
      <c r="Q26" s="1559">
        <f t="shared" ref="Q26:Q40" si="11">B26</f>
        <v>111</v>
      </c>
      <c r="R26" s="1560" t="s">
        <v>8</v>
      </c>
      <c r="S26" s="1561">
        <f>F26</f>
        <v>100</v>
      </c>
      <c r="T26" s="1560" t="s">
        <v>8</v>
      </c>
      <c r="U26" s="1561">
        <f>H26</f>
        <v>100</v>
      </c>
      <c r="V26" s="1560" t="s">
        <v>8</v>
      </c>
      <c r="W26" s="1561">
        <f>J26</f>
        <v>100</v>
      </c>
      <c r="X26" s="1554"/>
      <c r="Y26" s="338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2"/>
      <c r="Q27" s="1147">
        <f t="shared" si="11"/>
        <v>111</v>
      </c>
      <c r="R27" s="1555" t="s">
        <v>8</v>
      </c>
      <c r="S27" s="1556">
        <f>F27</f>
        <v>100</v>
      </c>
      <c r="T27" s="1555" t="s">
        <v>8</v>
      </c>
      <c r="U27" s="1556">
        <f>H27</f>
        <v>100</v>
      </c>
      <c r="V27" s="1555" t="s">
        <v>8</v>
      </c>
      <c r="W27" s="1556">
        <f>J27</f>
        <v>100</v>
      </c>
      <c r="X27" s="1557"/>
      <c r="Y27" s="338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2"/>
      <c r="Q28" s="1559">
        <f t="shared" si="11"/>
        <v>111</v>
      </c>
      <c r="R28" s="1560" t="s">
        <v>8</v>
      </c>
      <c r="S28" s="1561">
        <f t="shared" ref="S28:S40" si="12">F28</f>
        <v>100</v>
      </c>
      <c r="T28" s="1560" t="s">
        <v>8</v>
      </c>
      <c r="U28" s="1561">
        <f t="shared" ref="U28:U40" si="13">H28</f>
        <v>100</v>
      </c>
      <c r="V28" s="1560" t="s">
        <v>8</v>
      </c>
      <c r="W28" s="1561">
        <f t="shared" ref="W28:W40" si="14">J28</f>
        <v>100</v>
      </c>
      <c r="X28" s="1554"/>
      <c r="Y28" s="3382"/>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3" t="s">
        <v>550</v>
      </c>
      <c r="Q29" s="1559" t="str">
        <f t="shared" si="11"/>
        <v>建筑类型</v>
      </c>
      <c r="R29" s="1560" t="s">
        <v>8</v>
      </c>
      <c r="S29" s="1561">
        <f t="shared" si="12"/>
        <v>100</v>
      </c>
      <c r="T29" s="1560" t="s">
        <v>8</v>
      </c>
      <c r="U29" s="1561">
        <f t="shared" si="13"/>
        <v>100</v>
      </c>
      <c r="V29" s="1560" t="s">
        <v>8</v>
      </c>
      <c r="W29" s="1561">
        <f t="shared" si="14"/>
        <v>100</v>
      </c>
      <c r="X29" s="1554"/>
      <c r="Y29" s="338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4"/>
      <c r="Q30" s="1591" t="str">
        <f t="shared" si="11"/>
        <v>项目建筑规模</v>
      </c>
      <c r="R30" s="1564" t="s">
        <v>8</v>
      </c>
      <c r="S30" s="1565" t="e">
        <f t="shared" si="12"/>
        <v>#N/A</v>
      </c>
      <c r="T30" s="1564" t="s">
        <v>8</v>
      </c>
      <c r="U30" s="1565" t="e">
        <f t="shared" si="13"/>
        <v>#N/A</v>
      </c>
      <c r="V30" s="1564" t="s">
        <v>8</v>
      </c>
      <c r="W30" s="1565" t="e">
        <f t="shared" si="14"/>
        <v>#N/A</v>
      </c>
      <c r="X30" s="1566"/>
      <c r="Y30" s="338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4"/>
      <c r="Q31" s="1559" t="str">
        <f t="shared" si="11"/>
        <v>建筑结构</v>
      </c>
      <c r="R31" s="1560" t="s">
        <v>8</v>
      </c>
      <c r="S31" s="1561">
        <f t="shared" si="12"/>
        <v>100</v>
      </c>
      <c r="T31" s="1560" t="s">
        <v>8</v>
      </c>
      <c r="U31" s="1561">
        <f t="shared" si="13"/>
        <v>100</v>
      </c>
      <c r="V31" s="1560" t="s">
        <v>8</v>
      </c>
      <c r="W31" s="1561">
        <f t="shared" si="14"/>
        <v>100</v>
      </c>
      <c r="X31" s="1554"/>
      <c r="Y31" s="338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4"/>
      <c r="Q32" s="1559" t="str">
        <f t="shared" si="11"/>
        <v>公共部分装修</v>
      </c>
      <c r="R32" s="1560" t="s">
        <v>8</v>
      </c>
      <c r="S32" s="1561">
        <f t="shared" si="12"/>
        <v>100</v>
      </c>
      <c r="T32" s="1560" t="s">
        <v>8</v>
      </c>
      <c r="U32" s="1561">
        <f t="shared" si="13"/>
        <v>100</v>
      </c>
      <c r="V32" s="1560" t="s">
        <v>8</v>
      </c>
      <c r="W32" s="1561">
        <f t="shared" si="14"/>
        <v>100</v>
      </c>
      <c r="X32" s="1554"/>
      <c r="Y32" s="338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4"/>
      <c r="Q33" s="1559" t="str">
        <f t="shared" si="11"/>
        <v>成新度</v>
      </c>
      <c r="R33" s="1560" t="s">
        <v>8</v>
      </c>
      <c r="S33" s="1561" t="e">
        <f t="shared" si="12"/>
        <v>#N/A</v>
      </c>
      <c r="T33" s="1560" t="s">
        <v>8</v>
      </c>
      <c r="U33" s="1561" t="e">
        <f t="shared" si="13"/>
        <v>#N/A</v>
      </c>
      <c r="V33" s="1560" t="s">
        <v>8</v>
      </c>
      <c r="W33" s="1561" t="e">
        <f t="shared" si="14"/>
        <v>#N/A</v>
      </c>
      <c r="X33" s="1554"/>
      <c r="Y33" s="338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4"/>
      <c r="Q34" s="1147" t="str">
        <f t="shared" si="11"/>
        <v>物业管理</v>
      </c>
      <c r="R34" s="1555" t="s">
        <v>8</v>
      </c>
      <c r="S34" s="1556">
        <f t="shared" si="12"/>
        <v>100</v>
      </c>
      <c r="T34" s="1555" t="s">
        <v>8</v>
      </c>
      <c r="U34" s="1556">
        <f t="shared" si="13"/>
        <v>100</v>
      </c>
      <c r="V34" s="1555" t="s">
        <v>8</v>
      </c>
      <c r="W34" s="1556">
        <f t="shared" si="14"/>
        <v>100</v>
      </c>
      <c r="X34" s="1557"/>
      <c r="Y34" s="3384"/>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4" t="s">
        <v>550</v>
      </c>
      <c r="Q35" s="1559" t="str">
        <f t="shared" si="11"/>
        <v>市政基础设施</v>
      </c>
      <c r="R35" s="1560" t="s">
        <v>8</v>
      </c>
      <c r="S35" s="1561">
        <f t="shared" si="12"/>
        <v>100</v>
      </c>
      <c r="T35" s="1560" t="s">
        <v>8</v>
      </c>
      <c r="U35" s="1561">
        <f t="shared" si="13"/>
        <v>100</v>
      </c>
      <c r="V35" s="1560" t="s">
        <v>8</v>
      </c>
      <c r="W35" s="1561">
        <f t="shared" si="14"/>
        <v>100</v>
      </c>
      <c r="X35" s="1554"/>
      <c r="Y35" s="338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4"/>
      <c r="Q36" s="1559" t="str">
        <f t="shared" si="11"/>
        <v>内部装修</v>
      </c>
      <c r="R36" s="1560" t="s">
        <v>8</v>
      </c>
      <c r="S36" s="1561">
        <f t="shared" si="12"/>
        <v>100</v>
      </c>
      <c r="T36" s="1560" t="s">
        <v>8</v>
      </c>
      <c r="U36" s="1561">
        <f t="shared" si="13"/>
        <v>100</v>
      </c>
      <c r="V36" s="1560" t="s">
        <v>8</v>
      </c>
      <c r="W36" s="1561">
        <f t="shared" si="14"/>
        <v>100</v>
      </c>
      <c r="X36" s="1554"/>
      <c r="Y36" s="338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4"/>
      <c r="Q37" s="1559" t="str">
        <f t="shared" si="11"/>
        <v>内部装修状况</v>
      </c>
      <c r="R37" s="1560" t="s">
        <v>8</v>
      </c>
      <c r="S37" s="1561">
        <f t="shared" si="12"/>
        <v>100</v>
      </c>
      <c r="T37" s="1560" t="s">
        <v>8</v>
      </c>
      <c r="U37" s="1561">
        <f t="shared" si="13"/>
        <v>100</v>
      </c>
      <c r="V37" s="1560" t="s">
        <v>8</v>
      </c>
      <c r="W37" s="1561">
        <f t="shared" si="14"/>
        <v>100</v>
      </c>
      <c r="X37" s="1554"/>
      <c r="Y37" s="338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4"/>
      <c r="Q38" s="1591">
        <f t="shared" si="11"/>
        <v>111</v>
      </c>
      <c r="R38" s="1564" t="s">
        <v>8</v>
      </c>
      <c r="S38" s="1565">
        <f t="shared" si="12"/>
        <v>100</v>
      </c>
      <c r="T38" s="1564" t="s">
        <v>8</v>
      </c>
      <c r="U38" s="1565">
        <f t="shared" si="13"/>
        <v>100</v>
      </c>
      <c r="V38" s="1564" t="s">
        <v>8</v>
      </c>
      <c r="W38" s="1565">
        <f t="shared" si="14"/>
        <v>100</v>
      </c>
      <c r="X38" s="1566"/>
      <c r="Y38" s="338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4"/>
      <c r="Q39" s="1559">
        <f t="shared" si="11"/>
        <v>111</v>
      </c>
      <c r="R39" s="1560" t="s">
        <v>8</v>
      </c>
      <c r="S39" s="1561">
        <f t="shared" si="12"/>
        <v>100</v>
      </c>
      <c r="T39" s="1560" t="s">
        <v>8</v>
      </c>
      <c r="U39" s="1561">
        <f t="shared" si="13"/>
        <v>100</v>
      </c>
      <c r="V39" s="1560" t="s">
        <v>8</v>
      </c>
      <c r="W39" s="1561">
        <f t="shared" si="14"/>
        <v>100</v>
      </c>
      <c r="X39" s="1554"/>
      <c r="Y39" s="338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4"/>
      <c r="Q40" s="1559">
        <f t="shared" si="11"/>
        <v>111</v>
      </c>
      <c r="R40" s="1560" t="s">
        <v>8</v>
      </c>
      <c r="S40" s="1561">
        <f t="shared" si="12"/>
        <v>100</v>
      </c>
      <c r="T40" s="1560" t="s">
        <v>8</v>
      </c>
      <c r="U40" s="1561">
        <f t="shared" si="13"/>
        <v>100</v>
      </c>
      <c r="V40" s="1560" t="s">
        <v>8</v>
      </c>
      <c r="W40" s="1561">
        <f t="shared" si="14"/>
        <v>100</v>
      </c>
      <c r="X40" s="1554"/>
      <c r="Y40" s="348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9" t="str">
        <f>A41</f>
        <v>成交单价（元/平方米）</v>
      </c>
      <c r="Q41" s="3379"/>
      <c r="R41" s="3483">
        <f>E41</f>
        <v>0</v>
      </c>
      <c r="S41" s="3483"/>
      <c r="T41" s="3483">
        <f>G41</f>
        <v>0</v>
      </c>
      <c r="U41" s="3483"/>
      <c r="V41" s="3483">
        <f>I41</f>
        <v>0</v>
      </c>
      <c r="W41" s="3483"/>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9" t="str">
        <f>A42</f>
        <v>比较价格（元/平方米）</v>
      </c>
      <c r="Q42" s="337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400" t="str">
        <f>A43</f>
        <v>估价对象XX用房的比较价格（楼面单价，元/平方米）</v>
      </c>
      <c r="Q43" s="3401"/>
      <c r="R43" s="3482" t="e">
        <f>IF(F1="售价",ROUND(AVERAGE(R42:V42),0),ROUND(AVERAGE(R42:V42),1))</f>
        <v>#DIV/0!</v>
      </c>
      <c r="S43" s="3482"/>
      <c r="T43" s="3482"/>
      <c r="U43" s="3482"/>
      <c r="V43" s="3482"/>
      <c r="W43" s="348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385" t="s">
        <v>799</v>
      </c>
      <c r="F4" s="3386"/>
      <c r="G4" s="3385" t="s">
        <v>800</v>
      </c>
      <c r="H4" s="3386"/>
      <c r="I4" s="3385" t="s">
        <v>801</v>
      </c>
      <c r="J4" s="3386"/>
      <c r="K4" s="514" t="s">
        <v>802</v>
      </c>
      <c r="L4" s="2119"/>
      <c r="M4" s="2120"/>
      <c r="N4" s="2120"/>
      <c r="O4" s="2120"/>
      <c r="P4" s="3387" t="s">
        <v>803</v>
      </c>
      <c r="Q4" s="3388"/>
      <c r="R4" s="3373" t="s">
        <v>799</v>
      </c>
      <c r="S4" s="3374"/>
      <c r="T4" s="3373" t="s">
        <v>800</v>
      </c>
      <c r="U4" s="3374"/>
      <c r="V4" s="3393" t="s">
        <v>801</v>
      </c>
      <c r="W4" s="3393"/>
      <c r="X4" s="1554"/>
      <c r="Y4" s="3373" t="s">
        <v>803</v>
      </c>
      <c r="Z4" s="3374"/>
      <c r="AA4" s="3368" t="s">
        <v>799</v>
      </c>
      <c r="AB4" s="3369" t="s">
        <v>800</v>
      </c>
      <c r="AC4" s="3368" t="s">
        <v>801</v>
      </c>
    </row>
    <row r="5" spans="1:29" ht="15">
      <c r="A5" s="515"/>
      <c r="B5" s="516"/>
      <c r="C5" s="3396" t="s">
        <v>2927</v>
      </c>
      <c r="D5" s="3397"/>
      <c r="E5" s="3396" t="s">
        <v>2928</v>
      </c>
      <c r="F5" s="3397"/>
      <c r="G5" s="3396" t="s">
        <v>2929</v>
      </c>
      <c r="H5" s="3397"/>
      <c r="I5" s="3396" t="s">
        <v>2930</v>
      </c>
      <c r="J5" s="3397"/>
      <c r="K5" s="514"/>
      <c r="L5" s="2119"/>
      <c r="M5" s="2120"/>
      <c r="N5" s="2120"/>
      <c r="O5" s="2120"/>
      <c r="P5" s="3389"/>
      <c r="Q5" s="3390"/>
      <c r="R5" s="3375"/>
      <c r="S5" s="3376"/>
      <c r="T5" s="3375"/>
      <c r="U5" s="3376"/>
      <c r="V5" s="3393"/>
      <c r="W5" s="3393"/>
      <c r="X5" s="1554"/>
      <c r="Y5" s="3375"/>
      <c r="Z5" s="3376"/>
      <c r="AA5" s="3369"/>
      <c r="AB5" s="3369"/>
      <c r="AC5" s="3369"/>
    </row>
    <row r="6" spans="1:29" ht="15.75" thickBot="1">
      <c r="A6" s="517"/>
      <c r="B6" s="518"/>
      <c r="C6" s="3394" t="s">
        <v>2931</v>
      </c>
      <c r="D6" s="3395"/>
      <c r="E6" s="3398" t="s">
        <v>2931</v>
      </c>
      <c r="F6" s="3399"/>
      <c r="G6" s="3394" t="s">
        <v>2931</v>
      </c>
      <c r="H6" s="3395"/>
      <c r="I6" s="3394" t="s">
        <v>2931</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5.75" thickBot="1">
      <c r="A7" s="2868"/>
      <c r="B7" s="2875" t="s">
        <v>529</v>
      </c>
      <c r="C7" s="519">
        <f>'数据-取费表'!B2</f>
        <v>43700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1" t="s">
        <v>530</v>
      </c>
      <c r="Q7" s="3380"/>
      <c r="R7" s="1555" t="s">
        <v>8</v>
      </c>
      <c r="S7" s="1556">
        <f t="shared" ref="S7:S14" si="0">F7</f>
        <v>0</v>
      </c>
      <c r="T7" s="1555" t="s">
        <v>8</v>
      </c>
      <c r="U7" s="1556">
        <f t="shared" ref="U7:U14" si="1">H7</f>
        <v>0</v>
      </c>
      <c r="V7" s="1555" t="s">
        <v>8</v>
      </c>
      <c r="W7" s="1556">
        <f t="shared" ref="W7:W14"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1" t="s">
        <v>540</v>
      </c>
      <c r="Q14" s="1559" t="str">
        <f t="shared" si="6"/>
        <v>交通便捷度</v>
      </c>
      <c r="R14" s="1560" t="s">
        <v>8</v>
      </c>
      <c r="S14" s="1561">
        <f t="shared" si="0"/>
        <v>100</v>
      </c>
      <c r="T14" s="1560" t="s">
        <v>8</v>
      </c>
      <c r="U14" s="1561">
        <f t="shared" si="1"/>
        <v>100</v>
      </c>
      <c r="V14" s="1560" t="s">
        <v>8</v>
      </c>
      <c r="W14" s="1561">
        <f t="shared" si="2"/>
        <v>100</v>
      </c>
      <c r="X14" s="1554"/>
      <c r="Y14" s="338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2"/>
      <c r="Q15" s="1559"/>
      <c r="R15" s="1560"/>
      <c r="S15" s="1561"/>
      <c r="T15" s="1560"/>
      <c r="U15" s="1561"/>
      <c r="V15" s="1560"/>
      <c r="W15" s="1561"/>
      <c r="X15" s="1554"/>
      <c r="Y15" s="3382"/>
      <c r="Z15" s="1562"/>
      <c r="AA15" s="1563">
        <v>1</v>
      </c>
      <c r="AB15" s="1563">
        <v>1</v>
      </c>
      <c r="AC15" s="1563">
        <v>1</v>
      </c>
    </row>
    <row r="16" spans="1:29" ht="15">
      <c r="A16" s="515"/>
      <c r="B16" s="2568"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2"/>
      <c r="Q16" s="1559" t="str">
        <f>B16</f>
        <v>公共配套设施</v>
      </c>
      <c r="R16" s="1560" t="s">
        <v>8</v>
      </c>
      <c r="S16" s="1561">
        <f>F16</f>
        <v>100</v>
      </c>
      <c r="T16" s="1560" t="s">
        <v>8</v>
      </c>
      <c r="U16" s="1561">
        <f>H16</f>
        <v>100</v>
      </c>
      <c r="V16" s="1560" t="s">
        <v>8</v>
      </c>
      <c r="W16" s="1561">
        <f>J16</f>
        <v>100</v>
      </c>
      <c r="X16" s="1554"/>
      <c r="Y16" s="338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2"/>
      <c r="Q17" s="1559"/>
      <c r="R17" s="1560"/>
      <c r="S17" s="1561"/>
      <c r="T17" s="1560"/>
      <c r="U17" s="1561"/>
      <c r="V17" s="1560"/>
      <c r="W17" s="1561"/>
      <c r="X17" s="1554"/>
      <c r="Y17" s="3382"/>
      <c r="Z17" s="1562"/>
      <c r="AA17" s="1563">
        <v>1</v>
      </c>
      <c r="AB17" s="1563">
        <v>1</v>
      </c>
      <c r="AC17" s="1563">
        <v>1</v>
      </c>
    </row>
    <row r="18" spans="1:29" ht="15">
      <c r="A18" s="515"/>
      <c r="B18" s="2556"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2"/>
      <c r="Q18" s="2544" t="str">
        <f>B18</f>
        <v>基础设施水平</v>
      </c>
      <c r="R18" s="1560" t="s">
        <v>8</v>
      </c>
      <c r="S18" s="1561">
        <f>F18</f>
        <v>100</v>
      </c>
      <c r="T18" s="1560" t="s">
        <v>8</v>
      </c>
      <c r="U18" s="1561">
        <f>H18</f>
        <v>100</v>
      </c>
      <c r="V18" s="1560" t="s">
        <v>8</v>
      </c>
      <c r="W18" s="1561">
        <f>J18</f>
        <v>100</v>
      </c>
      <c r="X18" s="2546"/>
      <c r="Y18" s="338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2"/>
      <c r="Q19" s="2544"/>
      <c r="R19" s="1560"/>
      <c r="S19" s="1561"/>
      <c r="T19" s="1560"/>
      <c r="U19" s="1561"/>
      <c r="V19" s="1560"/>
      <c r="W19" s="1561"/>
      <c r="X19" s="2546"/>
      <c r="Y19" s="3382"/>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2"/>
      <c r="Q20" s="1559" t="str">
        <f>B20</f>
        <v>自然及人文环境</v>
      </c>
      <c r="R20" s="1560" t="s">
        <v>8</v>
      </c>
      <c r="S20" s="1561">
        <f>F20</f>
        <v>100</v>
      </c>
      <c r="T20" s="1560" t="s">
        <v>8</v>
      </c>
      <c r="U20" s="1561">
        <f>H20</f>
        <v>100</v>
      </c>
      <c r="V20" s="1560" t="s">
        <v>8</v>
      </c>
      <c r="W20" s="1561">
        <f>J20</f>
        <v>100</v>
      </c>
      <c r="X20" s="1554"/>
      <c r="Y20" s="338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2"/>
      <c r="Q21" s="1559"/>
      <c r="R21" s="1560"/>
      <c r="S21" s="1561"/>
      <c r="T21" s="1560"/>
      <c r="U21" s="1561"/>
      <c r="V21" s="1560"/>
      <c r="W21" s="1561"/>
      <c r="X21" s="1554"/>
      <c r="Y21" s="338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2"/>
      <c r="Q22" s="1559" t="str">
        <f>B22</f>
        <v>楼层</v>
      </c>
      <c r="R22" s="1560" t="s">
        <v>8</v>
      </c>
      <c r="S22" s="1561">
        <f>F22</f>
        <v>100</v>
      </c>
      <c r="T22" s="1560" t="s">
        <v>8</v>
      </c>
      <c r="U22" s="1561">
        <f>H22</f>
        <v>100</v>
      </c>
      <c r="V22" s="1560" t="s">
        <v>8</v>
      </c>
      <c r="W22" s="1561">
        <f>J22</f>
        <v>100</v>
      </c>
      <c r="X22" s="1554"/>
      <c r="Y22" s="338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2"/>
      <c r="Q23" s="1559">
        <f>B23</f>
        <v>111</v>
      </c>
      <c r="R23" s="1560" t="s">
        <v>8</v>
      </c>
      <c r="S23" s="1561">
        <f>F23</f>
        <v>100</v>
      </c>
      <c r="T23" s="1560" t="s">
        <v>8</v>
      </c>
      <c r="U23" s="1561">
        <f>H23</f>
        <v>100</v>
      </c>
      <c r="V23" s="1560" t="s">
        <v>8</v>
      </c>
      <c r="W23" s="1561">
        <f>J23</f>
        <v>100</v>
      </c>
      <c r="X23" s="1554"/>
      <c r="Y23" s="338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2"/>
      <c r="Q24" s="1559">
        <f t="shared" ref="Q24:Q36" si="11">B24</f>
        <v>111</v>
      </c>
      <c r="R24" s="1560" t="s">
        <v>8</v>
      </c>
      <c r="S24" s="1561">
        <f>F24</f>
        <v>100</v>
      </c>
      <c r="T24" s="1560" t="s">
        <v>8</v>
      </c>
      <c r="U24" s="1561">
        <f>H24</f>
        <v>100</v>
      </c>
      <c r="V24" s="1560" t="s">
        <v>8</v>
      </c>
      <c r="W24" s="1561">
        <f>J24</f>
        <v>100</v>
      </c>
      <c r="X24" s="1554"/>
      <c r="Y24" s="338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2"/>
      <c r="Q25" s="1147">
        <f t="shared" si="11"/>
        <v>111</v>
      </c>
      <c r="R25" s="1555" t="s">
        <v>8</v>
      </c>
      <c r="S25" s="1556">
        <f>F25</f>
        <v>100</v>
      </c>
      <c r="T25" s="1555" t="s">
        <v>8</v>
      </c>
      <c r="U25" s="1556">
        <f>H25</f>
        <v>100</v>
      </c>
      <c r="V25" s="1555" t="s">
        <v>8</v>
      </c>
      <c r="W25" s="1556">
        <f>J25</f>
        <v>100</v>
      </c>
      <c r="X25" s="1557"/>
      <c r="Y25" s="3382"/>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4"/>
      <c r="Q27" s="1591" t="str">
        <f t="shared" si="11"/>
        <v>项目停车位配比</v>
      </c>
      <c r="R27" s="1564" t="s">
        <v>8</v>
      </c>
      <c r="S27" s="1565">
        <f t="shared" si="12"/>
        <v>100</v>
      </c>
      <c r="T27" s="1564" t="s">
        <v>8</v>
      </c>
      <c r="U27" s="1565">
        <f t="shared" si="13"/>
        <v>100</v>
      </c>
      <c r="V27" s="1564" t="s">
        <v>8</v>
      </c>
      <c r="W27" s="1565">
        <f t="shared" si="14"/>
        <v>100</v>
      </c>
      <c r="X27" s="1566"/>
      <c r="Y27" s="338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4"/>
      <c r="Q28" s="1559" t="str">
        <f t="shared" si="11"/>
        <v>公共部分装修</v>
      </c>
      <c r="R28" s="1560" t="s">
        <v>8</v>
      </c>
      <c r="S28" s="1561">
        <f t="shared" si="12"/>
        <v>100</v>
      </c>
      <c r="T28" s="1560" t="s">
        <v>8</v>
      </c>
      <c r="U28" s="1561">
        <f t="shared" si="13"/>
        <v>100</v>
      </c>
      <c r="V28" s="1560" t="s">
        <v>8</v>
      </c>
      <c r="W28" s="1561">
        <f t="shared" si="14"/>
        <v>100</v>
      </c>
      <c r="X28" s="1554"/>
      <c r="Y28" s="338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4"/>
      <c r="Q29" s="1559" t="str">
        <f t="shared" si="11"/>
        <v>成新率</v>
      </c>
      <c r="R29" s="1560" t="s">
        <v>8</v>
      </c>
      <c r="S29" s="1561" t="e">
        <f t="shared" si="12"/>
        <v>#N/A</v>
      </c>
      <c r="T29" s="1560" t="s">
        <v>8</v>
      </c>
      <c r="U29" s="1561" t="e">
        <f t="shared" si="13"/>
        <v>#N/A</v>
      </c>
      <c r="V29" s="1560" t="s">
        <v>8</v>
      </c>
      <c r="W29" s="1561" t="e">
        <f t="shared" si="14"/>
        <v>#N/A</v>
      </c>
      <c r="X29" s="1554"/>
      <c r="Y29" s="338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4"/>
      <c r="Q30" s="1559" t="str">
        <f t="shared" si="11"/>
        <v>物业等级</v>
      </c>
      <c r="R30" s="1560" t="s">
        <v>8</v>
      </c>
      <c r="S30" s="1561">
        <f t="shared" si="12"/>
        <v>100</v>
      </c>
      <c r="T30" s="1560" t="s">
        <v>8</v>
      </c>
      <c r="U30" s="1561">
        <f t="shared" si="13"/>
        <v>100</v>
      </c>
      <c r="V30" s="1560" t="s">
        <v>8</v>
      </c>
      <c r="W30" s="1561">
        <f t="shared" si="14"/>
        <v>100</v>
      </c>
      <c r="X30" s="1554"/>
      <c r="Y30" s="338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4"/>
      <c r="Q31" s="1147" t="str">
        <f t="shared" si="11"/>
        <v>停车位面积</v>
      </c>
      <c r="R31" s="1555" t="s">
        <v>8</v>
      </c>
      <c r="S31" s="1556" t="e">
        <f t="shared" si="12"/>
        <v>#N/A</v>
      </c>
      <c r="T31" s="1555" t="s">
        <v>8</v>
      </c>
      <c r="U31" s="1556" t="e">
        <f t="shared" si="13"/>
        <v>#N/A</v>
      </c>
      <c r="V31" s="1555" t="s">
        <v>8</v>
      </c>
      <c r="W31" s="1556" t="e">
        <f t="shared" si="14"/>
        <v>#N/A</v>
      </c>
      <c r="X31" s="1557"/>
      <c r="Y31" s="338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4" t="s">
        <v>550</v>
      </c>
      <c r="Q32" s="1559" t="str">
        <f t="shared" si="11"/>
        <v>车位类型</v>
      </c>
      <c r="R32" s="1560" t="s">
        <v>8</v>
      </c>
      <c r="S32" s="1561">
        <f t="shared" si="12"/>
        <v>100</v>
      </c>
      <c r="T32" s="1560" t="s">
        <v>8</v>
      </c>
      <c r="U32" s="1561">
        <f t="shared" si="13"/>
        <v>100</v>
      </c>
      <c r="V32" s="1560" t="s">
        <v>8</v>
      </c>
      <c r="W32" s="1561">
        <f t="shared" si="14"/>
        <v>100</v>
      </c>
      <c r="X32" s="1554"/>
      <c r="Y32" s="338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4"/>
      <c r="Q33" s="1559" t="str">
        <f t="shared" si="11"/>
        <v>是否直接入户</v>
      </c>
      <c r="R33" s="1560" t="s">
        <v>8</v>
      </c>
      <c r="S33" s="1561">
        <f t="shared" si="12"/>
        <v>100</v>
      </c>
      <c r="T33" s="1560" t="s">
        <v>8</v>
      </c>
      <c r="U33" s="1561">
        <f t="shared" si="13"/>
        <v>100</v>
      </c>
      <c r="V33" s="1560" t="s">
        <v>8</v>
      </c>
      <c r="W33" s="1561">
        <f t="shared" si="14"/>
        <v>100</v>
      </c>
      <c r="X33" s="1554"/>
      <c r="Y33" s="338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4"/>
      <c r="Q34" s="1559">
        <f t="shared" si="11"/>
        <v>111</v>
      </c>
      <c r="R34" s="1560" t="s">
        <v>8</v>
      </c>
      <c r="S34" s="1561">
        <f t="shared" si="12"/>
        <v>100</v>
      </c>
      <c r="T34" s="1560" t="s">
        <v>8</v>
      </c>
      <c r="U34" s="1561">
        <f t="shared" si="13"/>
        <v>100</v>
      </c>
      <c r="V34" s="1560" t="s">
        <v>8</v>
      </c>
      <c r="W34" s="1561">
        <f t="shared" si="14"/>
        <v>100</v>
      </c>
      <c r="X34" s="1554"/>
      <c r="Y34" s="338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4"/>
      <c r="Q35" s="1591">
        <f t="shared" si="11"/>
        <v>111</v>
      </c>
      <c r="R35" s="1564" t="s">
        <v>8</v>
      </c>
      <c r="S35" s="1565">
        <f t="shared" si="12"/>
        <v>100</v>
      </c>
      <c r="T35" s="1564" t="s">
        <v>8</v>
      </c>
      <c r="U35" s="1565">
        <f t="shared" si="13"/>
        <v>100</v>
      </c>
      <c r="V35" s="1564" t="s">
        <v>8</v>
      </c>
      <c r="W35" s="1565">
        <f t="shared" si="14"/>
        <v>100</v>
      </c>
      <c r="X35" s="1566"/>
      <c r="Y35" s="338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4"/>
      <c r="Q36" s="1559">
        <f t="shared" si="11"/>
        <v>111</v>
      </c>
      <c r="R36" s="1560" t="s">
        <v>8</v>
      </c>
      <c r="S36" s="1561">
        <f t="shared" si="12"/>
        <v>100</v>
      </c>
      <c r="T36" s="1560" t="s">
        <v>8</v>
      </c>
      <c r="U36" s="1561">
        <f t="shared" si="13"/>
        <v>100</v>
      </c>
      <c r="V36" s="1560" t="s">
        <v>8</v>
      </c>
      <c r="W36" s="1561">
        <f t="shared" si="14"/>
        <v>100</v>
      </c>
      <c r="X36" s="1554"/>
      <c r="Y36" s="3384"/>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9" t="str">
        <f>A37</f>
        <v>成交单价</v>
      </c>
      <c r="Q37" s="3379"/>
      <c r="R37" s="3483">
        <f>E37</f>
        <v>0</v>
      </c>
      <c r="S37" s="3483"/>
      <c r="T37" s="3483">
        <f>G37</f>
        <v>0</v>
      </c>
      <c r="U37" s="3483"/>
      <c r="V37" s="3483">
        <f>I37</f>
        <v>0</v>
      </c>
      <c r="W37" s="3483"/>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9" t="str">
        <f>A38</f>
        <v>比较价格（元/平方米）</v>
      </c>
      <c r="Q38" s="337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400" t="str">
        <f>A39</f>
        <v>估价对象XX用房的比较价格（楼面单价，元/平方米）</v>
      </c>
      <c r="Q39" s="3401"/>
      <c r="R39" s="3482" t="e">
        <f>IF(F1="售价",ROUND(AVERAGE(R38:V38),0),ROUND(AVERAGE(R38:V38),1))</f>
        <v>#DIV/0!</v>
      </c>
      <c r="S39" s="3482"/>
      <c r="T39" s="3482"/>
      <c r="U39" s="3482"/>
      <c r="V39" s="3482"/>
      <c r="W39" s="348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83474.2平方米。根据《建设工程规划许可证》[]、《出让合同》[]，估价对象规划建筑面积为300507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2019年8月23日（评估专业人员勘察现场之日）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根据《国有土地使用证》[]，估价对象（分摊）出让国有建设用地使用权面积为83474.2平方米。根据《建设工程规划许可证》[]、《出让合同》[]，估价对象规划建筑面积为300507平方米。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409" t="s">
        <v>799</v>
      </c>
      <c r="F4" s="3410"/>
      <c r="G4" s="3385" t="s">
        <v>800</v>
      </c>
      <c r="H4" s="3386"/>
      <c r="I4" s="3385" t="s">
        <v>801</v>
      </c>
      <c r="J4" s="3386"/>
      <c r="K4" s="514" t="s">
        <v>802</v>
      </c>
      <c r="L4" s="2119"/>
      <c r="M4" s="2120"/>
      <c r="N4" s="2120"/>
      <c r="O4" s="2120"/>
      <c r="P4" s="3387" t="s">
        <v>803</v>
      </c>
      <c r="Q4" s="3388"/>
      <c r="R4" s="3373" t="s">
        <v>799</v>
      </c>
      <c r="S4" s="3374"/>
      <c r="T4" s="3373" t="s">
        <v>800</v>
      </c>
      <c r="U4" s="3374"/>
      <c r="V4" s="3393" t="s">
        <v>801</v>
      </c>
      <c r="W4" s="3393"/>
      <c r="X4" s="1554"/>
      <c r="Y4" s="3373" t="s">
        <v>803</v>
      </c>
      <c r="Z4" s="3374"/>
      <c r="AA4" s="3368" t="s">
        <v>799</v>
      </c>
      <c r="AB4" s="3369" t="s">
        <v>800</v>
      </c>
      <c r="AC4" s="3368" t="s">
        <v>801</v>
      </c>
    </row>
    <row r="5" spans="1:29" ht="15">
      <c r="A5" s="515"/>
      <c r="B5" s="516"/>
      <c r="C5" s="3396" t="s">
        <v>2927</v>
      </c>
      <c r="D5" s="3397"/>
      <c r="E5" s="3411" t="s">
        <v>2928</v>
      </c>
      <c r="F5" s="3412"/>
      <c r="G5" s="3396" t="s">
        <v>2929</v>
      </c>
      <c r="H5" s="3397"/>
      <c r="I5" s="3396" t="s">
        <v>2930</v>
      </c>
      <c r="J5" s="3397"/>
      <c r="K5" s="514"/>
      <c r="L5" s="2119"/>
      <c r="M5" s="2120"/>
      <c r="N5" s="2120"/>
      <c r="O5" s="2120"/>
      <c r="P5" s="3389"/>
      <c r="Q5" s="3390"/>
      <c r="R5" s="3375"/>
      <c r="S5" s="3376"/>
      <c r="T5" s="3375"/>
      <c r="U5" s="3376"/>
      <c r="V5" s="3393"/>
      <c r="W5" s="3393"/>
      <c r="X5" s="1554"/>
      <c r="Y5" s="3375"/>
      <c r="Z5" s="3376"/>
      <c r="AA5" s="3369"/>
      <c r="AB5" s="3369"/>
      <c r="AC5" s="3369"/>
    </row>
    <row r="6" spans="1:29" ht="15.75" thickBot="1">
      <c r="A6" s="517"/>
      <c r="B6" s="518"/>
      <c r="C6" s="3394" t="s">
        <v>2931</v>
      </c>
      <c r="D6" s="3395"/>
      <c r="E6" s="3413" t="s">
        <v>2931</v>
      </c>
      <c r="F6" s="3414"/>
      <c r="G6" s="3394" t="s">
        <v>2931</v>
      </c>
      <c r="H6" s="3395"/>
      <c r="I6" s="3394" t="s">
        <v>2931</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5.75" thickBot="1">
      <c r="A7" s="2868"/>
      <c r="B7" s="2875" t="s">
        <v>529</v>
      </c>
      <c r="C7" s="519">
        <f>'数据-取费表'!B2</f>
        <v>43700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1" t="s">
        <v>530</v>
      </c>
      <c r="Q7" s="3380"/>
      <c r="R7" s="1555" t="s">
        <v>8</v>
      </c>
      <c r="S7" s="1556">
        <f t="shared" ref="S7:S14" si="0">F7</f>
        <v>0</v>
      </c>
      <c r="T7" s="1555" t="s">
        <v>8</v>
      </c>
      <c r="U7" s="1556">
        <f t="shared" ref="U7:U14" si="1">H7</f>
        <v>0</v>
      </c>
      <c r="V7" s="1555" t="s">
        <v>8</v>
      </c>
      <c r="W7" s="1556">
        <f t="shared" ref="W7:W14" si="2">J7</f>
        <v>0</v>
      </c>
      <c r="X7" s="1557"/>
      <c r="Y7" s="3371" t="s">
        <v>530</v>
      </c>
      <c r="Z7" s="337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1" t="s">
        <v>540</v>
      </c>
      <c r="Q14" s="1559" t="str">
        <f t="shared" si="6"/>
        <v>交通便捷度</v>
      </c>
      <c r="R14" s="1560" t="s">
        <v>8</v>
      </c>
      <c r="S14" s="1561">
        <f t="shared" si="0"/>
        <v>100</v>
      </c>
      <c r="T14" s="1560" t="s">
        <v>8</v>
      </c>
      <c r="U14" s="1561">
        <f t="shared" si="1"/>
        <v>100</v>
      </c>
      <c r="V14" s="1560" t="s">
        <v>8</v>
      </c>
      <c r="W14" s="1561">
        <f t="shared" si="2"/>
        <v>100</v>
      </c>
      <c r="X14" s="1554"/>
      <c r="Y14" s="338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2"/>
      <c r="Q15" s="1559"/>
      <c r="R15" s="1560"/>
      <c r="S15" s="1561"/>
      <c r="T15" s="1560"/>
      <c r="U15" s="1561"/>
      <c r="V15" s="1560"/>
      <c r="W15" s="1561"/>
      <c r="X15" s="1554"/>
      <c r="Y15" s="3382"/>
      <c r="Z15" s="1562"/>
      <c r="AA15" s="1563">
        <v>1</v>
      </c>
      <c r="AB15" s="1563">
        <v>1</v>
      </c>
      <c r="AC15" s="1563">
        <v>1</v>
      </c>
    </row>
    <row r="16" spans="1:29" ht="15">
      <c r="A16" s="532"/>
      <c r="B16" s="2568"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2"/>
      <c r="Q16" s="1559" t="str">
        <f>B16</f>
        <v>公共配套设施</v>
      </c>
      <c r="R16" s="1560" t="s">
        <v>8</v>
      </c>
      <c r="S16" s="1561">
        <f>F16</f>
        <v>100</v>
      </c>
      <c r="T16" s="1560" t="s">
        <v>8</v>
      </c>
      <c r="U16" s="1561">
        <f>H16</f>
        <v>100</v>
      </c>
      <c r="V16" s="1560" t="s">
        <v>8</v>
      </c>
      <c r="W16" s="1561">
        <f>J16</f>
        <v>100</v>
      </c>
      <c r="X16" s="1554"/>
      <c r="Y16" s="338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2"/>
      <c r="Q17" s="1559"/>
      <c r="R17" s="1560"/>
      <c r="S17" s="1561"/>
      <c r="T17" s="1560"/>
      <c r="U17" s="1561"/>
      <c r="V17" s="1560"/>
      <c r="W17" s="1561"/>
      <c r="X17" s="1554"/>
      <c r="Y17" s="3382"/>
      <c r="Z17" s="1562"/>
      <c r="AA17" s="1563">
        <v>1</v>
      </c>
      <c r="AB17" s="1563">
        <v>1</v>
      </c>
      <c r="AC17" s="1563">
        <v>1</v>
      </c>
    </row>
    <row r="18" spans="1:29" ht="15">
      <c r="A18" s="532"/>
      <c r="B18" s="2556"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2"/>
      <c r="Q18" s="2544" t="str">
        <f>B18</f>
        <v>基础设施水平</v>
      </c>
      <c r="R18" s="1560" t="s">
        <v>8</v>
      </c>
      <c r="S18" s="1561">
        <f>F18</f>
        <v>100</v>
      </c>
      <c r="T18" s="1560" t="s">
        <v>8</v>
      </c>
      <c r="U18" s="1561">
        <f>H18</f>
        <v>100</v>
      </c>
      <c r="V18" s="1560" t="s">
        <v>8</v>
      </c>
      <c r="W18" s="1561">
        <f>J18</f>
        <v>100</v>
      </c>
      <c r="X18" s="2546"/>
      <c r="Y18" s="338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2"/>
      <c r="Q19" s="2544"/>
      <c r="R19" s="1560"/>
      <c r="S19" s="1561"/>
      <c r="T19" s="1560"/>
      <c r="U19" s="1561"/>
      <c r="V19" s="1560"/>
      <c r="W19" s="1561"/>
      <c r="X19" s="2546"/>
      <c r="Y19" s="3382"/>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2"/>
      <c r="Q20" s="1559" t="str">
        <f>B20</f>
        <v>自然及人文环境</v>
      </c>
      <c r="R20" s="1560" t="s">
        <v>8</v>
      </c>
      <c r="S20" s="1561">
        <f>F20</f>
        <v>100</v>
      </c>
      <c r="T20" s="1560" t="s">
        <v>8</v>
      </c>
      <c r="U20" s="1561">
        <f>H20</f>
        <v>100</v>
      </c>
      <c r="V20" s="1560" t="s">
        <v>8</v>
      </c>
      <c r="W20" s="1561">
        <f>J20</f>
        <v>100</v>
      </c>
      <c r="X20" s="1554"/>
      <c r="Y20" s="338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2"/>
      <c r="Q21" s="1559"/>
      <c r="R21" s="1560"/>
      <c r="S21" s="1561"/>
      <c r="T21" s="1560"/>
      <c r="U21" s="1561"/>
      <c r="V21" s="1560"/>
      <c r="W21" s="1561"/>
      <c r="X21" s="1554"/>
      <c r="Y21" s="338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2"/>
      <c r="Q22" s="1559" t="str">
        <f>B22</f>
        <v>楼层</v>
      </c>
      <c r="R22" s="1560" t="s">
        <v>8</v>
      </c>
      <c r="S22" s="1561">
        <f>F22</f>
        <v>100</v>
      </c>
      <c r="T22" s="1560" t="s">
        <v>8</v>
      </c>
      <c r="U22" s="1561">
        <f>H22</f>
        <v>100</v>
      </c>
      <c r="V22" s="1560" t="s">
        <v>8</v>
      </c>
      <c r="W22" s="1561">
        <f>J22</f>
        <v>100</v>
      </c>
      <c r="X22" s="1554"/>
      <c r="Y22" s="338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2"/>
      <c r="Q23" s="1559">
        <f>B23</f>
        <v>111</v>
      </c>
      <c r="R23" s="1560" t="s">
        <v>8</v>
      </c>
      <c r="S23" s="1561">
        <f>F23</f>
        <v>100</v>
      </c>
      <c r="T23" s="1560" t="s">
        <v>8</v>
      </c>
      <c r="U23" s="1561">
        <f>H23</f>
        <v>100</v>
      </c>
      <c r="V23" s="1560" t="s">
        <v>8</v>
      </c>
      <c r="W23" s="1561">
        <f>J23</f>
        <v>100</v>
      </c>
      <c r="X23" s="1554"/>
      <c r="Y23" s="338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2"/>
      <c r="Q24" s="1559">
        <f t="shared" ref="Q24:Q34" si="11">B24</f>
        <v>111</v>
      </c>
      <c r="R24" s="1560" t="s">
        <v>8</v>
      </c>
      <c r="S24" s="1561">
        <f>F24</f>
        <v>100</v>
      </c>
      <c r="T24" s="1560" t="s">
        <v>8</v>
      </c>
      <c r="U24" s="1561">
        <f>H24</f>
        <v>100</v>
      </c>
      <c r="V24" s="1560" t="s">
        <v>8</v>
      </c>
      <c r="W24" s="1561">
        <f>J24</f>
        <v>100</v>
      </c>
      <c r="X24" s="1554"/>
      <c r="Y24" s="338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2"/>
      <c r="Q25" s="1147">
        <f t="shared" si="11"/>
        <v>111</v>
      </c>
      <c r="R25" s="1555" t="s">
        <v>8</v>
      </c>
      <c r="S25" s="1556">
        <f>F25</f>
        <v>100</v>
      </c>
      <c r="T25" s="1555" t="s">
        <v>8</v>
      </c>
      <c r="U25" s="1556">
        <f>H25</f>
        <v>100</v>
      </c>
      <c r="V25" s="1555" t="s">
        <v>8</v>
      </c>
      <c r="W25" s="1556">
        <f>J25</f>
        <v>100</v>
      </c>
      <c r="X25" s="1557"/>
      <c r="Y25" s="3382"/>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4"/>
      <c r="Q27" s="1591" t="str">
        <f t="shared" si="11"/>
        <v>成新率</v>
      </c>
      <c r="R27" s="1564" t="s">
        <v>8</v>
      </c>
      <c r="S27" s="1565" t="e">
        <f t="shared" si="12"/>
        <v>#N/A</v>
      </c>
      <c r="T27" s="1564" t="s">
        <v>8</v>
      </c>
      <c r="U27" s="1565" t="e">
        <f t="shared" si="13"/>
        <v>#N/A</v>
      </c>
      <c r="V27" s="1564" t="s">
        <v>8</v>
      </c>
      <c r="W27" s="1565" t="e">
        <f t="shared" si="14"/>
        <v>#N/A</v>
      </c>
      <c r="X27" s="1566"/>
      <c r="Y27" s="338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4"/>
      <c r="Q28" s="1559" t="str">
        <f t="shared" si="11"/>
        <v>物业等级</v>
      </c>
      <c r="R28" s="1560" t="s">
        <v>8</v>
      </c>
      <c r="S28" s="1561">
        <f t="shared" si="12"/>
        <v>100</v>
      </c>
      <c r="T28" s="1560" t="s">
        <v>8</v>
      </c>
      <c r="U28" s="1561">
        <f t="shared" si="13"/>
        <v>100</v>
      </c>
      <c r="V28" s="1560" t="s">
        <v>8</v>
      </c>
      <c r="W28" s="1561">
        <f t="shared" si="14"/>
        <v>100</v>
      </c>
      <c r="X28" s="1554"/>
      <c r="Y28" s="338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4"/>
      <c r="Q29" s="1559" t="str">
        <f t="shared" si="11"/>
        <v>有无电梯</v>
      </c>
      <c r="R29" s="1560" t="s">
        <v>8</v>
      </c>
      <c r="S29" s="1561">
        <f t="shared" si="12"/>
        <v>100</v>
      </c>
      <c r="T29" s="1560" t="s">
        <v>8</v>
      </c>
      <c r="U29" s="1561">
        <f t="shared" si="13"/>
        <v>100</v>
      </c>
      <c r="V29" s="1560" t="s">
        <v>8</v>
      </c>
      <c r="W29" s="1561">
        <f t="shared" si="14"/>
        <v>100</v>
      </c>
      <c r="X29" s="1554"/>
      <c r="Y29" s="338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4"/>
      <c r="Q30" s="1559" t="str">
        <f t="shared" si="11"/>
        <v>建筑面积</v>
      </c>
      <c r="R30" s="1560" t="s">
        <v>8</v>
      </c>
      <c r="S30" s="1561" t="e">
        <f t="shared" si="12"/>
        <v>#N/A</v>
      </c>
      <c r="T30" s="1560" t="s">
        <v>8</v>
      </c>
      <c r="U30" s="1561" t="e">
        <f t="shared" si="13"/>
        <v>#N/A</v>
      </c>
      <c r="V30" s="1560" t="s">
        <v>8</v>
      </c>
      <c r="W30" s="1561" t="e">
        <f t="shared" si="14"/>
        <v>#N/A</v>
      </c>
      <c r="X30" s="1554"/>
      <c r="Y30" s="338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4"/>
      <c r="Q31" s="1147" t="str">
        <f t="shared" si="11"/>
        <v>是否封闭</v>
      </c>
      <c r="R31" s="1555" t="s">
        <v>8</v>
      </c>
      <c r="S31" s="1556">
        <f t="shared" si="12"/>
        <v>100</v>
      </c>
      <c r="T31" s="1555" t="s">
        <v>8</v>
      </c>
      <c r="U31" s="1556">
        <f t="shared" si="13"/>
        <v>100</v>
      </c>
      <c r="V31" s="1555" t="s">
        <v>8</v>
      </c>
      <c r="W31" s="1556">
        <f t="shared" si="14"/>
        <v>100</v>
      </c>
      <c r="X31" s="1557"/>
      <c r="Y31" s="338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4" t="s">
        <v>550</v>
      </c>
      <c r="Q32" s="1559">
        <f t="shared" si="11"/>
        <v>111</v>
      </c>
      <c r="R32" s="1560" t="s">
        <v>8</v>
      </c>
      <c r="S32" s="1561">
        <f t="shared" si="12"/>
        <v>100</v>
      </c>
      <c r="T32" s="1560" t="s">
        <v>8</v>
      </c>
      <c r="U32" s="1561">
        <f t="shared" si="13"/>
        <v>100</v>
      </c>
      <c r="V32" s="1560" t="s">
        <v>8</v>
      </c>
      <c r="W32" s="1561">
        <f t="shared" si="14"/>
        <v>100</v>
      </c>
      <c r="X32" s="1554"/>
      <c r="Y32" s="338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4"/>
      <c r="Q33" s="1559">
        <f t="shared" si="11"/>
        <v>111</v>
      </c>
      <c r="R33" s="1560" t="s">
        <v>8</v>
      </c>
      <c r="S33" s="1561">
        <f t="shared" si="12"/>
        <v>100</v>
      </c>
      <c r="T33" s="1560" t="s">
        <v>8</v>
      </c>
      <c r="U33" s="1561">
        <f t="shared" si="13"/>
        <v>100</v>
      </c>
      <c r="V33" s="1560" t="s">
        <v>8</v>
      </c>
      <c r="W33" s="1561">
        <f t="shared" si="14"/>
        <v>100</v>
      </c>
      <c r="X33" s="1554"/>
      <c r="Y33" s="338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4"/>
      <c r="Q34" s="1559">
        <f t="shared" si="11"/>
        <v>111</v>
      </c>
      <c r="R34" s="1560" t="s">
        <v>8</v>
      </c>
      <c r="S34" s="1561">
        <f t="shared" si="12"/>
        <v>100</v>
      </c>
      <c r="T34" s="1560" t="s">
        <v>8</v>
      </c>
      <c r="U34" s="1561">
        <f t="shared" si="13"/>
        <v>100</v>
      </c>
      <c r="V34" s="1560" t="s">
        <v>8</v>
      </c>
      <c r="W34" s="1561">
        <f t="shared" si="14"/>
        <v>100</v>
      </c>
      <c r="X34" s="1554"/>
      <c r="Y34" s="338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9" t="str">
        <f>A35</f>
        <v>成交单价（元/平方米）</v>
      </c>
      <c r="Q35" s="3379"/>
      <c r="R35" s="3483">
        <f>E35</f>
        <v>0</v>
      </c>
      <c r="S35" s="3483"/>
      <c r="T35" s="3483">
        <f>G35</f>
        <v>0</v>
      </c>
      <c r="U35" s="3483"/>
      <c r="V35" s="3483">
        <f>I35</f>
        <v>0</v>
      </c>
      <c r="W35" s="3483"/>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9" t="str">
        <f>A36</f>
        <v>比较价格（元/平方米）</v>
      </c>
      <c r="Q36" s="337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400" t="str">
        <f>A37</f>
        <v>估价对象XX用房的比较价格（楼面单价，元/平方米）</v>
      </c>
      <c r="Q37" s="3401"/>
      <c r="R37" s="3482" t="e">
        <f>IF(F1="售价",ROUND(AVERAGE(R36:V36),0),ROUND(AVERAGE(R36:V36),1))</f>
        <v>#DIV/0!</v>
      </c>
      <c r="S37" s="3482"/>
      <c r="T37" s="3482"/>
      <c r="U37" s="3482"/>
      <c r="V37" s="3482"/>
      <c r="W37" s="348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2" t="s">
        <v>2304</v>
      </c>
      <c r="D1" s="3493"/>
      <c r="E1" s="3493"/>
      <c r="F1" s="3493"/>
      <c r="G1" s="3493"/>
      <c r="H1" s="3493"/>
      <c r="I1" s="3493"/>
      <c r="J1" s="3493"/>
      <c r="K1" s="3493"/>
      <c r="L1" s="3493"/>
      <c r="M1" s="3493"/>
      <c r="N1" s="3493"/>
      <c r="O1" s="3493"/>
      <c r="P1" s="3493"/>
      <c r="Q1" s="3493"/>
      <c r="R1" s="3493"/>
      <c r="S1" s="3494"/>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43700</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2038</v>
      </c>
      <c r="B1" s="3199"/>
      <c r="C1" s="3199"/>
      <c r="D1" s="3199"/>
      <c r="E1" s="3199"/>
      <c r="F1" s="3199"/>
      <c r="G1" s="3199"/>
      <c r="H1" s="3199"/>
      <c r="I1" s="3199"/>
      <c r="J1" s="3199"/>
      <c r="K1" s="3199"/>
      <c r="L1" s="3199"/>
      <c r="M1" s="3199"/>
      <c r="N1" s="3199"/>
      <c r="O1" s="3199"/>
      <c r="P1" s="3199"/>
      <c r="Q1" s="3199"/>
      <c r="R1" s="3199"/>
    </row>
    <row r="2" spans="1:18">
      <c r="A2" s="1793" t="s">
        <v>2040</v>
      </c>
      <c r="B2" s="1793"/>
      <c r="C2" s="1793"/>
      <c r="D2" s="1793"/>
      <c r="E2" s="1793"/>
      <c r="F2" s="1793"/>
      <c r="G2" s="1793"/>
      <c r="H2" s="1793"/>
      <c r="I2" s="1794"/>
      <c r="J2" s="1794"/>
      <c r="K2" s="1795" t="str">
        <f>"估价期日："&amp;TEXT(项目基本情况!D3,"yyyy年m月d日;;")</f>
        <v>估价期日：2019年8月23日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203" t="s">
        <v>2031</v>
      </c>
      <c r="F3" s="3203"/>
      <c r="G3" s="3203"/>
      <c r="H3" s="3203" t="s">
        <v>2032</v>
      </c>
      <c r="I3" s="3203"/>
      <c r="J3" s="3203"/>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4" t="s">
        <v>2042</v>
      </c>
      <c r="F4" s="2614" t="s">
        <v>2744</v>
      </c>
      <c r="G4" s="2614" t="s">
        <v>2036</v>
      </c>
      <c r="H4" s="2614" t="s">
        <v>2037</v>
      </c>
      <c r="I4" s="2614" t="s">
        <v>2745</v>
      </c>
      <c r="J4" s="2614" t="s">
        <v>2036</v>
      </c>
      <c r="K4" s="3201"/>
      <c r="L4" s="3201"/>
      <c r="M4" s="3200"/>
      <c r="N4" s="3202"/>
      <c r="O4" s="3200"/>
      <c r="P4" s="3201"/>
      <c r="Q4" s="3201"/>
      <c r="R4" s="320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83474.2</v>
      </c>
      <c r="O5" s="1796">
        <f>项目基本情况!C21</f>
        <v>300507</v>
      </c>
      <c r="P5" s="1796">
        <f ca="1">结果表!E42</f>
        <v>23082</v>
      </c>
      <c r="Q5" s="1796">
        <f ca="1">结果表!D42</f>
        <v>6412</v>
      </c>
      <c r="R5" s="1797">
        <f ca="1">结果表!C42</f>
        <v>192678</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8"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8"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7" t="s">
        <v>2065</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2066</v>
      </c>
      <c r="B5" s="3210"/>
      <c r="C5" s="3210"/>
      <c r="D5" s="3210"/>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2068</v>
      </c>
      <c r="B12" s="3210"/>
      <c r="C12" s="3210"/>
      <c r="D12" s="3210"/>
    </row>
    <row r="13" spans="1:4">
      <c r="A13" s="3208" t="s">
        <v>2746</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7" t="s">
        <v>2699</v>
      </c>
      <c r="B23" s="3207"/>
      <c r="C23" s="3207"/>
      <c r="D23" s="320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9" t="s">
        <v>53</v>
      </c>
      <c r="B15" s="3220" t="s">
        <v>846</v>
      </c>
      <c r="C15" s="3216"/>
    </row>
    <row r="16" spans="1:7" ht="14.25">
      <c r="A16" s="3219"/>
      <c r="B16" s="3217" t="s">
        <v>54</v>
      </c>
      <c r="C16" s="1168" t="s">
        <v>53</v>
      </c>
    </row>
    <row r="17" spans="1:3" ht="14.25">
      <c r="A17" s="3219"/>
      <c r="B17" s="3217"/>
      <c r="C17" s="1168" t="s">
        <v>55</v>
      </c>
    </row>
    <row r="18" spans="1:3" ht="14.25">
      <c r="A18" s="3219"/>
      <c r="B18" s="3217"/>
      <c r="C18" s="1168" t="s">
        <v>56</v>
      </c>
    </row>
    <row r="19" spans="1:3" ht="14.25">
      <c r="A19" s="3219"/>
      <c r="B19" s="3215" t="s">
        <v>57</v>
      </c>
      <c r="C19" s="3216"/>
    </row>
    <row r="20" spans="1:3" ht="14.25">
      <c r="A20" s="1169" t="s">
        <v>58</v>
      </c>
      <c r="B20" s="1170"/>
      <c r="C20" s="1171"/>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2" t="s">
        <v>837</v>
      </c>
    </row>
    <row r="25" spans="1:3" ht="14.25">
      <c r="A25" s="3218"/>
      <c r="B25" s="3222"/>
      <c r="C25" s="1172" t="s">
        <v>838</v>
      </c>
    </row>
    <row r="26" spans="1:3" ht="14.25">
      <c r="A26" s="3218"/>
      <c r="B26" s="3222"/>
      <c r="C26" s="1172" t="s">
        <v>839</v>
      </c>
    </row>
    <row r="27" spans="1:3" ht="14.25">
      <c r="A27" s="3218"/>
      <c r="B27" s="3222"/>
      <c r="C27" s="1172" t="s">
        <v>840</v>
      </c>
    </row>
    <row r="28" spans="1:3" ht="14.25">
      <c r="A28" s="3218"/>
      <c r="B28" s="3222"/>
      <c r="C28" s="1172" t="s">
        <v>841</v>
      </c>
    </row>
    <row r="29" spans="1:3" ht="14.25">
      <c r="A29" s="3218"/>
      <c r="B29" s="3222"/>
      <c r="C29" s="1172" t="s">
        <v>842</v>
      </c>
    </row>
    <row r="30" spans="1:3" ht="14.25">
      <c r="A30" s="3218"/>
      <c r="B30" s="3222"/>
      <c r="C30" s="1172" t="s">
        <v>843</v>
      </c>
    </row>
    <row r="31" spans="1:3" ht="14.25">
      <c r="A31" s="3218"/>
      <c r="B31" s="3222"/>
      <c r="C31" s="1172" t="s">
        <v>844</v>
      </c>
    </row>
    <row r="32" spans="1:3" ht="14.25">
      <c r="A32" s="3218"/>
      <c r="B32" s="3222"/>
      <c r="C32" s="1172" t="s">
        <v>1646</v>
      </c>
    </row>
    <row r="33" spans="1:3" ht="14.25">
      <c r="A33" s="3218"/>
      <c r="B33" s="3212" t="s">
        <v>1652</v>
      </c>
      <c r="C33" s="1172" t="s">
        <v>1647</v>
      </c>
    </row>
    <row r="34" spans="1:3" ht="14.25">
      <c r="A34" s="3218"/>
      <c r="B34" s="3213"/>
      <c r="C34" s="1177" t="s">
        <v>1648</v>
      </c>
    </row>
    <row r="35" spans="1:3" ht="14.25">
      <c r="A35" s="3218"/>
      <c r="B35" s="3213"/>
      <c r="C35" s="1178" t="s">
        <v>1649</v>
      </c>
    </row>
    <row r="36" spans="1:3" ht="14.25">
      <c r="A36" s="3218"/>
      <c r="B36" s="3213"/>
      <c r="C36" s="1178" t="s">
        <v>1650</v>
      </c>
    </row>
    <row r="37" spans="1:3" ht="14.25">
      <c r="A37" s="3218"/>
      <c r="B37" s="321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43703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2574</v>
      </c>
      <c r="B15" s="3130">
        <f ca="1">IF(C15&lt;B2,"已过期",1120070085)</f>
        <v>1120070085</v>
      </c>
      <c r="C15" s="3134">
        <v>43814</v>
      </c>
      <c r="D15" s="3130" t="s">
        <v>2980</v>
      </c>
      <c r="E15" s="3130">
        <f ca="1">IF(F15&lt;B2,"已过期",2004110128)</f>
        <v>2004110128</v>
      </c>
      <c r="F15" s="3136">
        <v>47118</v>
      </c>
    </row>
    <row r="16" spans="1:6" ht="20.25" customHeight="1">
      <c r="A16" s="3130" t="s">
        <v>1923</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3" t="s">
        <v>2952</v>
      </c>
      <c r="C18" s="1541"/>
    </row>
    <row r="19" spans="1:3">
      <c r="A19" s="8" t="s">
        <v>120</v>
      </c>
      <c r="B19" s="3063" t="s">
        <v>2960</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3"/>
      <c r="E53" s="1753"/>
    </row>
    <row r="54" spans="1:5">
      <c r="A54" s="322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信息</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2019-08-26T01:47:09Z</dcterms:modified>
</cp:coreProperties>
</file>