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郫都询价\"/>
    </mc:Choice>
  </mc:AlternateContent>
  <bookViews>
    <workbookView xWindow="45" yWindow="150" windowWidth="11565" windowHeight="9495" tabRatio="875" firstSheet="12"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剩余法-待开发" sheetId="12" r:id="rId20"/>
    <sheet name="信息" sheetId="68"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2">'数据-汇总表'!$A$1:$G$32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3" i="69" l="1"/>
  <c r="N9" i="69"/>
  <c r="N10" i="69"/>
  <c r="N11" i="69"/>
  <c r="M6" i="68"/>
  <c r="M5" i="68"/>
  <c r="K4" i="68"/>
  <c r="D5" i="68"/>
  <c r="C47" i="68" l="1"/>
  <c r="B47" i="68"/>
  <c r="D48" i="68" s="1"/>
  <c r="I40" i="39"/>
  <c r="G40" i="39"/>
  <c r="E40" i="39"/>
  <c r="I48" i="39"/>
  <c r="G48" i="39"/>
  <c r="E48" i="39"/>
  <c r="G13" i="39"/>
  <c r="K13" i="3"/>
  <c r="I9" i="39"/>
  <c r="G9" i="39"/>
  <c r="E9" i="39"/>
  <c r="I7" i="39"/>
  <c r="G7" i="39"/>
  <c r="E7" i="39"/>
  <c r="G3" i="69"/>
  <c r="M3" i="69" s="1"/>
  <c r="G4" i="69"/>
  <c r="M4" i="69" s="1"/>
  <c r="N4" i="69" s="1"/>
  <c r="G5" i="69"/>
  <c r="M5" i="69" s="1"/>
  <c r="N5" i="69" s="1"/>
  <c r="G6" i="69"/>
  <c r="M6" i="69" s="1"/>
  <c r="N6" i="69" s="1"/>
  <c r="G7" i="69"/>
  <c r="M7" i="69" s="1"/>
  <c r="N7" i="69" s="1"/>
  <c r="G8" i="69"/>
  <c r="M8" i="69" s="1"/>
  <c r="N8" i="69" s="1"/>
  <c r="G9" i="69"/>
  <c r="M9" i="69" s="1"/>
  <c r="G10" i="69"/>
  <c r="M10" i="69" s="1"/>
  <c r="G11" i="69"/>
  <c r="M11" i="69" s="1"/>
  <c r="G2" i="69"/>
  <c r="M2" i="69" s="1"/>
  <c r="N2" i="69" s="1"/>
  <c r="D47" i="68" l="1"/>
  <c r="E13" i="39"/>
  <c r="I13" i="39"/>
  <c r="F20" i="6"/>
  <c r="F19" i="6"/>
  <c r="A3" i="3"/>
  <c r="C40" i="39" s="1"/>
  <c r="D73" i="39"/>
  <c r="E73" i="39" s="1"/>
  <c r="F73" i="39" s="1"/>
  <c r="G73" i="39" s="1"/>
  <c r="H73" i="39" s="1"/>
  <c r="I73" i="39" s="1"/>
  <c r="J73" i="39" s="1"/>
  <c r="K73" i="39" s="1"/>
  <c r="L73" i="39" s="1"/>
  <c r="M73" i="39" s="1"/>
  <c r="N73" i="39" s="1"/>
  <c r="D3" i="4"/>
  <c r="AH5" i="59" l="1"/>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P75" i="15"/>
  <c r="Q74" i="44"/>
  <c r="Q61" i="44"/>
  <c r="Q60" i="44"/>
  <c r="Q53" i="44"/>
  <c r="J51" i="44"/>
  <c r="J52" i="44"/>
  <c r="M48" i="44"/>
  <c r="A16" i="55"/>
  <c r="A15" i="55"/>
  <c r="B66" i="63"/>
  <c r="A10" i="55"/>
  <c r="B61" i="63"/>
  <c r="A9" i="55"/>
  <c r="B60" i="63"/>
  <c r="A8" i="55"/>
  <c r="A6" i="54"/>
  <c r="A8" i="54"/>
  <c r="A7" i="54"/>
  <c r="A28" i="51"/>
  <c r="B21" i="63" s="1"/>
  <c r="A27" i="51"/>
  <c r="B20" i="63"/>
  <c r="Q13" i="59"/>
  <c r="O13" i="59"/>
  <c r="N14" i="59"/>
  <c r="O14" i="59"/>
  <c r="P14" i="59"/>
  <c r="Q14" i="59"/>
  <c r="N13" i="59"/>
  <c r="P13" i="59"/>
  <c r="C15" i="59"/>
  <c r="D15" i="59" s="1"/>
  <c r="E15" i="59"/>
  <c r="F15" i="59"/>
  <c r="K75" i="9"/>
  <c r="K6" i="4"/>
  <c r="O76" i="9"/>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V15" i="59"/>
  <c r="T15" i="59"/>
  <c r="B11" i="59"/>
  <c r="B10" i="59"/>
  <c r="B9" i="59"/>
  <c r="E11" i="59"/>
  <c r="E10" i="59"/>
  <c r="E9" i="59" s="1"/>
  <c r="E8" i="59" s="1"/>
  <c r="E7" i="59" s="1"/>
  <c r="C14" i="59"/>
  <c r="D14" i="59" s="1"/>
  <c r="F14" i="59"/>
  <c r="F13" i="59"/>
  <c r="F11" i="59"/>
  <c r="V11" i="59"/>
  <c r="U11" i="59"/>
  <c r="S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7" i="64"/>
  <c r="A15" i="64"/>
  <c r="A14" i="64"/>
  <c r="A11" i="64"/>
  <c r="A3" i="64"/>
  <c r="A45" i="9"/>
  <c r="A44" i="9"/>
  <c r="C57" i="10"/>
  <c r="A28" i="64" s="1"/>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67" i="63"/>
  <c r="I19" i="46"/>
  <c r="Q15" i="59"/>
  <c r="P15" i="59"/>
  <c r="O15" i="59"/>
  <c r="N15" i="59"/>
  <c r="D76" i="59"/>
  <c r="F75" i="59"/>
  <c r="E75" i="59"/>
  <c r="E74" i="59"/>
  <c r="E73" i="59"/>
  <c r="C75" i="59"/>
  <c r="D75" i="59"/>
  <c r="B75" i="59"/>
  <c r="F74" i="59"/>
  <c r="F73" i="59" s="1"/>
  <c r="B74" i="59"/>
  <c r="B73" i="59" s="1"/>
  <c r="D72" i="59"/>
  <c r="F71" i="59"/>
  <c r="E71" i="59"/>
  <c r="E70" i="59"/>
  <c r="E69" i="59"/>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E54" i="59" s="1"/>
  <c r="P54" i="59"/>
  <c r="C55" i="59"/>
  <c r="B55" i="59"/>
  <c r="D52" i="59"/>
  <c r="Q51" i="59"/>
  <c r="P51" i="59"/>
  <c r="O51" i="59"/>
  <c r="N51" i="59"/>
  <c r="Q50" i="59"/>
  <c r="P50" i="59"/>
  <c r="O50" i="59"/>
  <c r="N50" i="59"/>
  <c r="Q49" i="59"/>
  <c r="P49" i="59"/>
  <c r="O49" i="59"/>
  <c r="N49" i="59"/>
  <c r="Q48" i="59"/>
  <c r="F49" i="59" s="1"/>
  <c r="P48" i="59"/>
  <c r="E49" i="59" s="1"/>
  <c r="E50" i="59" s="1"/>
  <c r="E51" i="59" s="1"/>
  <c r="U51" i="59" s="1"/>
  <c r="O48" i="59"/>
  <c r="C49" i="59"/>
  <c r="D49" i="59" s="1"/>
  <c r="N48" i="59"/>
  <c r="B49" i="59"/>
  <c r="B50" i="59" s="1"/>
  <c r="B51" i="59" s="1"/>
  <c r="S51" i="59" s="1"/>
  <c r="D48" i="59"/>
  <c r="Q47" i="59"/>
  <c r="P47" i="59"/>
  <c r="O47" i="59"/>
  <c r="N47" i="59"/>
  <c r="Q46" i="59"/>
  <c r="P46" i="59"/>
  <c r="O46" i="59"/>
  <c r="N46" i="59"/>
  <c r="Q45" i="59"/>
  <c r="P45" i="59"/>
  <c r="O45" i="59"/>
  <c r="N45" i="59"/>
  <c r="Q44" i="59"/>
  <c r="F45" i="59"/>
  <c r="F46" i="59" s="1"/>
  <c r="F47" i="59" s="1"/>
  <c r="V47" i="59" s="1"/>
  <c r="P44" i="59"/>
  <c r="E45" i="59"/>
  <c r="E46" i="59" s="1"/>
  <c r="E47" i="59" s="1"/>
  <c r="U47" i="59" s="1"/>
  <c r="O44" i="59"/>
  <c r="C45" i="59" s="1"/>
  <c r="D45" i="59" s="1"/>
  <c r="N44" i="59"/>
  <c r="B45" i="59" s="1"/>
  <c r="B46" i="59"/>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D41" i="59" s="1"/>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s="1"/>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c r="C34" i="59" s="1"/>
  <c r="D34" i="59" s="1"/>
  <c r="N32" i="59"/>
  <c r="B33" i="59"/>
  <c r="B34" i="59" s="1"/>
  <c r="B35" i="59" s="1"/>
  <c r="S35" i="59" s="1"/>
  <c r="D32" i="59"/>
  <c r="Q31" i="59"/>
  <c r="P31" i="59"/>
  <c r="O31" i="59"/>
  <c r="N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Q26" i="59"/>
  <c r="AB26" i="59" s="1"/>
  <c r="P26" i="59"/>
  <c r="O26" i="59"/>
  <c r="Y26" i="59"/>
  <c r="Z26" i="59" s="1"/>
  <c r="N26" i="59"/>
  <c r="X26" i="59" s="1"/>
  <c r="Q25" i="59"/>
  <c r="AB25" i="59" s="1"/>
  <c r="P25" i="59"/>
  <c r="O25" i="59"/>
  <c r="Y25" i="59" s="1"/>
  <c r="Z25" i="59" s="1"/>
  <c r="N25" i="59"/>
  <c r="Q24" i="59"/>
  <c r="AB24" i="59" s="1"/>
  <c r="P24" i="59"/>
  <c r="AA24" i="59" s="1"/>
  <c r="O24" i="59"/>
  <c r="C25" i="59"/>
  <c r="C26" i="59" s="1"/>
  <c r="N24" i="59"/>
  <c r="B25" i="59"/>
  <c r="B26" i="59" s="1"/>
  <c r="B27" i="59" s="1"/>
  <c r="S27" i="59" s="1"/>
  <c r="D24" i="59"/>
  <c r="Q23" i="59"/>
  <c r="AB23" i="59" s="1"/>
  <c r="P23" i="59"/>
  <c r="AA23" i="59" s="1"/>
  <c r="O23" i="59"/>
  <c r="N23" i="59"/>
  <c r="X23" i="59" s="1"/>
  <c r="Q22" i="59"/>
  <c r="P22" i="59"/>
  <c r="AA22" i="59" s="1"/>
  <c r="O22" i="59"/>
  <c r="Y22" i="59" s="1"/>
  <c r="Z22" i="59" s="1"/>
  <c r="N22" i="59"/>
  <c r="X22" i="59" s="1"/>
  <c r="Q21" i="59"/>
  <c r="P21" i="59"/>
  <c r="AA21" i="59" s="1"/>
  <c r="O21" i="59"/>
  <c r="N21" i="59"/>
  <c r="X21" i="59" s="1"/>
  <c r="Q20" i="59"/>
  <c r="F21" i="59"/>
  <c r="P20" i="59"/>
  <c r="AA20" i="59" s="1"/>
  <c r="E21" i="59"/>
  <c r="E22" i="59" s="1"/>
  <c r="E23" i="59" s="1"/>
  <c r="U23" i="59" s="1"/>
  <c r="O20" i="59"/>
  <c r="C21" i="59" s="1"/>
  <c r="N20" i="59"/>
  <c r="X20" i="59" s="1"/>
  <c r="D20" i="59"/>
  <c r="Q19" i="59"/>
  <c r="AB19" i="59" s="1"/>
  <c r="P19" i="59"/>
  <c r="O19" i="59"/>
  <c r="Y19" i="59" s="1"/>
  <c r="Z19" i="59" s="1"/>
  <c r="N19" i="59"/>
  <c r="X19" i="59" s="1"/>
  <c r="Q18" i="59"/>
  <c r="AB18" i="59" s="1"/>
  <c r="P18" i="59"/>
  <c r="O18" i="59"/>
  <c r="Y18" i="59" s="1"/>
  <c r="Z18" i="59" s="1"/>
  <c r="N18" i="59"/>
  <c r="Q17" i="59"/>
  <c r="AB17" i="59" s="1"/>
  <c r="P17" i="59"/>
  <c r="O17" i="59"/>
  <c r="Y17" i="59" s="1"/>
  <c r="Z17" i="59" s="1"/>
  <c r="N17" i="59"/>
  <c r="Q16" i="59"/>
  <c r="P16" i="59"/>
  <c r="AA16" i="59" s="1"/>
  <c r="O16" i="59"/>
  <c r="C17" i="59"/>
  <c r="C18" i="59" s="1"/>
  <c r="N16" i="59"/>
  <c r="B17" i="59"/>
  <c r="B18" i="59" s="1"/>
  <c r="B19" i="59" s="1"/>
  <c r="S19" i="59" s="1"/>
  <c r="D16" i="59"/>
  <c r="X3" i="59"/>
  <c r="X13" i="59"/>
  <c r="X15" i="59"/>
  <c r="AA12" i="59"/>
  <c r="AA14" i="59"/>
  <c r="Y12" i="59"/>
  <c r="Z12" i="59" s="1"/>
  <c r="Y13" i="59"/>
  <c r="Z13" i="59" s="1"/>
  <c r="Y14" i="59"/>
  <c r="Z14" i="59" s="1"/>
  <c r="Y15" i="59"/>
  <c r="Z15" i="59" s="1"/>
  <c r="Y3" i="59"/>
  <c r="Z3" i="59" s="1"/>
  <c r="AB15" i="59"/>
  <c r="AB12" i="59"/>
  <c r="AB14" i="59"/>
  <c r="E17" i="59"/>
  <c r="E18" i="59" s="1"/>
  <c r="E19" i="59" s="1"/>
  <c r="U19" i="59" s="1"/>
  <c r="B38" i="59"/>
  <c r="B39" i="59" s="1"/>
  <c r="S39" i="59" s="1"/>
  <c r="S55" i="59"/>
  <c r="AA26" i="59"/>
  <c r="F22" i="59"/>
  <c r="F23" i="59" s="1"/>
  <c r="V23" i="59" s="1"/>
  <c r="F30" i="59"/>
  <c r="F31" i="59" s="1"/>
  <c r="V31" i="59" s="1"/>
  <c r="F42" i="59"/>
  <c r="F43" i="59" s="1"/>
  <c r="V43" i="59" s="1"/>
  <c r="F50" i="59"/>
  <c r="F51" i="59" s="1"/>
  <c r="V51" i="59" s="1"/>
  <c r="D17" i="59"/>
  <c r="D25" i="59"/>
  <c r="C38" i="59"/>
  <c r="C39" i="59" s="1"/>
  <c r="D37" i="59"/>
  <c r="C42" i="59"/>
  <c r="C43" i="59" s="1"/>
  <c r="C46" i="59"/>
  <c r="D46" i="59" s="1"/>
  <c r="C50" i="59"/>
  <c r="C51" i="59" s="1"/>
  <c r="E53" i="59"/>
  <c r="P52" i="59" s="1"/>
  <c r="T55" i="59"/>
  <c r="O55" i="59"/>
  <c r="D55" i="59"/>
  <c r="C54" i="59"/>
  <c r="P55" i="59"/>
  <c r="U55" i="59"/>
  <c r="Q55" i="59"/>
  <c r="C58" i="59"/>
  <c r="E58" i="59"/>
  <c r="E57" i="59" s="1"/>
  <c r="D59" i="59"/>
  <c r="E62" i="59"/>
  <c r="E61" i="59" s="1"/>
  <c r="D63" i="59"/>
  <c r="C66" i="59"/>
  <c r="E66" i="59"/>
  <c r="E65" i="59" s="1"/>
  <c r="D67" i="59"/>
  <c r="C70" i="59"/>
  <c r="C74" i="59"/>
  <c r="D74" i="59" s="1"/>
  <c r="U16" i="4"/>
  <c r="S16" i="4"/>
  <c r="Q16" i="4"/>
  <c r="O16" i="4"/>
  <c r="M16" i="4"/>
  <c r="K16" i="4"/>
  <c r="P53" i="59"/>
  <c r="C73" i="59"/>
  <c r="D73" i="59" s="1"/>
  <c r="D66" i="59"/>
  <c r="C65" i="59"/>
  <c r="D65" i="59"/>
  <c r="D58" i="59"/>
  <c r="C57" i="59"/>
  <c r="D57" i="59" s="1"/>
  <c r="C53" i="59"/>
  <c r="O53" i="59" s="1"/>
  <c r="O54" i="59"/>
  <c r="D54" i="59"/>
  <c r="D70" i="59"/>
  <c r="C69" i="59"/>
  <c r="D69" i="59" s="1"/>
  <c r="D50" i="59"/>
  <c r="C47" i="59"/>
  <c r="T47" i="59" s="1"/>
  <c r="D42" i="59"/>
  <c r="D38" i="59"/>
  <c r="D47" i="59"/>
  <c r="D5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E84" i="34" s="1"/>
  <c r="F84" i="34" s="1"/>
  <c r="G84" i="34" s="1"/>
  <c r="F21" i="34"/>
  <c r="AA21" i="34"/>
  <c r="Q21" i="33"/>
  <c r="Z21" i="33" s="1"/>
  <c r="C21" i="33"/>
  <c r="D83" i="33"/>
  <c r="E83" i="33" s="1"/>
  <c r="F83" i="33" s="1"/>
  <c r="G83" i="33" s="1"/>
  <c r="Z21" i="21"/>
  <c r="Q21" i="21"/>
  <c r="D83" i="21"/>
  <c r="E83" i="21" s="1"/>
  <c r="F83" i="21" s="1"/>
  <c r="G83" i="21" s="1"/>
  <c r="F21" i="21"/>
  <c r="AA21" i="21" s="1"/>
  <c r="C21" i="21"/>
  <c r="Q27" i="40"/>
  <c r="Z27" i="40" s="1"/>
  <c r="D96" i="40"/>
  <c r="E96" i="40"/>
  <c r="F96" i="40" s="1"/>
  <c r="F27" i="40"/>
  <c r="AA27" i="40"/>
  <c r="Q31" i="39"/>
  <c r="Z31" i="39" s="1"/>
  <c r="D105" i="39"/>
  <c r="E105" i="39" s="1"/>
  <c r="F105" i="39" s="1"/>
  <c r="G105" i="39" s="1"/>
  <c r="F31" i="39"/>
  <c r="AA31" i="39" s="1"/>
  <c r="G20" i="20"/>
  <c r="B85" i="46"/>
  <c r="C22" i="20"/>
  <c r="B65" i="46"/>
  <c r="S18" i="36"/>
  <c r="S18" i="35"/>
  <c r="S21" i="34"/>
  <c r="S27" i="40"/>
  <c r="S31" i="39"/>
  <c r="C27" i="40"/>
  <c r="C31" i="39"/>
  <c r="B54" i="46"/>
  <c r="B74"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s="1"/>
  <c r="AP7" i="1" s="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M43"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c r="H36" i="39"/>
  <c r="AB36" i="39" s="1"/>
  <c r="H40" i="39"/>
  <c r="AB40" i="39" s="1"/>
  <c r="H42" i="39"/>
  <c r="AB42" i="39"/>
  <c r="J10" i="39"/>
  <c r="AC10" i="39" s="1"/>
  <c r="J11" i="39"/>
  <c r="AC11" i="39"/>
  <c r="J36" i="39"/>
  <c r="AC36" i="39" s="1"/>
  <c r="J40" i="39"/>
  <c r="AC40" i="39" s="1"/>
  <c r="J42" i="39"/>
  <c r="AC42" i="39"/>
  <c r="F35" i="44"/>
  <c r="M21" i="44"/>
  <c r="F20" i="44"/>
  <c r="C6" i="43"/>
  <c r="K9" i="43"/>
  <c r="J9" i="43"/>
  <c r="I9" i="43"/>
  <c r="H9" i="43"/>
  <c r="G9" i="43"/>
  <c r="F9" i="43"/>
  <c r="E9" i="43"/>
  <c r="D9" i="43"/>
  <c r="C9" i="43"/>
  <c r="BC13" i="3"/>
  <c r="BA13" i="3" s="1"/>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72"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F11" i="35" s="1"/>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H14" i="33" s="1"/>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C48" i="35" s="1"/>
  <c r="D48" i="35" s="1"/>
  <c r="E48" i="35" s="1"/>
  <c r="F48" i="35" s="1"/>
  <c r="G48" i="35" s="1"/>
  <c r="H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s="1"/>
  <c r="E59" i="34" s="1"/>
  <c r="F59" i="34" s="1"/>
  <c r="G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D10" i="12" s="1"/>
  <c r="E9" i="12"/>
  <c r="G9" i="12"/>
  <c r="K5" i="3"/>
  <c r="J5" i="3"/>
  <c r="BE10" i="3"/>
  <c r="BD13" i="3"/>
  <c r="BE13" i="3"/>
  <c r="BF13" i="3"/>
  <c r="BG13" i="3"/>
  <c r="BG5" i="3" s="1"/>
  <c r="BH13" i="3"/>
  <c r="BI13" i="3"/>
  <c r="BI5" i="3" s="1"/>
  <c r="BJ13" i="3"/>
  <c r="BK13" i="3"/>
  <c r="BM13" i="3"/>
  <c r="BN13" i="3"/>
  <c r="BO13" i="3"/>
  <c r="BP13" i="3"/>
  <c r="BS13" i="3"/>
  <c r="BT13" i="3"/>
  <c r="BT5"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I4" i="6" s="1"/>
  <c r="C13" i="39" s="1"/>
  <c r="L5" i="3"/>
  <c r="M5" i="3"/>
  <c r="N5" i="3"/>
  <c r="O5" i="3"/>
  <c r="P5" i="3"/>
  <c r="Q5" i="3"/>
  <c r="R5" i="3"/>
  <c r="S5" i="3"/>
  <c r="T5" i="3"/>
  <c r="U5" i="3"/>
  <c r="V5" i="3"/>
  <c r="W5" i="3"/>
  <c r="X5" i="3"/>
  <c r="Y5" i="3"/>
  <c r="Z5" i="3"/>
  <c r="AA5" i="3"/>
  <c r="AB5" i="3"/>
  <c r="H570" i="3"/>
  <c r="H5" i="3" s="1"/>
  <c r="H571" i="3"/>
  <c r="G571" i="3" s="1"/>
  <c r="H572" i="3"/>
  <c r="F5" i="3"/>
  <c r="G27" i="6"/>
  <c r="F34" i="21"/>
  <c r="AA34" i="21" s="1"/>
  <c r="H34" i="21"/>
  <c r="U34" i="21" s="1"/>
  <c r="F43" i="21"/>
  <c r="S43" i="21" s="1"/>
  <c r="H38" i="21"/>
  <c r="AB38" i="21" s="1"/>
  <c r="H43" i="21"/>
  <c r="F32" i="21"/>
  <c r="F38" i="21"/>
  <c r="S38" i="21"/>
  <c r="F36" i="21"/>
  <c r="S36" i="21"/>
  <c r="F39" i="21"/>
  <c r="AA39" i="21"/>
  <c r="J40" i="21"/>
  <c r="W40" i="21"/>
  <c r="H35" i="21"/>
  <c r="AB35" i="21"/>
  <c r="J8" i="21"/>
  <c r="AC8" i="21"/>
  <c r="H8" i="21"/>
  <c r="H9" i="21"/>
  <c r="H10" i="21"/>
  <c r="U10" i="21" s="1"/>
  <c r="H39" i="21"/>
  <c r="AB39" i="21" s="1"/>
  <c r="J34" i="21"/>
  <c r="W34" i="21" s="1"/>
  <c r="H36" i="21"/>
  <c r="U36" i="21" s="1"/>
  <c r="F35" i="21"/>
  <c r="AA35" i="21" s="1"/>
  <c r="J33" i="21"/>
  <c r="H33" i="21"/>
  <c r="U33" i="21" s="1"/>
  <c r="F33" i="21"/>
  <c r="J10" i="21"/>
  <c r="AC10" i="21"/>
  <c r="H26" i="21"/>
  <c r="F19" i="2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2" i="36"/>
  <c r="AC31" i="36"/>
  <c r="J33" i="36"/>
  <c r="W33" i="36"/>
  <c r="AC27" i="35"/>
  <c r="U31" i="35"/>
  <c r="W36" i="35"/>
  <c r="S31" i="35"/>
  <c r="W31" i="35"/>
  <c r="F36" i="34"/>
  <c r="S36" i="34"/>
  <c r="W9" i="34"/>
  <c r="S34" i="34"/>
  <c r="H39" i="33"/>
  <c r="AB39" i="33" s="1"/>
  <c r="F26" i="33"/>
  <c r="AA26" i="33" s="1"/>
  <c r="U33" i="33"/>
  <c r="W38" i="33"/>
  <c r="S40" i="33"/>
  <c r="S33" i="33"/>
  <c r="W33" i="33"/>
  <c r="U38" i="33"/>
  <c r="W8" i="21"/>
  <c r="H39" i="37"/>
  <c r="AB39" i="37"/>
  <c r="AB27" i="35"/>
  <c r="S10" i="40"/>
  <c r="W10" i="40"/>
  <c r="S11" i="40"/>
  <c r="U11" i="40"/>
  <c r="S36" i="40"/>
  <c r="U36" i="40"/>
  <c r="S36" i="39"/>
  <c r="F11" i="21"/>
  <c r="S11" i="21" s="1"/>
  <c r="AC40" i="21"/>
  <c r="AA38" i="21"/>
  <c r="AB36" i="21"/>
  <c r="C29" i="39"/>
  <c r="U36" i="39"/>
  <c r="S42" i="39"/>
  <c r="H32" i="33"/>
  <c r="AB32" i="33" s="1"/>
  <c r="H11" i="21"/>
  <c r="U11" i="21" s="1"/>
  <c r="J11" i="21"/>
  <c r="W11" i="21" s="1"/>
  <c r="F100" i="40"/>
  <c r="F86" i="40"/>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BL13" i="3"/>
  <c r="J14" i="21"/>
  <c r="F14" i="21"/>
  <c r="AA14" i="21" s="1"/>
  <c r="H14" i="21"/>
  <c r="H28" i="21"/>
  <c r="F28" i="21"/>
  <c r="S28" i="21" s="1"/>
  <c r="J28" i="21"/>
  <c r="AC28" i="21"/>
  <c r="H30" i="21"/>
  <c r="U30" i="21"/>
  <c r="F30" i="21"/>
  <c r="S30" i="21"/>
  <c r="J30" i="21"/>
  <c r="J44" i="21"/>
  <c r="AC44" i="21" s="1"/>
  <c r="H44" i="21"/>
  <c r="U44" i="21" s="1"/>
  <c r="F44" i="21"/>
  <c r="AA44" i="21" s="1"/>
  <c r="H46" i="21"/>
  <c r="J46" i="21"/>
  <c r="W46" i="21" s="1"/>
  <c r="F46" i="21"/>
  <c r="AA46" i="21" s="1"/>
  <c r="H26" i="33"/>
  <c r="U26" i="33" s="1"/>
  <c r="H28" i="33"/>
  <c r="AA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F40" i="37"/>
  <c r="AA40" i="37"/>
  <c r="U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U30" i="33"/>
  <c r="J36" i="37"/>
  <c r="AC36" i="37" s="1"/>
  <c r="G105" i="37"/>
  <c r="AB28" i="36"/>
  <c r="AB31" i="21"/>
  <c r="S46" i="21"/>
  <c r="AC30" i="21"/>
  <c r="W30" i="21"/>
  <c r="AB30" i="21"/>
  <c r="AA28" i="21"/>
  <c r="W14" i="21"/>
  <c r="AC14" i="21"/>
  <c r="W42" i="21"/>
  <c r="S46" i="33"/>
  <c r="U36" i="37"/>
  <c r="AC13" i="36"/>
  <c r="AB45" i="33"/>
  <c r="AB31" i="33"/>
  <c r="AB27" i="33"/>
  <c r="AB44"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A13" i="33"/>
  <c r="AC45" i="33"/>
  <c r="U19"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AZ540" i="3"/>
  <c r="G483" i="3"/>
  <c r="G515" i="3"/>
  <c r="G507" i="3"/>
  <c r="G501"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c r="AC5" i="3"/>
  <c r="F17" i="21"/>
  <c r="S17" i="21"/>
  <c r="H17" i="21"/>
  <c r="AB17" i="21"/>
  <c r="J17" i="21"/>
  <c r="AC17" i="21"/>
  <c r="H37" i="21"/>
  <c r="U37" i="2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34" i="39"/>
  <c r="AA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5" i="6" s="1"/>
  <c r="D21" i="12" s="1"/>
  <c r="C21" i="12"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c r="H16" i="39"/>
  <c r="U16" i="39"/>
  <c r="J16" i="39"/>
  <c r="AC16" i="39"/>
  <c r="F23" i="39"/>
  <c r="AA23" i="39" s="1"/>
  <c r="E97" i="39"/>
  <c r="F27" i="39"/>
  <c r="AA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2" i="9"/>
  <c r="W35" i="40"/>
  <c r="AB32" i="40"/>
  <c r="AB25" i="39"/>
  <c r="U37" i="34"/>
  <c r="AC41" i="40"/>
  <c r="W41" i="40"/>
  <c r="U41" i="40"/>
  <c r="J23" i="40"/>
  <c r="AC23" i="40"/>
  <c r="F23" i="40"/>
  <c r="S23" i="40" s="1"/>
  <c r="AC15" i="40"/>
  <c r="AB16"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AB21" i="39"/>
  <c r="U21"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W29" i="35"/>
  <c r="AC39" i="39"/>
  <c r="W39" i="39"/>
  <c r="AA39" i="39"/>
  <c r="S39" i="39"/>
  <c r="AB46" i="39"/>
  <c r="AB44" i="39"/>
  <c r="AC33" i="39"/>
  <c r="AA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W15" i="34"/>
  <c r="AC15" i="34"/>
  <c r="U20" i="35"/>
  <c r="AB20" i="35"/>
  <c r="W23" i="40"/>
  <c r="D73" i="9"/>
  <c r="N73" i="9" s="1"/>
  <c r="B11" i="1"/>
  <c r="E11" i="1"/>
  <c r="K11" i="1"/>
  <c r="M11" i="1" s="1"/>
  <c r="O11" i="1" s="1"/>
  <c r="B9" i="1"/>
  <c r="E9" i="1"/>
  <c r="K9" i="1"/>
  <c r="M9" i="1" s="1"/>
  <c r="B7" i="1"/>
  <c r="E7" i="1"/>
  <c r="K7" i="1"/>
  <c r="M7" i="1" s="1"/>
  <c r="C20" i="43"/>
  <c r="F6" i="1"/>
  <c r="AP6" i="1" s="1"/>
  <c r="M22" i="44"/>
  <c r="F32" i="15"/>
  <c r="F59" i="15" s="1"/>
  <c r="F29" i="12"/>
  <c r="F70" i="9"/>
  <c r="D86" i="9"/>
  <c r="M20" i="44"/>
  <c r="F31" i="43"/>
  <c r="F30" i="44"/>
  <c r="C30" i="44"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W10" i="33"/>
  <c r="AC21" i="33"/>
  <c r="W21"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A21" i="39"/>
  <c r="AC38" i="39"/>
  <c r="AB15" i="39"/>
  <c r="U11" i="39"/>
  <c r="U41" i="39"/>
  <c r="AB38" i="39"/>
  <c r="U31" i="39"/>
  <c r="AB31" i="39"/>
  <c r="S38" i="39"/>
  <c r="S22" i="31"/>
  <c r="D18" i="9"/>
  <c r="M44" i="9" s="1"/>
  <c r="M20" i="15"/>
  <c r="D96" i="9"/>
  <c r="F28" i="15"/>
  <c r="C28" i="15" s="1"/>
  <c r="M18" i="15"/>
  <c r="A18" i="64"/>
  <c r="B74" i="63" s="1"/>
  <c r="C53" i="10"/>
  <c r="A25" i="64" s="1"/>
  <c r="A18" i="51"/>
  <c r="B14" i="63" s="1"/>
  <c r="BA16" i="3"/>
  <c r="BA17" i="3"/>
  <c r="AZ17" i="3"/>
  <c r="F3" i="35"/>
  <c r="K1" i="43"/>
  <c r="K1" i="12"/>
  <c r="G1" i="44"/>
  <c r="G3" i="46"/>
  <c r="H22" i="46" s="1"/>
  <c r="AZ15" i="3"/>
  <c r="BK5" i="3"/>
  <c r="BO5" i="3"/>
  <c r="BP5" i="3"/>
  <c r="BN5" i="3"/>
  <c r="BL18" i="3"/>
  <c r="AZ18" i="3"/>
  <c r="BC5" i="3"/>
  <c r="E8" i="6" s="1"/>
  <c r="BD5" i="3"/>
  <c r="BR5" i="3"/>
  <c r="G28" i="6" s="1"/>
  <c r="BS5" i="3"/>
  <c r="BQ5" i="3"/>
  <c r="BL16" i="3"/>
  <c r="BL5" i="3" s="1"/>
  <c r="BM5" i="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s="1"/>
  <c r="B6" i="63"/>
  <c r="L5" i="54"/>
  <c r="B39" i="63" s="1"/>
  <c r="K5" i="54"/>
  <c r="B38" i="63" s="1"/>
  <c r="T41" i="4"/>
  <c r="A17" i="64" s="1"/>
  <c r="B46" i="50"/>
  <c r="B4" i="63" s="1"/>
  <c r="C46" i="36"/>
  <c r="D46" i="36" s="1"/>
  <c r="E46" i="36" s="1"/>
  <c r="F46" i="36" s="1"/>
  <c r="G46" i="36" s="1"/>
  <c r="H46" i="36" s="1"/>
  <c r="C52" i="37"/>
  <c r="D52" i="37"/>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J31" i="39"/>
  <c r="W31" i="39" s="1"/>
  <c r="W41" i="39"/>
  <c r="AB43" i="39"/>
  <c r="AB33" i="39"/>
  <c r="AC46" i="39"/>
  <c r="S34" i="39"/>
  <c r="W42" i="39"/>
  <c r="W36" i="39"/>
  <c r="AC37" i="39"/>
  <c r="U14" i="39"/>
  <c r="W16" i="39"/>
  <c r="S15" i="39"/>
  <c r="S41" i="39"/>
  <c r="AA44" i="39"/>
  <c r="AA46" i="39"/>
  <c r="W10" i="39"/>
  <c r="W11" i="39"/>
  <c r="U42" i="39"/>
  <c r="S32" i="40"/>
  <c r="C27" i="39"/>
  <c r="C17" i="40"/>
  <c r="C19" i="40"/>
  <c r="C17" i="39"/>
  <c r="C19" i="39"/>
  <c r="C21" i="39"/>
  <c r="C23" i="40"/>
  <c r="B51" i="46"/>
  <c r="B55" i="46"/>
  <c r="B62" i="46"/>
  <c r="B66"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G29" i="6"/>
  <c r="E29" i="6" s="1"/>
  <c r="K15" i="1" s="1"/>
  <c r="AZ16" i="3"/>
  <c r="A9" i="64"/>
  <c r="A9" i="51"/>
  <c r="B9" i="63" s="1"/>
  <c r="A3" i="55"/>
  <c r="B56" i="63" s="1"/>
  <c r="E4" i="4"/>
  <c r="B21" i="55" s="1"/>
  <c r="B72" i="63" s="1"/>
  <c r="C4" i="4"/>
  <c r="G66" i="36"/>
  <c r="J18" i="36"/>
  <c r="AE8" i="1"/>
  <c r="AE6" i="1"/>
  <c r="W18" i="36"/>
  <c r="AC18" i="36"/>
  <c r="AG6" i="1"/>
  <c r="L20" i="6"/>
  <c r="B20" i="55"/>
  <c r="B70" i="63"/>
  <c r="S8" i="1"/>
  <c r="S9" i="1"/>
  <c r="R9" i="1"/>
  <c r="R8" i="1"/>
  <c r="C45" i="9"/>
  <c r="H14" i="66"/>
  <c r="B7" i="66" s="1"/>
  <c r="C44" i="9"/>
  <c r="G14" i="66" s="1"/>
  <c r="B6" i="66" s="1"/>
  <c r="O40" i="9"/>
  <c r="K31" i="9" s="1"/>
  <c r="K32" i="9" s="1"/>
  <c r="O39" i="9"/>
  <c r="K29" i="9"/>
  <c r="K30" i="9"/>
  <c r="R6" i="54"/>
  <c r="B50" i="63" s="1"/>
  <c r="N76" i="9"/>
  <c r="C46" i="9"/>
  <c r="K33" i="9"/>
  <c r="K34" i="9" s="1"/>
  <c r="O41" i="9"/>
  <c r="I14" i="66"/>
  <c r="B8" i="66" s="1"/>
  <c r="R8" i="54"/>
  <c r="B54" i="63" s="1"/>
  <c r="A25" i="51"/>
  <c r="B18" i="63" s="1"/>
  <c r="D58" i="21"/>
  <c r="E58" i="21" s="1"/>
  <c r="F58" i="21" s="1"/>
  <c r="D70" i="39"/>
  <c r="E70" i="39" s="1"/>
  <c r="D58" i="33"/>
  <c r="E58" i="33" s="1"/>
  <c r="H58" i="46"/>
  <c r="J17" i="46"/>
  <c r="C17" i="46"/>
  <c r="F34" i="46"/>
  <c r="F38" i="46"/>
  <c r="F37" i="46"/>
  <c r="H113" i="46"/>
  <c r="H49" i="46"/>
  <c r="H53" i="46"/>
  <c r="D10" i="59"/>
  <c r="C9" i="59"/>
  <c r="D9" i="59"/>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25" i="12"/>
  <c r="C27" i="43"/>
  <c r="C31" i="43"/>
  <c r="H51" i="46"/>
  <c r="X7" i="46"/>
  <c r="E17" i="46"/>
  <c r="N17" i="46"/>
  <c r="O17" i="46"/>
  <c r="M17" i="46"/>
  <c r="L17" i="46"/>
  <c r="G22" i="46"/>
  <c r="E28" i="6"/>
  <c r="E52" i="37"/>
  <c r="F52" i="37" s="1"/>
  <c r="G52" i="37" s="1"/>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8" i="59"/>
  <c r="C7" i="59"/>
  <c r="P21" i="46"/>
  <c r="B8" i="59"/>
  <c r="B7" i="59"/>
  <c r="S7" i="59" s="1"/>
  <c r="D8" i="59"/>
  <c r="P22" i="46"/>
  <c r="P23" i="46"/>
  <c r="P25" i="46"/>
  <c r="B73" i="39"/>
  <c r="P24" i="46"/>
  <c r="B68" i="40"/>
  <c r="D72" i="39"/>
  <c r="D7" i="59"/>
  <c r="K14" i="1"/>
  <c r="M14" i="1" s="1"/>
  <c r="E30" i="6"/>
  <c r="C7" i="46"/>
  <c r="G20" i="46"/>
  <c r="E41" i="46" s="1"/>
  <c r="C41" i="46" s="1"/>
  <c r="M26" i="15"/>
  <c r="L49" i="44"/>
  <c r="F42" i="15"/>
  <c r="F37" i="15"/>
  <c r="F11" i="67"/>
  <c r="N6" i="65"/>
  <c r="F40" i="15"/>
  <c r="M8" i="44"/>
  <c r="F36" i="15"/>
  <c r="E14" i="67"/>
  <c r="M28" i="44"/>
  <c r="M11" i="44"/>
  <c r="L48" i="15"/>
  <c r="F46" i="44"/>
  <c r="E11" i="67"/>
  <c r="M24" i="15"/>
  <c r="N5" i="65"/>
  <c r="M28" i="15"/>
  <c r="M6" i="15"/>
  <c r="J36" i="15"/>
  <c r="F18" i="44"/>
  <c r="F39" i="44"/>
  <c r="B13" i="67"/>
  <c r="M22" i="15"/>
  <c r="L47" i="15"/>
  <c r="F9" i="44"/>
  <c r="M31" i="44"/>
  <c r="F6" i="15"/>
  <c r="F45" i="44"/>
  <c r="M23" i="44"/>
  <c r="F8" i="15"/>
  <c r="M8" i="15"/>
  <c r="L48" i="44"/>
  <c r="F40" i="44"/>
  <c r="F9" i="15"/>
  <c r="E13" i="67"/>
  <c r="M9" i="15"/>
  <c r="M27" i="15"/>
  <c r="F13" i="67"/>
  <c r="N7" i="65"/>
  <c r="F38" i="44"/>
  <c r="M25" i="44"/>
  <c r="F14" i="67"/>
  <c r="B11" i="67"/>
  <c r="F37" i="44"/>
  <c r="F26" i="15"/>
  <c r="C19" i="44"/>
  <c r="M29" i="15"/>
  <c r="F11" i="44"/>
  <c r="F8" i="67"/>
  <c r="B8" i="67"/>
  <c r="F38" i="15"/>
  <c r="F7" i="15"/>
  <c r="F16" i="15"/>
  <c r="F13" i="15"/>
  <c r="M26" i="44"/>
  <c r="F28" i="44"/>
  <c r="M30" i="44"/>
  <c r="M24" i="44"/>
  <c r="E12" i="67"/>
  <c r="E9" i="67"/>
  <c r="E10" i="67"/>
  <c r="M23" i="15"/>
  <c r="F43" i="44"/>
  <c r="N4" i="65"/>
  <c r="F9" i="67"/>
  <c r="F43" i="15"/>
  <c r="F12" i="67"/>
  <c r="F10" i="44"/>
  <c r="F15" i="44"/>
  <c r="J17" i="44"/>
  <c r="J15" i="15"/>
  <c r="M29" i="44"/>
  <c r="F10" i="67"/>
  <c r="E8" i="67"/>
  <c r="B9" i="67"/>
  <c r="N3" i="65"/>
  <c r="B10" i="67"/>
  <c r="B14" i="67"/>
  <c r="M10" i="44"/>
  <c r="F8" i="44"/>
  <c r="B12" i="67"/>
  <c r="L16" i="4" l="1"/>
  <c r="N16" i="4"/>
  <c r="K17" i="4" s="1"/>
  <c r="A22" i="51" s="1"/>
  <c r="B16" i="63" s="1"/>
  <c r="AB17" i="39"/>
  <c r="S17" i="39"/>
  <c r="G26" i="12"/>
  <c r="AZ13" i="3"/>
  <c r="BA5" i="3"/>
  <c r="E27" i="6" s="1"/>
  <c r="AD11" i="46"/>
  <c r="AD13" i="46" s="1"/>
  <c r="W40" i="39"/>
  <c r="L27" i="6"/>
  <c r="D26" i="44"/>
  <c r="S45" i="39"/>
  <c r="AA45" i="39"/>
  <c r="AA47" i="39"/>
  <c r="S47" i="39"/>
  <c r="J47" i="39"/>
  <c r="H47" i="39"/>
  <c r="J45" i="39"/>
  <c r="H45" i="39"/>
  <c r="AA37" i="39"/>
  <c r="C15" i="12"/>
  <c r="AC31" i="39"/>
  <c r="S25" i="39"/>
  <c r="W25" i="39"/>
  <c r="AC21" i="39"/>
  <c r="F83" i="39"/>
  <c r="G83" i="39" s="1"/>
  <c r="H83" i="39" s="1"/>
  <c r="I83" i="39" s="1"/>
  <c r="J83" i="39" s="1"/>
  <c r="K83" i="39" s="1"/>
  <c r="L83" i="39" s="1"/>
  <c r="M83" i="39" s="1"/>
  <c r="F13" i="39"/>
  <c r="S13" i="39" s="1"/>
  <c r="G6" i="1"/>
  <c r="G12" i="1"/>
  <c r="C15" i="43"/>
  <c r="J29" i="39"/>
  <c r="AC29" i="39" s="1"/>
  <c r="H29" i="39"/>
  <c r="F29" i="39"/>
  <c r="AA29" i="39" s="1"/>
  <c r="W29" i="39"/>
  <c r="S29" i="39"/>
  <c r="H27" i="39"/>
  <c r="W27" i="39"/>
  <c r="S27" i="39"/>
  <c r="W23" i="39"/>
  <c r="U23" i="39"/>
  <c r="S23" i="39"/>
  <c r="H19" i="39"/>
  <c r="AC19" i="39"/>
  <c r="AA19" i="39"/>
  <c r="AC17" i="39"/>
  <c r="B64" i="46"/>
  <c r="B59" i="46"/>
  <c r="B53" i="46"/>
  <c r="B48" i="46"/>
  <c r="J13" i="39"/>
  <c r="H13" i="39"/>
  <c r="AB13" i="39" s="1"/>
  <c r="H34" i="39"/>
  <c r="AB34" i="39" s="1"/>
  <c r="W34" i="39"/>
  <c r="U34" i="39"/>
  <c r="C92" i="9"/>
  <c r="E11" i="52"/>
  <c r="G23" i="43"/>
  <c r="D24" i="44"/>
  <c r="G28" i="12"/>
  <c r="D23" i="15"/>
  <c r="G21" i="43"/>
  <c r="G27" i="12"/>
  <c r="G22" i="43"/>
  <c r="B16" i="52"/>
  <c r="E5" i="52"/>
  <c r="E21" i="52"/>
  <c r="E8" i="52"/>
  <c r="B11" i="52"/>
  <c r="E7" i="52"/>
  <c r="AF11" i="46"/>
  <c r="AF13" i="46" s="1"/>
  <c r="F22" i="46"/>
  <c r="E10" i="6"/>
  <c r="E14" i="6"/>
  <c r="E53" i="40"/>
  <c r="E58" i="39"/>
  <c r="F27" i="6"/>
  <c r="F31" i="6" s="1"/>
  <c r="G30" i="6"/>
  <c r="G31" i="6" s="1"/>
  <c r="E13" i="6"/>
  <c r="E60" i="40" s="1"/>
  <c r="P11" i="1"/>
  <c r="E15" i="6"/>
  <c r="E62" i="40" s="1"/>
  <c r="S3" i="46"/>
  <c r="E22" i="46"/>
  <c r="J101" i="46"/>
  <c r="I101" i="46"/>
  <c r="I105" i="46" s="1"/>
  <c r="O9" i="1"/>
  <c r="P9" i="1" s="1"/>
  <c r="O7" i="1"/>
  <c r="P7" i="1" s="1"/>
  <c r="D12" i="11"/>
  <c r="C12" i="11" s="1"/>
  <c r="O14" i="1"/>
  <c r="P14" i="1" s="1"/>
  <c r="S6" i="46"/>
  <c r="S5" i="46"/>
  <c r="AB11" i="46"/>
  <c r="AB13" i="46" s="1"/>
  <c r="AA11" i="46"/>
  <c r="AA13" i="46" s="1"/>
  <c r="Z7" i="46"/>
  <c r="N104" i="45"/>
  <c r="N101" i="46"/>
  <c r="N103" i="46" s="1"/>
  <c r="E11" i="6"/>
  <c r="E12" i="6"/>
  <c r="F101" i="46"/>
  <c r="F106" i="46" s="1"/>
  <c r="Y11" i="46"/>
  <c r="Y13" i="46" s="1"/>
  <c r="S4" i="46"/>
  <c r="S7" i="46"/>
  <c r="S2" i="46"/>
  <c r="J105" i="46"/>
  <c r="C23" i="46"/>
  <c r="C21" i="46" s="1"/>
  <c r="N109" i="46"/>
  <c r="AE11" i="46"/>
  <c r="AE13" i="46" s="1"/>
  <c r="AI11" i="46"/>
  <c r="AI13" i="46" s="1"/>
  <c r="AH11" i="46"/>
  <c r="AH13" i="46" s="1"/>
  <c r="Z11" i="46"/>
  <c r="Z13" i="46" s="1"/>
  <c r="AG11" i="46"/>
  <c r="AG13" i="46" s="1"/>
  <c r="K101" i="46"/>
  <c r="E101" i="46"/>
  <c r="L101" i="46"/>
  <c r="B113" i="46"/>
  <c r="G101" i="46"/>
  <c r="C101" i="46"/>
  <c r="AJ11" i="46"/>
  <c r="AJ13" i="46" s="1"/>
  <c r="AC11" i="46"/>
  <c r="AC13" i="46" s="1"/>
  <c r="M101" i="46"/>
  <c r="M104" i="46" s="1"/>
  <c r="D101" i="46"/>
  <c r="D106" i="46" s="1"/>
  <c r="J22" i="46"/>
  <c r="H101" i="46"/>
  <c r="H105" i="46" s="1"/>
  <c r="B13" i="52"/>
  <c r="B5" i="52"/>
  <c r="E13" i="52"/>
  <c r="E9" i="52"/>
  <c r="B22" i="52"/>
  <c r="E4" i="52"/>
  <c r="G8" i="1"/>
  <c r="G7" i="1"/>
  <c r="G11" i="1"/>
  <c r="F70" i="39"/>
  <c r="E72" i="39"/>
  <c r="C67" i="40"/>
  <c r="D65" i="40"/>
  <c r="G13" i="1"/>
  <c r="H1" i="65"/>
  <c r="G10" i="1"/>
  <c r="S14" i="39"/>
  <c r="W14" i="39"/>
  <c r="S40" i="39"/>
  <c r="U40" i="39"/>
  <c r="E10" i="52"/>
  <c r="B8" i="52"/>
  <c r="B9" i="52"/>
  <c r="E16" i="52"/>
  <c r="B14" i="52"/>
  <c r="E15" i="52"/>
  <c r="E17" i="52"/>
  <c r="B4" i="52"/>
  <c r="B10" i="52"/>
  <c r="E22" i="52"/>
  <c r="B7" i="52"/>
  <c r="E6" i="52"/>
  <c r="B6" i="52"/>
  <c r="E14" i="52"/>
  <c r="C8" i="44"/>
  <c r="F70" i="15"/>
  <c r="C27" i="15"/>
  <c r="Q72" i="15"/>
  <c r="M9" i="44"/>
  <c r="J8" i="44" s="1"/>
  <c r="J22" i="44"/>
  <c r="C36" i="44"/>
  <c r="L58" i="15"/>
  <c r="L59" i="15"/>
  <c r="F64" i="15"/>
  <c r="F63" i="15"/>
  <c r="L59" i="44"/>
  <c r="L60" i="44"/>
  <c r="C4" i="65"/>
  <c r="B39" i="1" s="1"/>
  <c r="I54" i="15"/>
  <c r="L56" i="15"/>
  <c r="J57" i="15"/>
  <c r="J55" i="15" s="1"/>
  <c r="J58" i="15" s="1"/>
  <c r="Q51" i="15" s="1"/>
  <c r="J53" i="15"/>
  <c r="M7" i="15"/>
  <c r="F49" i="15"/>
  <c r="Q73" i="44"/>
  <c r="C6" i="15"/>
  <c r="F65" i="15"/>
  <c r="J60" i="44"/>
  <c r="I55" i="44"/>
  <c r="J61" i="44"/>
  <c r="Q50" i="44" s="1"/>
  <c r="J54" i="44"/>
  <c r="J58" i="44"/>
  <c r="J56" i="44" s="1"/>
  <c r="J59" i="44" s="1"/>
  <c r="Q52" i="44" s="1"/>
  <c r="L57" i="44"/>
  <c r="C29" i="44"/>
  <c r="F67" i="15"/>
  <c r="F50" i="15"/>
  <c r="H52" i="37"/>
  <c r="I52" i="37" s="1"/>
  <c r="J52" i="37" s="1"/>
  <c r="K52" i="37" s="1"/>
  <c r="L52" i="37" s="1"/>
  <c r="M52" i="37" s="1"/>
  <c r="N52" i="37" s="1"/>
  <c r="O52" i="37" s="1"/>
  <c r="D5" i="46"/>
  <c r="C5" i="46"/>
  <c r="I46" i="36"/>
  <c r="J46" i="36" s="1"/>
  <c r="K46" i="36" s="1"/>
  <c r="L46" i="36" s="1"/>
  <c r="M46" i="36" s="1"/>
  <c r="N46" i="36" s="1"/>
  <c r="O46" i="36" s="1"/>
  <c r="I48" i="35"/>
  <c r="J48" i="35" s="1"/>
  <c r="K48" i="35" s="1"/>
  <c r="L48" i="35" s="1"/>
  <c r="M48" i="35" s="1"/>
  <c r="N48" i="35" s="1"/>
  <c r="O48" i="35" s="1"/>
  <c r="J7" i="35"/>
  <c r="F7" i="34"/>
  <c r="H59" i="34"/>
  <c r="I59" i="34" s="1"/>
  <c r="J59" i="34" s="1"/>
  <c r="K59" i="34" s="1"/>
  <c r="L59" i="34" s="1"/>
  <c r="M59" i="34" s="1"/>
  <c r="N59" i="34" s="1"/>
  <c r="O59" i="34" s="1"/>
  <c r="H7" i="34"/>
  <c r="G58" i="21"/>
  <c r="J7" i="36"/>
  <c r="B6" i="59"/>
  <c r="B5" i="59" s="1"/>
  <c r="T7" i="59"/>
  <c r="C6" i="59"/>
  <c r="F6" i="59"/>
  <c r="F5" i="59" s="1"/>
  <c r="V7" i="59"/>
  <c r="F58" i="33"/>
  <c r="U25" i="33"/>
  <c r="S33" i="40"/>
  <c r="AC14" i="40"/>
  <c r="F71" i="9"/>
  <c r="F66" i="9"/>
  <c r="P72" i="9" s="1"/>
  <c r="AZ352" i="3"/>
  <c r="AZ304" i="3"/>
  <c r="AZ323" i="3"/>
  <c r="W41" i="34"/>
  <c r="AC41" i="34"/>
  <c r="AZ520" i="3"/>
  <c r="AZ544" i="3"/>
  <c r="AZ558" i="3"/>
  <c r="AZ562" i="3"/>
  <c r="AA38" i="37"/>
  <c r="AC31" i="34"/>
  <c r="W31" i="34"/>
  <c r="U40" i="37"/>
  <c r="AB40" i="37"/>
  <c r="S27" i="33"/>
  <c r="AA27" i="33"/>
  <c r="U13" i="21"/>
  <c r="AB13" i="21"/>
  <c r="U14" i="21"/>
  <c r="AB14" i="21"/>
  <c r="AA19" i="21"/>
  <c r="S19" i="21"/>
  <c r="W33" i="21"/>
  <c r="AC33" i="21"/>
  <c r="AB9" i="21"/>
  <c r="U9" i="21"/>
  <c r="AB43" i="21"/>
  <c r="U43" i="21"/>
  <c r="N69" i="9"/>
  <c r="R7" i="54"/>
  <c r="B52" i="63" s="1"/>
  <c r="AA10" i="35"/>
  <c r="S10" i="35"/>
  <c r="AZ492" i="3"/>
  <c r="AZ493" i="3"/>
  <c r="AA27" i="37"/>
  <c r="S27" i="37"/>
  <c r="AC35" i="35"/>
  <c r="W35" i="35"/>
  <c r="AC46" i="33"/>
  <c r="W46" i="33"/>
  <c r="AA45" i="21"/>
  <c r="S45" i="21"/>
  <c r="AB46" i="21"/>
  <c r="U46" i="21"/>
  <c r="AB28" i="21"/>
  <c r="U28" i="21"/>
  <c r="W37" i="33"/>
  <c r="AC37" i="33"/>
  <c r="AA22" i="35"/>
  <c r="S22" i="35"/>
  <c r="AC9" i="33"/>
  <c r="W9" i="33"/>
  <c r="AC24" i="35"/>
  <c r="W24" i="35"/>
  <c r="J14" i="33"/>
  <c r="F14" i="33"/>
  <c r="J28" i="33"/>
  <c r="AB8" i="36"/>
  <c r="C23" i="39"/>
  <c r="AC35" i="21"/>
  <c r="S8" i="21"/>
  <c r="W39" i="34"/>
  <c r="U26" i="36"/>
  <c r="W23" i="36"/>
  <c r="J9" i="21"/>
  <c r="G570" i="3"/>
  <c r="F9" i="33"/>
  <c r="H9" i="33"/>
  <c r="F12" i="33"/>
  <c r="H12" i="33"/>
  <c r="F34" i="35"/>
  <c r="H34" i="35"/>
  <c r="G540" i="3"/>
  <c r="G516" i="3"/>
  <c r="G504" i="3"/>
  <c r="G496" i="3"/>
  <c r="AZ392" i="3"/>
  <c r="AZ397" i="3"/>
  <c r="O8" i="1"/>
  <c r="AZ402" i="3"/>
  <c r="A30" i="64"/>
  <c r="A30" i="51"/>
  <c r="B22" i="63" s="1"/>
  <c r="A2" i="55"/>
  <c r="B55" i="63" s="1"/>
  <c r="AZ409" i="3"/>
  <c r="AZ429" i="3"/>
  <c r="AZ435" i="3"/>
  <c r="AZ448" i="3"/>
  <c r="AZ453" i="3"/>
  <c r="AZ460" i="3"/>
  <c r="AZ464" i="3"/>
  <c r="AZ476" i="3"/>
  <c r="AZ480" i="3"/>
  <c r="AZ368" i="3"/>
  <c r="AZ384" i="3"/>
  <c r="AZ386" i="3"/>
  <c r="AZ214" i="3"/>
  <c r="AZ218" i="3"/>
  <c r="AZ230" i="3"/>
  <c r="AZ234" i="3"/>
  <c r="AZ246" i="3"/>
  <c r="AZ250" i="3"/>
  <c r="AZ267" i="3"/>
  <c r="AZ271" i="3"/>
  <c r="AZ283" i="3"/>
  <c r="AZ287" i="3"/>
  <c r="AZ156" i="3"/>
  <c r="AZ159" i="3"/>
  <c r="AZ172" i="3"/>
  <c r="AZ175" i="3"/>
  <c r="AZ202" i="3"/>
  <c r="AZ21" i="3"/>
  <c r="AZ5" i="3" s="1"/>
  <c r="AZ28" i="3"/>
  <c r="AZ34" i="3"/>
  <c r="AZ37" i="3"/>
  <c r="AZ44" i="3"/>
  <c r="AZ50" i="3"/>
  <c r="AZ53" i="3"/>
  <c r="AZ65" i="3"/>
  <c r="AZ68" i="3"/>
  <c r="AZ75" i="3"/>
  <c r="AZ81" i="3"/>
  <c r="AZ85" i="3"/>
  <c r="AZ88" i="3"/>
  <c r="AZ95" i="3"/>
  <c r="AZ101" i="3"/>
  <c r="AZ104" i="3"/>
  <c r="AZ111" i="3"/>
  <c r="AZ57" i="3"/>
  <c r="AZ60" i="3"/>
  <c r="K13" i="1"/>
  <c r="M13" i="1" s="1"/>
  <c r="K12" i="1"/>
  <c r="D1" i="57"/>
  <c r="E10" i="57" s="1"/>
  <c r="C19" i="59"/>
  <c r="D18" i="59"/>
  <c r="D21" i="59"/>
  <c r="C22" i="59"/>
  <c r="C27" i="59"/>
  <c r="D26" i="59"/>
  <c r="T51" i="59"/>
  <c r="D51" i="59"/>
  <c r="T43" i="59"/>
  <c r="D43" i="59"/>
  <c r="T39" i="59"/>
  <c r="D39" i="59"/>
  <c r="C30" i="59"/>
  <c r="D29" i="59"/>
  <c r="AB5" i="59"/>
  <c r="AB10" i="59"/>
  <c r="AB16" i="59"/>
  <c r="N55" i="59"/>
  <c r="B54" i="59"/>
  <c r="Y24" i="59"/>
  <c r="Z24" i="59" s="1"/>
  <c r="AB21" i="59"/>
  <c r="Y20" i="59"/>
  <c r="Z20" i="59" s="1"/>
  <c r="AA18" i="59"/>
  <c r="X17" i="59"/>
  <c r="Y16" i="59"/>
  <c r="Z16" i="59" s="1"/>
  <c r="U15" i="59"/>
  <c r="E14" i="59"/>
  <c r="E13" i="59" s="1"/>
  <c r="Y11" i="59"/>
  <c r="Z11" i="59" s="1"/>
  <c r="AB11" i="59"/>
  <c r="X10" i="59"/>
  <c r="S21" i="21"/>
  <c r="S21" i="37"/>
  <c r="O52" i="59"/>
  <c r="C62" i="59"/>
  <c r="D33" i="59"/>
  <c r="AB13" i="59"/>
  <c r="AB3" i="59"/>
  <c r="AA15" i="59"/>
  <c r="AA13" i="59"/>
  <c r="AA3" i="59"/>
  <c r="X14" i="59"/>
  <c r="X12" i="59"/>
  <c r="X16" i="59"/>
  <c r="Y5" i="59"/>
  <c r="Z5" i="59" s="1"/>
  <c r="Y10" i="59"/>
  <c r="Z10" i="59" s="1"/>
  <c r="F17" i="59"/>
  <c r="F18" i="59" s="1"/>
  <c r="F19" i="59" s="1"/>
  <c r="V19" i="59" s="1"/>
  <c r="AA17" i="59"/>
  <c r="X18" i="59"/>
  <c r="AA19" i="59"/>
  <c r="B21" i="59"/>
  <c r="B22" i="59" s="1"/>
  <c r="B23" i="59" s="1"/>
  <c r="S23" i="59" s="1"/>
  <c r="AB20" i="59"/>
  <c r="Y21" i="59"/>
  <c r="Z21" i="59" s="1"/>
  <c r="AB22" i="59"/>
  <c r="Y23" i="59"/>
  <c r="Z23" i="59" s="1"/>
  <c r="X24" i="59"/>
  <c r="E25" i="59"/>
  <c r="E26" i="59" s="1"/>
  <c r="E27" i="59" s="1"/>
  <c r="U27" i="59" s="1"/>
  <c r="F25" i="59"/>
  <c r="F26" i="59" s="1"/>
  <c r="F27" i="59" s="1"/>
  <c r="V27" i="59" s="1"/>
  <c r="X25" i="59"/>
  <c r="AA25" i="59"/>
  <c r="F54" i="59"/>
  <c r="X5" i="59"/>
  <c r="AA5" i="59"/>
  <c r="N4" i="63"/>
  <c r="C13" i="59"/>
  <c r="D13" i="59" s="1"/>
  <c r="X8" i="59"/>
  <c r="B15" i="59"/>
  <c r="X11" i="59"/>
  <c r="AA10" i="59"/>
  <c r="AA8" i="59"/>
  <c r="F33" i="44"/>
  <c r="C18" i="44"/>
  <c r="M17" i="15"/>
  <c r="I7" i="65"/>
  <c r="I6" i="65"/>
  <c r="J7" i="65"/>
  <c r="I3" i="65"/>
  <c r="I5" i="65"/>
  <c r="F31" i="15"/>
  <c r="J4" i="65"/>
  <c r="J3" i="65"/>
  <c r="J5" i="65"/>
  <c r="F58" i="15"/>
  <c r="J6" i="65"/>
  <c r="M19" i="44"/>
  <c r="C16" i="15"/>
  <c r="I4" i="65"/>
  <c r="K26" i="6" l="1"/>
  <c r="M26" i="6" s="1"/>
  <c r="I26" i="6" s="1"/>
  <c r="S26" i="6" s="1"/>
  <c r="E31" i="6"/>
  <c r="K19" i="6"/>
  <c r="S6" i="1" s="1"/>
  <c r="I106" i="46"/>
  <c r="I107" i="46"/>
  <c r="E67" i="39"/>
  <c r="E65" i="39"/>
  <c r="K21" i="6"/>
  <c r="M21" i="6" s="1"/>
  <c r="I21" i="6" s="1"/>
  <c r="S21" i="6" s="1"/>
  <c r="AB45" i="39"/>
  <c r="U45" i="39"/>
  <c r="AB47" i="39"/>
  <c r="U47" i="39"/>
  <c r="W45" i="39"/>
  <c r="AC45" i="39"/>
  <c r="AC47" i="39"/>
  <c r="W47" i="39"/>
  <c r="AA13" i="39"/>
  <c r="U29" i="39"/>
  <c r="AB29" i="39"/>
  <c r="AB27" i="39"/>
  <c r="U27" i="39"/>
  <c r="U19" i="39"/>
  <c r="AB19" i="39"/>
  <c r="U13" i="39"/>
  <c r="AC13" i="39"/>
  <c r="W13" i="39"/>
  <c r="M105" i="46"/>
  <c r="D22" i="46"/>
  <c r="M103" i="46"/>
  <c r="F102" i="46"/>
  <c r="K24" i="6"/>
  <c r="M24" i="6" s="1"/>
  <c r="I24" i="6" s="1"/>
  <c r="S24" i="6" s="1"/>
  <c r="K22" i="6"/>
  <c r="M22" i="6" s="1"/>
  <c r="I22" i="6" s="1"/>
  <c r="S22" i="6" s="1"/>
  <c r="I102" i="46"/>
  <c r="K25" i="6"/>
  <c r="M25" i="6" s="1"/>
  <c r="I25" i="6" s="1"/>
  <c r="S25" i="6" s="1"/>
  <c r="K20" i="6"/>
  <c r="K23" i="6"/>
  <c r="M23" i="6" s="1"/>
  <c r="I23" i="6" s="1"/>
  <c r="S23" i="6" s="1"/>
  <c r="E61" i="40"/>
  <c r="E66" i="39"/>
  <c r="M106" i="46"/>
  <c r="N104" i="46"/>
  <c r="F104" i="46"/>
  <c r="H102" i="46"/>
  <c r="J106" i="46"/>
  <c r="J107" i="46"/>
  <c r="J103" i="46"/>
  <c r="H104" i="46"/>
  <c r="D103" i="46"/>
  <c r="J104" i="46"/>
  <c r="J109" i="46"/>
  <c r="J102" i="46"/>
  <c r="I109" i="46"/>
  <c r="I104" i="46"/>
  <c r="I103" i="46"/>
  <c r="F109" i="46"/>
  <c r="F103" i="46"/>
  <c r="E63" i="39"/>
  <c r="E16" i="6"/>
  <c r="E58" i="40"/>
  <c r="F105" i="46"/>
  <c r="F107" i="46"/>
  <c r="D109" i="46"/>
  <c r="C48" i="15"/>
  <c r="E64" i="39"/>
  <c r="E59" i="40"/>
  <c r="N105" i="46"/>
  <c r="N107" i="46"/>
  <c r="N106" i="46"/>
  <c r="N102" i="46"/>
  <c r="M19" i="6"/>
  <c r="C107" i="46"/>
  <c r="C102" i="46"/>
  <c r="C105" i="46"/>
  <c r="C109" i="46"/>
  <c r="C103" i="46"/>
  <c r="C104" i="46"/>
  <c r="C106" i="46"/>
  <c r="I115" i="46"/>
  <c r="J115" i="46" s="1"/>
  <c r="K115" i="46" s="1"/>
  <c r="L115" i="46" s="1"/>
  <c r="M115" i="46" s="1"/>
  <c r="I118" i="46"/>
  <c r="J118" i="46" s="1"/>
  <c r="K118" i="46" s="1"/>
  <c r="L118" i="46" s="1"/>
  <c r="M118" i="46" s="1"/>
  <c r="D116" i="46"/>
  <c r="E116" i="46" s="1"/>
  <c r="F116" i="46" s="1"/>
  <c r="G116" i="46" s="1"/>
  <c r="H116" i="46" s="1"/>
  <c r="D115" i="46"/>
  <c r="E115" i="46" s="1"/>
  <c r="F115" i="46" s="1"/>
  <c r="G115" i="46" s="1"/>
  <c r="H115" i="46" s="1"/>
  <c r="I117" i="46"/>
  <c r="J117" i="46" s="1"/>
  <c r="K117" i="46" s="1"/>
  <c r="L117" i="46" s="1"/>
  <c r="M117" i="46" s="1"/>
  <c r="I116" i="46"/>
  <c r="J116" i="46" s="1"/>
  <c r="K116" i="46" s="1"/>
  <c r="L116" i="46" s="1"/>
  <c r="M116" i="46" s="1"/>
  <c r="B115" i="46"/>
  <c r="C115" i="46" s="1"/>
  <c r="D117" i="46"/>
  <c r="E117" i="46" s="1"/>
  <c r="F117" i="46" s="1"/>
  <c r="G117" i="46" s="1"/>
  <c r="H117" i="46" s="1"/>
  <c r="B117" i="46"/>
  <c r="C117" i="46" s="1"/>
  <c r="B116" i="46"/>
  <c r="C116" i="46" s="1"/>
  <c r="D118" i="46"/>
  <c r="E118" i="46" s="1"/>
  <c r="F118" i="46" s="1"/>
  <c r="G118" i="46"/>
  <c r="H118" i="46" s="1"/>
  <c r="B118" i="46"/>
  <c r="C118" i="46" s="1"/>
  <c r="E106" i="46"/>
  <c r="E103" i="46"/>
  <c r="E107" i="46"/>
  <c r="E104" i="46"/>
  <c r="E105" i="46"/>
  <c r="E102" i="46"/>
  <c r="E109" i="46"/>
  <c r="M102" i="46"/>
  <c r="M109" i="46"/>
  <c r="M107" i="46"/>
  <c r="H107" i="46"/>
  <c r="H103" i="46"/>
  <c r="H109" i="46"/>
  <c r="H106" i="46"/>
  <c r="D107" i="46"/>
  <c r="D102" i="46"/>
  <c r="D104" i="46"/>
  <c r="D105" i="46"/>
  <c r="G106" i="46"/>
  <c r="G104" i="46"/>
  <c r="G107" i="46"/>
  <c r="G103" i="46"/>
  <c r="G105" i="46"/>
  <c r="G102" i="46"/>
  <c r="G109" i="46"/>
  <c r="L105" i="46"/>
  <c r="L106" i="46"/>
  <c r="L103" i="46"/>
  <c r="L102" i="46"/>
  <c r="L104" i="46"/>
  <c r="L109" i="46"/>
  <c r="L107" i="46"/>
  <c r="K103" i="46"/>
  <c r="K106" i="46"/>
  <c r="K105" i="46"/>
  <c r="K109" i="46"/>
  <c r="K107" i="46"/>
  <c r="K102" i="46"/>
  <c r="K104" i="46"/>
  <c r="J1" i="65"/>
  <c r="E20" i="46"/>
  <c r="O28" i="46" s="1"/>
  <c r="I1" i="65"/>
  <c r="E65" i="40"/>
  <c r="D67" i="40"/>
  <c r="H7" i="36"/>
  <c r="AB7" i="36" s="1"/>
  <c r="T36" i="36" s="1"/>
  <c r="G36" i="36" s="1"/>
  <c r="F7" i="35"/>
  <c r="H7" i="35"/>
  <c r="AB7" i="35" s="1"/>
  <c r="T38" i="35" s="1"/>
  <c r="G38" i="35" s="1"/>
  <c r="F7" i="36"/>
  <c r="F72" i="39"/>
  <c r="G70" i="39"/>
  <c r="E3" i="6"/>
  <c r="N54" i="59"/>
  <c r="B53" i="59"/>
  <c r="C31" i="59"/>
  <c r="D30" i="59"/>
  <c r="T27" i="59"/>
  <c r="D27" i="59"/>
  <c r="T19" i="59"/>
  <c r="D19" i="59"/>
  <c r="M12" i="1"/>
  <c r="Q16" i="1"/>
  <c r="H16" i="1"/>
  <c r="AP16" i="1"/>
  <c r="F22" i="11" s="1"/>
  <c r="K16" i="1"/>
  <c r="S15" i="59"/>
  <c r="B14" i="59"/>
  <c r="B13" i="59" s="1"/>
  <c r="F53" i="59"/>
  <c r="Q54" i="59"/>
  <c r="C19" i="46"/>
  <c r="C36" i="46" s="1"/>
  <c r="C61" i="59"/>
  <c r="D61" i="59" s="1"/>
  <c r="D62" i="59"/>
  <c r="C23" i="59"/>
  <c r="D22" i="59"/>
  <c r="O13" i="1"/>
  <c r="P13" i="1" s="1"/>
  <c r="P8" i="1"/>
  <c r="AA34" i="35"/>
  <c r="S34" i="35"/>
  <c r="S12" i="33"/>
  <c r="AA12" i="33"/>
  <c r="AA9" i="33"/>
  <c r="S9" i="33"/>
  <c r="W9" i="21"/>
  <c r="AC9" i="21"/>
  <c r="W28" i="33"/>
  <c r="AC28" i="33"/>
  <c r="AC14" i="33"/>
  <c r="W14" i="33"/>
  <c r="M86" i="9"/>
  <c r="N86" i="9" s="1"/>
  <c r="M84" i="9"/>
  <c r="N84" i="9" s="1"/>
  <c r="M88" i="9"/>
  <c r="N88" i="9" s="1"/>
  <c r="M87" i="9"/>
  <c r="N87" i="9" s="1"/>
  <c r="M85" i="9"/>
  <c r="N85" i="9" s="1"/>
  <c r="M83" i="9"/>
  <c r="N83" i="9" s="1"/>
  <c r="N89" i="9" s="1"/>
  <c r="O89" i="9" s="1"/>
  <c r="G58" i="33"/>
  <c r="AC7" i="36"/>
  <c r="V36" i="36" s="1"/>
  <c r="I36" i="36" s="1"/>
  <c r="W7" i="36"/>
  <c r="H58" i="21"/>
  <c r="U7" i="34"/>
  <c r="AB7" i="34"/>
  <c r="T49" i="34" s="1"/>
  <c r="G49" i="34" s="1"/>
  <c r="AA7" i="34"/>
  <c r="R49" i="34" s="1"/>
  <c r="S7" i="34"/>
  <c r="AA7" i="35"/>
  <c r="R38" i="35" s="1"/>
  <c r="S7" i="35"/>
  <c r="U7" i="35"/>
  <c r="S7" i="36"/>
  <c r="AA7" i="36"/>
  <c r="R36" i="36" s="1"/>
  <c r="C34" i="46"/>
  <c r="C35" i="46"/>
  <c r="C38" i="46"/>
  <c r="C39" i="46"/>
  <c r="J7" i="37"/>
  <c r="H7" i="37"/>
  <c r="L47" i="44"/>
  <c r="Q54" i="44"/>
  <c r="F1" i="44"/>
  <c r="F1" i="15"/>
  <c r="Q53" i="15"/>
  <c r="Q75" i="44"/>
  <c r="Q62" i="44"/>
  <c r="Q75" i="15"/>
  <c r="Q62" i="15"/>
  <c r="J6" i="15"/>
  <c r="G5" i="3"/>
  <c r="B3" i="3" s="1"/>
  <c r="E516" i="3" s="1"/>
  <c r="AB34" i="35"/>
  <c r="U34" i="35"/>
  <c r="U12" i="33"/>
  <c r="AB12" i="33"/>
  <c r="AB9" i="33"/>
  <c r="U9" i="33"/>
  <c r="AA14" i="33"/>
  <c r="S14" i="33"/>
  <c r="C5" i="59"/>
  <c r="D5" i="59" s="1"/>
  <c r="D6" i="59"/>
  <c r="U7" i="36"/>
  <c r="G16" i="1"/>
  <c r="J7" i="34"/>
  <c r="AC7" i="35"/>
  <c r="V38" i="35" s="1"/>
  <c r="I38" i="35" s="1"/>
  <c r="W7" i="35"/>
  <c r="T8" i="46"/>
  <c r="V8" i="46" s="1"/>
  <c r="T5" i="46"/>
  <c r="V5" i="46" s="1"/>
  <c r="T10" i="46"/>
  <c r="V10" i="46" s="1"/>
  <c r="T12" i="46"/>
  <c r="V12" i="46" s="1"/>
  <c r="T16" i="46"/>
  <c r="V16" i="46" s="1"/>
  <c r="T4" i="46"/>
  <c r="V4" i="46" s="1"/>
  <c r="T9" i="46"/>
  <c r="V9" i="46" s="1"/>
  <c r="T3" i="46"/>
  <c r="V3" i="46" s="1"/>
  <c r="F7" i="37"/>
  <c r="C32" i="15"/>
  <c r="J20" i="44"/>
  <c r="F13" i="44"/>
  <c r="C12" i="44" s="1"/>
  <c r="C7" i="44" s="1"/>
  <c r="F11" i="15"/>
  <c r="M11" i="15"/>
  <c r="J10" i="15" s="1"/>
  <c r="M13" i="44"/>
  <c r="J12" i="44" s="1"/>
  <c r="J7" i="44" s="1"/>
  <c r="Q63" i="44"/>
  <c r="Q76" i="44"/>
  <c r="Q74" i="15"/>
  <c r="Q61" i="15"/>
  <c r="C34" i="44"/>
  <c r="AE7" i="1"/>
  <c r="E3" i="65"/>
  <c r="E2" i="65"/>
  <c r="K27" i="6" l="1"/>
  <c r="M20" i="6"/>
  <c r="I20" i="6" s="1"/>
  <c r="S20" i="6" s="1"/>
  <c r="S7" i="1"/>
  <c r="I19" i="6"/>
  <c r="D113" i="46"/>
  <c r="P28" i="46"/>
  <c r="M28" i="46"/>
  <c r="B40" i="1"/>
  <c r="F24" i="15" s="1"/>
  <c r="C24" i="15" s="1"/>
  <c r="F17" i="11"/>
  <c r="C17" i="11" s="1"/>
  <c r="F65" i="40"/>
  <c r="E67" i="40"/>
  <c r="T7" i="46"/>
  <c r="V7" i="46" s="1"/>
  <c r="T15" i="46"/>
  <c r="V15" i="46" s="1"/>
  <c r="T2" i="46"/>
  <c r="V2" i="46" s="1"/>
  <c r="T14" i="46"/>
  <c r="V14" i="46" s="1"/>
  <c r="T13" i="46"/>
  <c r="V13" i="46" s="1"/>
  <c r="T6" i="46"/>
  <c r="V6" i="46" s="1"/>
  <c r="C29" i="46"/>
  <c r="E29" i="46" s="1"/>
  <c r="T11" i="46"/>
  <c r="V11" i="46" s="1"/>
  <c r="N28" i="46"/>
  <c r="C37" i="46"/>
  <c r="E37" i="46" s="1"/>
  <c r="C33" i="46"/>
  <c r="E33" i="46" s="1"/>
  <c r="H70" i="39"/>
  <c r="G72" i="39"/>
  <c r="J28" i="44"/>
  <c r="J31" i="44" s="1"/>
  <c r="J26" i="44"/>
  <c r="C52" i="15"/>
  <c r="C47" i="15" s="1"/>
  <c r="C10" i="15"/>
  <c r="C5" i="15" s="1"/>
  <c r="I42" i="35"/>
  <c r="J42" i="35" s="1"/>
  <c r="J12" i="40"/>
  <c r="F12" i="39"/>
  <c r="F12" i="40"/>
  <c r="H12" i="39"/>
  <c r="H12" i="40"/>
  <c r="J12" i="3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28" i="3"/>
  <c r="E375" i="3"/>
  <c r="E470" i="3"/>
  <c r="E409" i="3"/>
  <c r="E349" i="3"/>
  <c r="E83" i="3"/>
  <c r="E186" i="3"/>
  <c r="E124" i="3"/>
  <c r="E266" i="3"/>
  <c r="E299" i="3"/>
  <c r="E215" i="3"/>
  <c r="E327" i="3"/>
  <c r="I6" i="3"/>
  <c r="E103" i="3"/>
  <c r="E548" i="3"/>
  <c r="E200" i="3"/>
  <c r="Z6" i="3"/>
  <c r="E62" i="3"/>
  <c r="E454" i="3"/>
  <c r="E389" i="3"/>
  <c r="E520" i="3"/>
  <c r="E230" i="3"/>
  <c r="AK6" i="3"/>
  <c r="E143" i="3"/>
  <c r="AB7" i="37"/>
  <c r="T42" i="37" s="1"/>
  <c r="G42" i="37" s="1"/>
  <c r="U7" i="37"/>
  <c r="G39" i="46"/>
  <c r="I39" i="46" s="1"/>
  <c r="E39" i="46"/>
  <c r="E38" i="46"/>
  <c r="G38" i="46"/>
  <c r="I38" i="46" s="1"/>
  <c r="E35" i="46"/>
  <c r="G35" i="46"/>
  <c r="I35" i="46" s="1"/>
  <c r="G34" i="46"/>
  <c r="I34" i="46" s="1"/>
  <c r="E34" i="46"/>
  <c r="E38" i="35"/>
  <c r="I43" i="35" s="1"/>
  <c r="J43" i="35" s="1"/>
  <c r="R39" i="35"/>
  <c r="R50" i="34"/>
  <c r="E49" i="34"/>
  <c r="I58" i="21"/>
  <c r="I40" i="36"/>
  <c r="J40" i="36" s="1"/>
  <c r="E504" i="3"/>
  <c r="Q52" i="59"/>
  <c r="Q53" i="59"/>
  <c r="O12" i="1"/>
  <c r="O16" i="1" s="1"/>
  <c r="M16" i="1"/>
  <c r="P12" i="1"/>
  <c r="P16" i="1" s="1"/>
  <c r="C13" i="12" s="1"/>
  <c r="T31" i="59"/>
  <c r="D31" i="59"/>
  <c r="AY6" i="3"/>
  <c r="C40" i="44"/>
  <c r="AA7" i="37"/>
  <c r="R42" i="37" s="1"/>
  <c r="S7" i="37"/>
  <c r="C30" i="46"/>
  <c r="E30" i="46" s="1"/>
  <c r="AC7" i="34"/>
  <c r="V49" i="34" s="1"/>
  <c r="I49" i="34" s="1"/>
  <c r="W7" i="34"/>
  <c r="G41" i="36"/>
  <c r="H41" i="36" s="1"/>
  <c r="G40" i="36"/>
  <c r="H40" i="36" s="1"/>
  <c r="E570" i="3"/>
  <c r="E496" i="3"/>
  <c r="J18" i="15"/>
  <c r="J5" i="15"/>
  <c r="W7" i="37"/>
  <c r="AC7" i="37"/>
  <c r="V42" i="37" s="1"/>
  <c r="I42" i="37" s="1"/>
  <c r="G37" i="46"/>
  <c r="I37" i="46" s="1"/>
  <c r="G33" i="46"/>
  <c r="I33" i="46" s="1"/>
  <c r="G36" i="46"/>
  <c r="I36" i="46" s="1"/>
  <c r="E36" i="46"/>
  <c r="R37" i="36"/>
  <c r="E36" i="36"/>
  <c r="G42" i="35"/>
  <c r="H42" i="35" s="1"/>
  <c r="G43" i="35"/>
  <c r="H43" i="35" s="1"/>
  <c r="G53" i="34"/>
  <c r="H53" i="34" s="1"/>
  <c r="H58" i="33"/>
  <c r="E540" i="3"/>
  <c r="T23" i="59"/>
  <c r="D23" i="59"/>
  <c r="M20" i="46" s="1"/>
  <c r="F18" i="11"/>
  <c r="C18" i="11" s="1"/>
  <c r="F24" i="43"/>
  <c r="C26" i="43" s="1"/>
  <c r="D24" i="43" s="1"/>
  <c r="F33" i="12"/>
  <c r="C34" i="12" s="1"/>
  <c r="D33" i="12" s="1"/>
  <c r="N52" i="59"/>
  <c r="N53" i="59"/>
  <c r="D16" i="43"/>
  <c r="C16" i="43" s="1"/>
  <c r="D16" i="12"/>
  <c r="L38" i="9"/>
  <c r="B14" i="66" s="1"/>
  <c r="B1" i="66" s="1"/>
  <c r="D45" i="9"/>
  <c r="D10" i="11"/>
  <c r="E6" i="6"/>
  <c r="D44" i="9"/>
  <c r="D46" i="9"/>
  <c r="C21" i="4"/>
  <c r="O5" i="54" s="1"/>
  <c r="B45" i="63" s="1"/>
  <c r="F41" i="15"/>
  <c r="L52" i="44"/>
  <c r="C17" i="15"/>
  <c r="F7" i="67"/>
  <c r="F68" i="15" l="1"/>
  <c r="H6" i="3"/>
  <c r="M27" i="6"/>
  <c r="S16" i="1"/>
  <c r="T7" i="1" s="1"/>
  <c r="F26" i="44"/>
  <c r="C26" i="44" s="1"/>
  <c r="AC6" i="3"/>
  <c r="S19" i="6"/>
  <c r="S27" i="6" s="1"/>
  <c r="I27" i="6"/>
  <c r="F21" i="43"/>
  <c r="C23" i="43" s="1"/>
  <c r="D21" i="43" s="1"/>
  <c r="F26" i="12"/>
  <c r="C27" i="12" s="1"/>
  <c r="D26" i="12" s="1"/>
  <c r="C32" i="12" s="1"/>
  <c r="D30" i="12" s="1"/>
  <c r="I70" i="39"/>
  <c r="H72" i="39"/>
  <c r="C19" i="11"/>
  <c r="C20" i="11" s="1"/>
  <c r="C21" i="11" s="1"/>
  <c r="C22" i="11" s="1"/>
  <c r="C23" i="11" s="1"/>
  <c r="B2" i="11" s="1"/>
  <c r="F67" i="40"/>
  <c r="G65" i="40"/>
  <c r="Q69" i="44"/>
  <c r="L58" i="44"/>
  <c r="L61" i="44" s="1"/>
  <c r="E4" i="67"/>
  <c r="C17" i="12"/>
  <c r="C14" i="12"/>
  <c r="Q49" i="44"/>
  <c r="Q55" i="44" s="1"/>
  <c r="Q67" i="44"/>
  <c r="Q58" i="44"/>
  <c r="D22" i="12"/>
  <c r="C22" i="12" s="1"/>
  <c r="C20" i="12" s="1"/>
  <c r="D13" i="11"/>
  <c r="C13" i="11" s="1"/>
  <c r="C16" i="12"/>
  <c r="D19" i="12"/>
  <c r="C19" i="12" s="1"/>
  <c r="E40" i="36"/>
  <c r="F40" i="36" s="1"/>
  <c r="E41" i="36"/>
  <c r="F41" i="36" s="1"/>
  <c r="I46" i="37"/>
  <c r="J46" i="37" s="1"/>
  <c r="I53" i="34"/>
  <c r="J53" i="34" s="1"/>
  <c r="I54" i="34"/>
  <c r="J54" i="34" s="1"/>
  <c r="C27" i="46"/>
  <c r="E42" i="37"/>
  <c r="I47" i="37" s="1"/>
  <c r="J47" i="37" s="1"/>
  <c r="R43" i="37"/>
  <c r="I41" i="36"/>
  <c r="J41" i="36" s="1"/>
  <c r="E54" i="34"/>
  <c r="F54" i="34" s="1"/>
  <c r="E53" i="34"/>
  <c r="F53" i="34" s="1"/>
  <c r="C39" i="35"/>
  <c r="B3" i="35" s="1"/>
  <c r="B2" i="35" s="1"/>
  <c r="C38" i="35"/>
  <c r="AB12" i="40"/>
  <c r="U12" i="40"/>
  <c r="S12" i="40"/>
  <c r="AA12" i="40"/>
  <c r="AC12" i="40"/>
  <c r="W12" i="40"/>
  <c r="C59" i="15"/>
  <c r="C65" i="15"/>
  <c r="C6" i="66"/>
  <c r="C7" i="66"/>
  <c r="C8" i="66"/>
  <c r="I58" i="33"/>
  <c r="G54" i="34"/>
  <c r="H54" i="34" s="1"/>
  <c r="C36" i="36"/>
  <c r="C37" i="36"/>
  <c r="B3" i="36" s="1"/>
  <c r="B2" i="36" s="1"/>
  <c r="J26" i="15"/>
  <c r="J29" i="15" s="1"/>
  <c r="J24" i="15"/>
  <c r="C26"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13" i="43"/>
  <c r="L16" i="1"/>
  <c r="N16" i="1"/>
  <c r="C29" i="43" s="1"/>
  <c r="J58" i="21"/>
  <c r="C49" i="34"/>
  <c r="C50" i="34"/>
  <c r="B3" i="34" s="1"/>
  <c r="B2" i="34" s="1"/>
  <c r="E43" i="35"/>
  <c r="F43" i="35" s="1"/>
  <c r="E42" i="35"/>
  <c r="F42" i="35" s="1"/>
  <c r="G46" i="37"/>
  <c r="H46" i="37" s="1"/>
  <c r="G47" i="37"/>
  <c r="H47" i="37" s="1"/>
  <c r="AC12" i="39"/>
  <c r="W12" i="39"/>
  <c r="U12" i="39"/>
  <c r="AB12" i="39"/>
  <c r="AA12" i="39"/>
  <c r="S12" i="39"/>
  <c r="C38" i="15"/>
  <c r="E7" i="67"/>
  <c r="E6" i="3" l="1"/>
  <c r="T12" i="1"/>
  <c r="T9" i="1"/>
  <c r="T11" i="1"/>
  <c r="T8" i="1"/>
  <c r="T6" i="1"/>
  <c r="T10" i="1"/>
  <c r="T13" i="1"/>
  <c r="H65" i="40"/>
  <c r="G67" i="40"/>
  <c r="J70" i="39"/>
  <c r="I72" i="39"/>
  <c r="C18" i="12"/>
  <c r="C23" i="12" s="1"/>
  <c r="E3" i="67"/>
  <c r="B3" i="11"/>
  <c r="B5" i="11"/>
  <c r="B4" i="11"/>
  <c r="K58" i="21"/>
  <c r="E63" i="40"/>
  <c r="D19" i="6"/>
  <c r="D25" i="6"/>
  <c r="D13" i="6"/>
  <c r="H24" i="6"/>
  <c r="D23" i="6"/>
  <c r="D28" i="6"/>
  <c r="D8" i="6"/>
  <c r="E45" i="9"/>
  <c r="F44" i="9"/>
  <c r="K38" i="9"/>
  <c r="C14" i="66" s="1"/>
  <c r="B2" i="66" s="1"/>
  <c r="D26" i="6"/>
  <c r="D22" i="6"/>
  <c r="D12" i="6"/>
  <c r="H25" i="6"/>
  <c r="D5" i="6"/>
  <c r="H22" i="6"/>
  <c r="H26" i="6"/>
  <c r="F46" i="9"/>
  <c r="H19" i="6"/>
  <c r="C22" i="4"/>
  <c r="D21" i="6"/>
  <c r="D10" i="6"/>
  <c r="H21" i="6"/>
  <c r="D6" i="6"/>
  <c r="D14" i="6"/>
  <c r="D20" i="6"/>
  <c r="H23" i="6"/>
  <c r="F45" i="9"/>
  <c r="E68" i="39"/>
  <c r="D24" i="6"/>
  <c r="R24" i="6" s="1"/>
  <c r="D11" i="6"/>
  <c r="H20" i="6"/>
  <c r="D9" i="6"/>
  <c r="D29" i="6"/>
  <c r="D15" i="6"/>
  <c r="E44" i="9"/>
  <c r="E46" i="9"/>
  <c r="B2" i="46"/>
  <c r="C43" i="37"/>
  <c r="B3" i="37" s="1"/>
  <c r="B2" i="37" s="1"/>
  <c r="C42" i="37"/>
  <c r="Q68" i="44"/>
  <c r="Q77" i="44" s="1"/>
  <c r="Q59" i="44"/>
  <c r="Q64" i="44" s="1"/>
  <c r="C17" i="43"/>
  <c r="C14" i="43"/>
  <c r="J58" i="33"/>
  <c r="K58" i="33" s="1"/>
  <c r="L58" i="33" s="1"/>
  <c r="M58" i="33" s="1"/>
  <c r="N58" i="33" s="1"/>
  <c r="O58" i="33" s="1"/>
  <c r="F7" i="33"/>
  <c r="J7" i="33"/>
  <c r="E47" i="37"/>
  <c r="F47" i="37" s="1"/>
  <c r="E46" i="37"/>
  <c r="F46" i="37" s="1"/>
  <c r="C14" i="15"/>
  <c r="C16" i="44"/>
  <c r="B7" i="67"/>
  <c r="T16" i="1" l="1"/>
  <c r="C20" i="44"/>
  <c r="C17" i="44"/>
  <c r="C18" i="15"/>
  <c r="C15" i="15"/>
  <c r="H27" i="6"/>
  <c r="D30" i="6"/>
  <c r="D16" i="6"/>
  <c r="H7" i="33"/>
  <c r="K70" i="39"/>
  <c r="J72" i="39"/>
  <c r="H67" i="40"/>
  <c r="I65" i="40"/>
  <c r="C18" i="43"/>
  <c r="C19" i="43" s="1"/>
  <c r="C22" i="43" s="1"/>
  <c r="C21" i="43" s="1"/>
  <c r="B2" i="67"/>
  <c r="AA7" i="33"/>
  <c r="R48" i="33" s="1"/>
  <c r="S7" i="33"/>
  <c r="R21" i="6"/>
  <c r="R26" i="6"/>
  <c r="R23" i="6"/>
  <c r="R19" i="6"/>
  <c r="D27" i="6"/>
  <c r="D31" i="6" s="1"/>
  <c r="U7" i="33"/>
  <c r="AB7" i="33"/>
  <c r="T48" i="33" s="1"/>
  <c r="G48" i="33" s="1"/>
  <c r="AC7" i="33"/>
  <c r="V48" i="33" s="1"/>
  <c r="I48" i="33" s="1"/>
  <c r="W7" i="33"/>
  <c r="D4" i="46"/>
  <c r="B4" i="46"/>
  <c r="B3" i="46"/>
  <c r="R20" i="6"/>
  <c r="R7" i="1" s="1"/>
  <c r="A20" i="64"/>
  <c r="A6" i="51"/>
  <c r="B7" i="63" s="1"/>
  <c r="A6" i="64"/>
  <c r="A20" i="51"/>
  <c r="B15" i="63" s="1"/>
  <c r="N5" i="54"/>
  <c r="B43" i="63" s="1"/>
  <c r="R22" i="6"/>
  <c r="D7" i="66"/>
  <c r="D8" i="66"/>
  <c r="D6" i="66"/>
  <c r="R25" i="6"/>
  <c r="L58" i="21"/>
  <c r="F35" i="15"/>
  <c r="M21" i="15"/>
  <c r="F62" i="15" l="1"/>
  <c r="C61" i="15" s="1"/>
  <c r="C34" i="15"/>
  <c r="J20" i="15"/>
  <c r="C19" i="15"/>
  <c r="C20" i="15" s="1"/>
  <c r="C26" i="15" s="1"/>
  <c r="C21" i="44"/>
  <c r="C22" i="44" s="1"/>
  <c r="C25" i="44" s="1"/>
  <c r="R27" i="6"/>
  <c r="R6" i="1"/>
  <c r="R16" i="1" s="1"/>
  <c r="L70" i="39"/>
  <c r="K72" i="39"/>
  <c r="I67" i="40"/>
  <c r="J65" i="40"/>
  <c r="M58" i="21"/>
  <c r="I52" i="33"/>
  <c r="J52" i="33" s="1"/>
  <c r="I6" i="6"/>
  <c r="I5" i="6"/>
  <c r="E48" i="33"/>
  <c r="R49" i="33"/>
  <c r="G52" i="33"/>
  <c r="H52" i="33" s="1"/>
  <c r="G53" i="33"/>
  <c r="H53" i="33" s="1"/>
  <c r="C25" i="43"/>
  <c r="C24" i="43" s="1"/>
  <c r="C28" i="43" s="1"/>
  <c r="C30" i="43" s="1"/>
  <c r="C32" i="43" s="1"/>
  <c r="B2" i="43" s="1"/>
  <c r="B4" i="67"/>
  <c r="B3" i="67"/>
  <c r="C28" i="44" l="1"/>
  <c r="C31" i="44" s="1"/>
  <c r="C23" i="15"/>
  <c r="C29" i="15" s="1"/>
  <c r="J67" i="40"/>
  <c r="K65" i="40"/>
  <c r="M70" i="39"/>
  <c r="L72" i="39"/>
  <c r="B4" i="43"/>
  <c r="B3" i="43"/>
  <c r="B5" i="43"/>
  <c r="E52" i="33"/>
  <c r="F52" i="33" s="1"/>
  <c r="E53" i="33"/>
  <c r="F53" i="33" s="1"/>
  <c r="I53" i="33"/>
  <c r="J53" i="33" s="1"/>
  <c r="C48" i="33"/>
  <c r="C49" i="33"/>
  <c r="B3" i="33" s="1"/>
  <c r="B2" i="33" s="1"/>
  <c r="N58" i="21"/>
  <c r="C33" i="15" l="1"/>
  <c r="C31" i="15" s="1"/>
  <c r="J59" i="15"/>
  <c r="J60" i="15" s="1"/>
  <c r="C36" i="15"/>
  <c r="J19" i="15"/>
  <c r="J17" i="15" s="1"/>
  <c r="Q50" i="15"/>
  <c r="C13" i="15"/>
  <c r="J14" i="15"/>
  <c r="C56" i="15"/>
  <c r="J21" i="44"/>
  <c r="J19" i="44" s="1"/>
  <c r="C35" i="44"/>
  <c r="C33" i="44" s="1"/>
  <c r="C38" i="44"/>
  <c r="J16" i="44"/>
  <c r="Q51" i="44"/>
  <c r="C15" i="44"/>
  <c r="M72" i="39"/>
  <c r="N70" i="39"/>
  <c r="N72" i="39" s="1"/>
  <c r="F9" i="39" s="1"/>
  <c r="L65" i="40"/>
  <c r="K67" i="40"/>
  <c r="H9" i="39"/>
  <c r="O58" i="21"/>
  <c r="J7" i="21" s="1"/>
  <c r="F7" i="21"/>
  <c r="C60" i="15" l="1"/>
  <c r="C58" i="15" s="1"/>
  <c r="C63" i="15"/>
  <c r="C55" i="15"/>
  <c r="C64" i="15" s="1"/>
  <c r="J35" i="15"/>
  <c r="C37" i="15"/>
  <c r="C30" i="15" s="1"/>
  <c r="C39" i="15" s="1"/>
  <c r="Q71" i="15"/>
  <c r="Q49" i="15"/>
  <c r="Q72" i="44"/>
  <c r="C43" i="44"/>
  <c r="C39" i="44"/>
  <c r="C32" i="44" s="1"/>
  <c r="C42" i="44" s="1"/>
  <c r="J24" i="44"/>
  <c r="J15" i="44"/>
  <c r="J25" i="44" s="1"/>
  <c r="J22" i="15"/>
  <c r="J13" i="15"/>
  <c r="J23" i="15" s="1"/>
  <c r="U9" i="39"/>
  <c r="AB9" i="39"/>
  <c r="T49" i="39" s="1"/>
  <c r="G49" i="39" s="1"/>
  <c r="L67" i="40"/>
  <c r="M65" i="40"/>
  <c r="S9" i="39"/>
  <c r="AA9" i="39"/>
  <c r="R49" i="39" s="1"/>
  <c r="H7" i="21"/>
  <c r="U7" i="21" s="1"/>
  <c r="J9" i="39"/>
  <c r="AB7" i="21"/>
  <c r="T48" i="21" s="1"/>
  <c r="G48" i="21" s="1"/>
  <c r="AA7" i="21"/>
  <c r="R48" i="21" s="1"/>
  <c r="S7" i="21"/>
  <c r="AC7" i="21"/>
  <c r="V48" i="21" s="1"/>
  <c r="I48" i="21" s="1"/>
  <c r="W7" i="21"/>
  <c r="L51" i="15"/>
  <c r="Q68" i="15" l="1"/>
  <c r="L57" i="15"/>
  <c r="L60" i="15" s="1"/>
  <c r="L46" i="15" s="1"/>
  <c r="J16" i="15"/>
  <c r="J25" i="15" s="1"/>
  <c r="J18" i="44"/>
  <c r="J27" i="44" s="1"/>
  <c r="Q71" i="44"/>
  <c r="Q70" i="44" s="1"/>
  <c r="C44" i="44"/>
  <c r="C45" i="44" s="1"/>
  <c r="B2" i="44" s="1"/>
  <c r="J39" i="15"/>
  <c r="J40" i="15" s="1"/>
  <c r="C57" i="15"/>
  <c r="C66" i="15" s="1"/>
  <c r="C67" i="15" s="1"/>
  <c r="Q70" i="15"/>
  <c r="Q69" i="15" s="1"/>
  <c r="C40" i="15"/>
  <c r="W9" i="39"/>
  <c r="AC9" i="39"/>
  <c r="V49" i="39" s="1"/>
  <c r="I49" i="39" s="1"/>
  <c r="G54" i="39" s="1"/>
  <c r="H54" i="39" s="1"/>
  <c r="E49" i="39"/>
  <c r="N65" i="40"/>
  <c r="N67" i="40" s="1"/>
  <c r="J9" i="40" s="1"/>
  <c r="M67" i="40"/>
  <c r="F9" i="40" s="1"/>
  <c r="G53" i="39"/>
  <c r="H53" i="39" s="1"/>
  <c r="H9" i="40"/>
  <c r="I52" i="21"/>
  <c r="J52" i="21" s="1"/>
  <c r="E48" i="21"/>
  <c r="R49" i="21"/>
  <c r="G52" i="21"/>
  <c r="H52" i="21" s="1"/>
  <c r="G53" i="21"/>
  <c r="H53" i="21" s="1"/>
  <c r="R50" i="39" l="1"/>
  <c r="C49" i="39" s="1"/>
  <c r="Q48" i="15"/>
  <c r="Q54" i="15" s="1"/>
  <c r="C43" i="15"/>
  <c r="Q57" i="15"/>
  <c r="B2" i="15"/>
  <c r="Q66" i="15"/>
  <c r="J42" i="15"/>
  <c r="J43" i="15" s="1"/>
  <c r="B4" i="44"/>
  <c r="B3" i="44"/>
  <c r="B5" i="44"/>
  <c r="Q58" i="15"/>
  <c r="Q67" i="15"/>
  <c r="Q76" i="15" s="1"/>
  <c r="C70" i="15"/>
  <c r="C46" i="15"/>
  <c r="AA9" i="40"/>
  <c r="R44" i="40" s="1"/>
  <c r="S9" i="40"/>
  <c r="AB9" i="40"/>
  <c r="T44" i="40" s="1"/>
  <c r="G44" i="40" s="1"/>
  <c r="U9" i="40"/>
  <c r="AC9" i="40"/>
  <c r="V44" i="40" s="1"/>
  <c r="I44" i="40" s="1"/>
  <c r="W9" i="40"/>
  <c r="C50" i="39"/>
  <c r="E54" i="39"/>
  <c r="F54" i="39" s="1"/>
  <c r="E53" i="39"/>
  <c r="F53" i="39" s="1"/>
  <c r="I54" i="39"/>
  <c r="J54" i="39" s="1"/>
  <c r="I53" i="39"/>
  <c r="J53" i="39" s="1"/>
  <c r="E53" i="21"/>
  <c r="F53" i="21" s="1"/>
  <c r="E52" i="21"/>
  <c r="F52" i="21" s="1"/>
  <c r="C48" i="21"/>
  <c r="C49" i="21"/>
  <c r="B3" i="21" s="1"/>
  <c r="B2" i="21" s="1"/>
  <c r="I53" i="21"/>
  <c r="J53" i="21" s="1"/>
  <c r="B3" i="15" l="1"/>
  <c r="C8" i="12" s="1"/>
  <c r="C10" i="12"/>
  <c r="C6" i="12" s="1"/>
  <c r="Q63" i="15"/>
  <c r="B59" i="39"/>
  <c r="F59" i="39" s="1"/>
  <c r="B65" i="39"/>
  <c r="F65" i="39" s="1"/>
  <c r="B63" i="39"/>
  <c r="F63" i="39" s="1"/>
  <c r="B64" i="39"/>
  <c r="F64" i="39" s="1"/>
  <c r="B66" i="39"/>
  <c r="F66" i="39" s="1"/>
  <c r="B61" i="39"/>
  <c r="F61" i="39" s="1"/>
  <c r="B67" i="39"/>
  <c r="F67" i="39" s="1"/>
  <c r="B60" i="39"/>
  <c r="F60" i="39" s="1"/>
  <c r="B62" i="39"/>
  <c r="F62" i="39" s="1"/>
  <c r="B58" i="39"/>
  <c r="F58" i="39" s="1"/>
  <c r="I48" i="40"/>
  <c r="J48" i="40" s="1"/>
  <c r="G49" i="40"/>
  <c r="H49" i="40" s="1"/>
  <c r="G48" i="40"/>
  <c r="H48" i="40" s="1"/>
  <c r="R45" i="40"/>
  <c r="E44" i="40"/>
  <c r="C24" i="12" l="1"/>
  <c r="C29" i="12"/>
  <c r="F68" i="39"/>
  <c r="B2" i="39" s="1"/>
  <c r="B3" i="39" s="1"/>
  <c r="C45" i="40"/>
  <c r="C44" i="40"/>
  <c r="E48" i="40"/>
  <c r="F48" i="40" s="1"/>
  <c r="E49" i="40"/>
  <c r="F49" i="40" s="1"/>
  <c r="I49" i="40"/>
  <c r="J49" i="40" s="1"/>
  <c r="D19" i="9"/>
  <c r="D20" i="9"/>
  <c r="C28" i="12" l="1"/>
  <c r="C26" i="12" s="1"/>
  <c r="C31" i="12" s="1"/>
  <c r="C30" i="12" s="1"/>
  <c r="C35" i="12"/>
  <c r="C33" i="12" s="1"/>
  <c r="B4" i="39"/>
  <c r="B5" i="39"/>
  <c r="L44" i="9"/>
  <c r="B55" i="40"/>
  <c r="F55" i="40" s="1"/>
  <c r="B57" i="40"/>
  <c r="F57" i="40" s="1"/>
  <c r="B56" i="40"/>
  <c r="F56" i="40" s="1"/>
  <c r="B61" i="40"/>
  <c r="F61" i="40" s="1"/>
  <c r="B59" i="40"/>
  <c r="F59" i="40" s="1"/>
  <c r="B62" i="40"/>
  <c r="F62" i="40" s="1"/>
  <c r="B53" i="40"/>
  <c r="F53" i="40" s="1"/>
  <c r="F63" i="40"/>
  <c r="B2" i="40" s="1"/>
  <c r="B60" i="40"/>
  <c r="F60" i="40" s="1"/>
  <c r="B58" i="40"/>
  <c r="F58" i="40" s="1"/>
  <c r="B54" i="40"/>
  <c r="F54" i="40" s="1"/>
  <c r="D21" i="9"/>
  <c r="C36" i="12" l="1"/>
  <c r="B2" i="12" s="1"/>
  <c r="B5" i="12" s="1"/>
  <c r="B5" i="40"/>
  <c r="B3" i="40"/>
  <c r="B4" i="40"/>
  <c r="C19" i="9"/>
  <c r="B4" i="12" l="1"/>
  <c r="B3" i="12"/>
  <c r="G19" i="9"/>
  <c r="C32" i="9" s="1"/>
  <c r="C33" i="9" s="1"/>
  <c r="N38" i="9" s="1"/>
  <c r="K28" i="9" s="1"/>
  <c r="L43" i="9"/>
  <c r="D22" i="9"/>
  <c r="C20" i="9"/>
  <c r="C21" i="9"/>
  <c r="G21" i="9" l="1"/>
  <c r="G20" i="9"/>
  <c r="D42" i="9"/>
  <c r="Q5" i="54" s="1"/>
  <c r="B47" i="63" s="1"/>
  <c r="C34" i="9"/>
  <c r="C42" i="9"/>
  <c r="G22" i="9"/>
  <c r="C35" i="9"/>
  <c r="F42" i="9" s="1"/>
  <c r="O38" i="9"/>
  <c r="O43" i="9"/>
  <c r="N43" i="9"/>
  <c r="D14" i="66"/>
  <c r="F14" i="66" s="1"/>
  <c r="E3" i="68" l="1"/>
  <c r="E4" i="68" s="1"/>
  <c r="E14" i="66"/>
  <c r="M38" i="9"/>
  <c r="K27" i="9" s="1"/>
  <c r="E42" i="9"/>
  <c r="P5" i="54" s="1"/>
  <c r="B46" i="63" s="1"/>
  <c r="R5" i="54"/>
  <c r="B48" i="63" s="1"/>
  <c r="N68" i="9"/>
  <c r="D63" i="9"/>
  <c r="C90" i="9" s="1"/>
  <c r="K25" i="9"/>
  <c r="K26" i="9"/>
  <c r="B5" i="66"/>
  <c r="D5" i="66" s="1"/>
  <c r="C103" i="9"/>
  <c r="G4" i="68" l="1"/>
  <c r="H4" i="68" s="1"/>
  <c r="J4" i="68" s="1"/>
  <c r="G3" i="68"/>
  <c r="C96" i="9"/>
  <c r="C91" i="9" s="1"/>
  <c r="C97" i="9" s="1"/>
  <c r="D70" i="9"/>
  <c r="D77" i="9"/>
  <c r="N75" i="9" s="1"/>
  <c r="C111" i="9"/>
  <c r="C104" i="9" s="1"/>
  <c r="C82" i="9"/>
  <c r="C81" i="9" s="1"/>
  <c r="C85" i="9" s="1"/>
  <c r="C86" i="9" s="1"/>
  <c r="D72" i="9" s="1"/>
  <c r="D71" i="9"/>
  <c r="D66" i="9" s="1"/>
  <c r="N72" i="9" s="1"/>
  <c r="C5" i="66"/>
  <c r="C113" i="9"/>
  <c r="C114" i="9" s="1"/>
  <c r="E114" i="9" s="1"/>
  <c r="E115" i="9" s="1"/>
  <c r="C98" i="9"/>
  <c r="E98" i="9" s="1"/>
  <c r="E99" i="9" s="1"/>
  <c r="H3" i="68" l="1"/>
  <c r="H5" i="68" s="1"/>
  <c r="C115" i="9"/>
  <c r="D76" i="9" s="1"/>
  <c r="D74" i="9" s="1"/>
  <c r="N74" i="9" s="1"/>
  <c r="O77" i="9" s="1"/>
  <c r="O78" i="9" s="1"/>
  <c r="C99" i="9"/>
  <c r="J3" i="68" l="1"/>
  <c r="O79" i="9"/>
  <c r="O80" i="9" s="1"/>
  <c r="Q77"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<sst xmlns="http://schemas.openxmlformats.org/spreadsheetml/2006/main" count="6961" uniqueCount="3093">
  <si>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</si>
  <si>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</si>
  <si>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</si>
  <si>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</si>
  <si>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</si>
  <si>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</si>
  <si>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</si>
  <si>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</si>
  <si>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</si>
  <si>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</si>
  <si>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</si>
  <si>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</si>
  <si>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</si>
  <si>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</si>
  <si>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</si>
  <si>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</si>
  <si>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</si>
  <si>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</si>
  <si>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</si>
  <si>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</si>
  <si>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</si>
  <si>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</si>
  <si>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</si>
  <si>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</si>
  <si>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</si>
  <si>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</si>
  <si>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</si>
  <si>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</si>
  <si>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</si>
  <si>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</si>
  <si>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</si>
  <si>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</si>
  <si>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</si>
  <si>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</si>
  <si>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</si>
  <si>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</si>
  <si>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</si>
  <si>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</si>
  <si>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</si>
  <si>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</si>
  <si>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</si>
  <si>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</si>
  <si>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</si>
  <si>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</si>
  <si>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</si>
  <si>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</si>
  <si>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</si>
  <si>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</si>
  <si>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</si>
  <si>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</si>
  <si>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</si>
  <si>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</si>
  <si>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</si>
  <si>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</si>
  <si>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</si>
  <si>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</si>
  <si>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</si>
  <si>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</si>
  <si>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</si>
  <si>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</si>
  <si>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</si>
  <si>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</si>
  <si>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</si>
  <si>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</si>
  <si>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</si>
  <si>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</si>
  <si>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</si>
  <si>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</si>
  <si>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</si>
  <si>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</si>
  <si>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</si>
  <si>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</si>
  <si>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</si>
  <si>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</si>
  <si>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</si>
  <si>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</si>
  <si>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</si>
  <si>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</si>
  <si>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</si>
  <si>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</si>
  <si>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</si>
  <si>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</si>
  <si>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</si>
  <si>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</si>
  <si>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</si>
  <si>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</si>
  <si>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</si>
  <si>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</si>
  <si>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</si>
  <si>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</si>
  <si>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</si>
  <si>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</si>
  <si>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</si>
  <si>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</si>
  <si>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</si>
  <si>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</si>
  <si>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</si>
  <si>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</si>
  <si>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</si>
  <si>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</si>
  <si>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</si>
  <si>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</si>
  <si>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</si>
  <si>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</si>
  <si>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</si>
  <si>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</si>
  <si>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</si>
  <si>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</si>
  <si>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</si>
  <si>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</si>
  <si>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</si>
  <si>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</si>
  <si>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</si>
  <si>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</si>
  <si>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</si>
  <si>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</si>
  <si>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</si>
  <si>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</si>
  <si>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</si>
  <si>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</si>
  <si>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</si>
  <si>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</si>
  <si>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</si>
  <si>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</si>
  <si>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</si>
  <si>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</si>
  <si>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</si>
  <si>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</si>
  <si>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</si>
  <si>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</si>
  <si>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</si>
  <si>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</si>
  <si>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</si>
  <si>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</si>
  <si>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</si>
  <si>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</si>
  <si>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</si>
  <si>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</si>
  <si>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</si>
  <si>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</si>
  <si>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</si>
  <si>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</si>
  <si>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</si>
  <si>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</si>
  <si>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</si>
  <si>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</si>
  <si>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</si>
  <si>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</si>
  <si>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</si>
  <si>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</si>
  <si>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</si>
  <si>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</si>
  <si>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</si>
  <si>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</si>
  <si>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</si>
  <si>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</si>
  <si>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</si>
  <si>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</si>
  <si>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</si>
  <si>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</si>
  <si>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</si>
  <si>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</si>
  <si>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</si>
  <si>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</si>
  <si>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</si>
  <si>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</si>
  <si>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</si>
  <si>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</si>
  <si>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</si>
  <si>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</si>
  <si>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</si>
  <si>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</si>
  <si>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</si>
  <si>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</si>
  <si>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</si>
  <si>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</si>
  <si>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</si>
  <si>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</si>
  <si>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</si>
  <si>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</si>
  <si>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</si>
  <si>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</si>
  <si>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</si>
  <si>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</si>
  <si>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</si>
  <si>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</si>
  <si>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</si>
  <si>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</si>
  <si>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</si>
  <si>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</si>
  <si>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</si>
  <si>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</si>
  <si>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</si>
  <si>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</si>
  <si>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</si>
  <si>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</si>
  <si>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</si>
  <si>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</si>
  <si>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</si>
  <si>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</si>
  <si>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</si>
  <si>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</si>
  <si>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</si>
  <si>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</si>
  <si>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</si>
  <si>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</si>
  <si>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</si>
  <si>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</si>
  <si>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</si>
  <si>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</si>
  <si>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</si>
  <si>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</si>
  <si>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</si>
  <si>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</si>
  <si>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</si>
  <si>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</si>
  <si>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</si>
  <si>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</si>
  <si>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</si>
  <si>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</si>
  <si>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</si>
  <si>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</si>
  <si>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</si>
  <si>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</si>
  <si>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</si>
  <si>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</si>
  <si>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</si>
  <si>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</si>
  <si>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</si>
  <si>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</si>
  <si>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</si>
  <si>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</si>
  <si>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</si>
  <si>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</si>
  <si>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</si>
  <si>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</si>
  <si>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</si>
  <si>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</si>
  <si>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</si>
  <si>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</si>
  <si>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</si>
  <si>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</si>
  <si>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</si>
  <si>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</si>
  <si>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</si>
  <si>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</si>
  <si>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</si>
  <si>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</si>
  <si>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</si>
  <si>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</si>
  <si>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</si>
  <si>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</si>
  <si>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</si>
  <si>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</si>
  <si>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</si>
  <si>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</si>
  <si>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</si>
  <si>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</si>
  <si>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</si>
  <si>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</si>
  <si>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</si>
  <si>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</si>
  <si>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</si>
  <si>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</si>
  <si>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</si>
  <si>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</si>
  <si>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</si>
  <si>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</si>
  <si>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</si>
  <si>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</si>
  <si>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</si>
  <si>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</si>
  <si>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</si>
  <si>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</si>
  <si>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</si>
  <si>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</si>
  <si>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</si>
  <si>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</si>
  <si>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</si>
  <si>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</si>
  <si>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</si>
  <si>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</si>
  <si>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</si>
  <si>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</si>
  <si>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</si>
  <si>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</si>
  <si>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</si>
  <si>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</si>
  <si>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</si>
  <si>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</si>
  <si>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</si>
  <si>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</si>
  <si>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</si>
  <si>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</si>
  <si>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</si>
  <si>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</si>
  <si>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</si>
  <si>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</si>
  <si>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</si>
  <si>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</si>
  <si>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</si>
  <si>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</si>
  <si>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</si>
  <si>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</si>
  <si>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</si>
  <si>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</si>
  <si>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</si>
  <si>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</si>
  <si>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</si>
  <si>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</si>
  <si>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</si>
  <si>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</si>
  <si>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</si>
  <si>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</si>
  <si>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</si>
  <si>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</si>
  <si>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</si>
  <si>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</si>
  <si>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</si>
  <si>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</si>
  <si>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</si>
  <si>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</si>
  <si>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</si>
  <si>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</si>
  <si>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</si>
  <si>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</si>
  <si>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</si>
  <si>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</si>
  <si>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</si>
  <si>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</si>
  <si>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</si>
  <si>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</si>
  <si>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</si>
  <si>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</si>
  <si>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</si>
  <si>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</si>
  <si>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</si>
  <si>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</si>
  <si>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</si>
  <si>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</si>
  <si>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</si>
  <si>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</si>
  <si>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</si>
  <si>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</si>
  <si>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</si>
  <si>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</si>
  <si>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</si>
  <si>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</si>
  <si>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</si>
  <si>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</si>
  <si>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</si>
  <si>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</si>
  <si>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</si>
  <si>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</si>
  <si>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</si>
  <si>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</si>
  <si>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</si>
  <si>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</si>
  <si>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</si>
  <si>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</si>
  <si>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</si>
  <si>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</si>
  <si>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</si>
  <si>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</si>
  <si>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</si>
  <si>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</si>
  <si>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</si>
  <si>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</si>
  <si>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</si>
  <si>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</si>
  <si>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</si>
  <si>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</si>
  <si>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</si>
  <si>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</si>
  <si>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</si>
  <si>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</si>
  <si>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</si>
  <si>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</si>
  <si>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</si>
  <si>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</si>
  <si>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</si>
  <si>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</si>
  <si>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</si>
  <si>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</si>
  <si>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</si>
  <si>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</si>
  <si>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</si>
  <si>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</si>
  <si>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</si>
  <si>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</si>
  <si>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</si>
  <si>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</si>
  <si>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</si>
  <si>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</si>
  <si>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</si>
  <si>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</si>
  <si>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</si>
  <si>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</si>
  <si>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</si>
  <si>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</si>
  <si>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</si>
  <si>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</si>
  <si>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</si>
  <si>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</si>
  <si>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</si>
  <si>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</si>
  <si>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</si>
  <si>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</si>
  <si>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</si>
  <si>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</si>
  <si>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</si>
  <si>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</si>
  <si>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</si>
  <si>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</si>
  <si>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</si>
  <si>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</si>
  <si>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</si>
  <si>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</si>
  <si>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</si>
  <si>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</si>
  <si>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</si>
  <si>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</si>
  <si>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</si>
  <si>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</si>
  <si>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</si>
  <si>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</si>
  <si>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</si>
  <si>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</si>
  <si>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</si>
  <si>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</si>
  <si>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</si>
  <si>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</si>
  <si>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</si>
  <si>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</si>
  <si>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</si>
  <si>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</si>
  <si>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</si>
  <si>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</si>
  <si>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</si>
  <si>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</si>
  <si>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</si>
  <si>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</si>
  <si>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</si>
  <si>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</si>
  <si>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</si>
  <si>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</si>
  <si>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</si>
  <si>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</si>
  <si>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</si>
  <si>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</si>
  <si>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</si>
  <si>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</si>
  <si>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</si>
  <si>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</si>
  <si>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</si>
  <si>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</si>
  <si>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</si>
  <si>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</si>
  <si>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</si>
  <si>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</si>
  <si>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</si>
  <si>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</si>
  <si>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</si>
  <si>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</si>
  <si>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</si>
  <si>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</si>
  <si>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</si>
  <si>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</si>
  <si>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</si>
  <si>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</si>
  <si>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</si>
  <si>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</si>
  <si>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</si>
  <si>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</si>
  <si>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</si>
  <si>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</si>
  <si>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</si>
  <si>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</si>
  <si>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</si>
  <si>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</si>
  <si>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</si>
  <si>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</si>
  <si>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</si>
  <si>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</si>
  <si>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</si>
  <si>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</si>
  <si>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</si>
  <si>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</si>
  <si>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</si>
  <si>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</si>
  <si>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</si>
  <si>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</si>
  <si>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</si>
  <si>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</si>
  <si>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</si>
  <si>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</si>
  <si>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</si>
  <si>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</si>
  <si>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</si>
  <si>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</si>
  <si>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</si>
  <si>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</si>
  <si>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</si>
  <si>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</si>
  <si>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</si>
  <si>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</si>
  <si>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</si>
  <si>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</si>
  <si>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</si>
  <si>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</si>
  <si>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</si>
  <si>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</si>
  <si>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</si>
  <si>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</si>
  <si>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</si>
  <si>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</si>
  <si>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</si>
  <si>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</si>
  <si>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</si>
  <si>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</si>
  <si>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</si>
  <si>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</si>
  <si>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</si>
  <si>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</si>
  <si>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</si>
  <si>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</si>
  <si>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</si>
  <si>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</si>
  <si>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</si>
  <si>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</si>
  <si>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</si>
  <si>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</si>
  <si>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</si>
  <si>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</si>
  <si>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</si>
  <si>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</si>
  <si>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</si>
  <si>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</si>
  <si>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</si>
  <si>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</si>
  <si>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</si>
  <si>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</si>
  <si>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</si>
  <si>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</si>
  <si>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</si>
  <si>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</si>
  <si>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</si>
  <si>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</si>
  <si>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</si>
  <si>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</si>
  <si>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</si>
  <si>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</si>
  <si>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</si>
  <si>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</si>
  <si>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</si>
  <si>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</si>
  <si>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</si>
  <si>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</si>
  <si>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</si>
  <si>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</si>
  <si>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</si>
  <si>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</si>
  <si>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</si>
  <si>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</si>
  <si>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</si>
  <si>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</si>
  <si>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</si>
  <si>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</si>
  <si>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</si>
  <si>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</si>
  <si>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</si>
  <si>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</si>
  <si>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</si>
  <si>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</si>
  <si>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</si>
  <si>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</si>
  <si>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</si>
  <si>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</si>
  <si>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</si>
  <si>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</si>
  <si>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</si>
  <si>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</si>
  <si>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</si>
  <si>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</si>
  <si>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</si>
  <si>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</si>
  <si>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</si>
  <si>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</si>
  <si>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</si>
  <si>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</si>
  <si>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</si>
  <si>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</si>
  <si>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</si>
  <si>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</si>
  <si>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</si>
  <si>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</si>
  <si>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</si>
  <si>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</si>
  <si>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</si>
  <si>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</si>
  <si>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</si>
  <si>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</si>
  <si>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</si>
  <si>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</si>
  <si>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</si>
  <si>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</si>
  <si>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</si>
  <si>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</si>
  <si>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</si>
  <si>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</si>
  <si>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</si>
  <si>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</si>
  <si>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</si>
  <si>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</si>
  <si>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</si>
  <si>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</si>
  <si>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</si>
  <si>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</si>
  <si>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</si>
  <si>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</si>
  <si>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</si>
  <si>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</si>
  <si>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</si>
  <si>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</si>
  <si>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</si>
  <si>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</si>
  <si>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</si>
  <si>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</si>
  <si>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</si>
  <si>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</si>
  <si>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</si>
  <si>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</si>
  <si>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</si>
  <si>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</si>
  <si>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</si>
  <si>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</si>
  <si>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</si>
  <si>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</si>
  <si>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</si>
  <si>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</si>
  <si>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</si>
  <si>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</si>
  <si>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</si>
  <si>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</si>
  <si>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</si>
  <si>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</si>
  <si>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</si>
  <si>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</si>
  <si>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</si>
  <si>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</si>
  <si>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</si>
  <si>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</si>
  <si>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</si>
  <si>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</si>
  <si>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</si>
  <si>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</si>
  <si>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</si>
  <si>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</si>
  <si>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</si>
  <si>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</si>
  <si>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</si>
  <si>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</si>
  <si>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</si>
  <si>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</si>
  <si>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</si>
  <si>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</si>
  <si>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</si>
  <si>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</si>
  <si>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</si>
  <si>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</si>
  <si>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</si>
  <si>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</si>
  <si>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</si>
  <si>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</si>
  <si>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</si>
  <si>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</si>
  <si>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</si>
  <si>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</si>
  <si>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</si>
  <si>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</si>
  <si>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</si>
  <si>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</si>
  <si>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</si>
  <si>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</si>
  <si>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</si>
  <si>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</si>
  <si>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</si>
  <si>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</si>
  <si>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</si>
  <si>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</si>
  <si>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</si>
  <si>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</si>
  <si>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</si>
  <si>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</si>
  <si>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</si>
  <si>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</si>
  <si>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</si>
  <si>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</si>
  <si>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</si>
  <si>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</si>
  <si>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</si>
  <si>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</si>
  <si>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</si>
  <si>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</si>
  <si>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</si>
  <si>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</si>
  <si>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</si>
  <si>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</si>
  <si>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</si>
  <si>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</si>
  <si>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</si>
  <si>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</si>
  <si>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</si>
  <si>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</si>
  <si>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</si>
  <si>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</si>
  <si>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</si>
  <si>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</si>
  <si>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</si>
  <si>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</si>
  <si>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</si>
  <si>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</si>
  <si>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</si>
  <si>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</si>
  <si>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</si>
  <si>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</si>
  <si>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</si>
  <si>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</si>
  <si>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</si>
  <si>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</si>
  <si>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</si>
  <si>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</si>
  <si>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</si>
  <si>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</si>
  <si>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</si>
  <si>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</si>
  <si>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</si>
  <si>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</si>
  <si>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</si>
  <si>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</si>
  <si>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</si>
  <si>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</si>
  <si>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</si>
  <si>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</si>
  <si>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</si>
  <si>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</si>
  <si>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</si>
  <si>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</si>
  <si>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</si>
  <si>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</si>
  <si>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</si>
  <si>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</si>
  <si>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</si>
  <si>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</si>
  <si>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</si>
  <si>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</si>
  <si>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</si>
  <si>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</si>
  <si>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</si>
  <si>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</si>
  <si>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</si>
  <si>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</si>
  <si>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</si>
  <si>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</si>
  <si>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</si>
  <si>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</si>
  <si>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</si>
  <si>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</si>
  <si>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</si>
  <si>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</si>
  <si>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</si>
  <si>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</si>
  <si>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</si>
  <si>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</si>
  <si>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</si>
  <si>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</si>
  <si>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</si>
  <si>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</si>
  <si>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</si>
  <si>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</si>
  <si>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</si>
  <si>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</si>
  <si>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</si>
  <si>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</si>
  <si>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</si>
  <si>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</si>
  <si>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</si>
  <si>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</si>
  <si>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</si>
  <si>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</si>
  <si>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</si>
  <si>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</si>
  <si>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</si>
  <si>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</si>
  <si>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</si>
  <si>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</si>
  <si>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</si>
  <si>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</si>
  <si>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</si>
  <si>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</si>
  <si>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</si>
  <si>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</si>
  <si>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</si>
  <si>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</si>
  <si>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</si>
  <si>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</si>
  <si>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</si>
  <si>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</si>
  <si>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</si>
  <si>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</si>
  <si>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</si>
  <si>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</si>
  <si>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</si>
  <si>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</si>
  <si>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</si>
  <si>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</si>
  <si>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</si>
  <si>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</si>
  <si>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</si>
  <si>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</si>
  <si>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</si>
  <si>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</si>
  <si>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</si>
  <si>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</si>
  <si>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</si>
  <si>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</si>
  <si>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</si>
  <si>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</si>
  <si>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</si>
  <si>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</si>
  <si>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</si>
  <si>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</si>
  <si>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</si>
  <si>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</si>
  <si>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</si>
  <si>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</si>
  <si>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</si>
  <si>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</si>
  <si>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</si>
  <si>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</si>
  <si>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</si>
  <si>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</si>
  <si>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</si>
  <si>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</si>
  <si>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</si>
  <si>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</si>
  <si>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</si>
  <si>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</si>
  <si>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</si>
  <si>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</si>
  <si>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</si>
  <si>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</si>
  <si>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</si>
  <si>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</si>
  <si>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</si>
  <si>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</si>
  <si>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</si>
  <si>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</si>
  <si>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</si>
  <si>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</si>
  <si>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</si>
  <si>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</si>
  <si>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</si>
  <si>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</si>
  <si>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</si>
  <si>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</si>
  <si>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</si>
  <si>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</si>
  <si>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</si>
  <si>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</si>
  <si>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</si>
  <si>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</si>
  <si>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</si>
  <si>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</si>
  <si>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</si>
  <si>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</si>
  <si>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</si>
  <si>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</si>
  <si>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</si>
  <si>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</si>
  <si>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</si>
  <si>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</si>
  <si>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</si>
  <si>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</si>
  <si>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</si>
  <si>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</si>
  <si>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</si>
  <si>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</si>
  <si>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</si>
  <si>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</si>
  <si>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</si>
  <si>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</si>
  <si>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</si>
  <si>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</si>
  <si>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</si>
  <si>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</si>
  <si>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</si>
  <si>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</si>
  <si>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</si>
  <si>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</si>
  <si>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</si>
  <si>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</si>
  <si>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</si>
  <si>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</si>
  <si>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</si>
  <si>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</si>
  <si>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</si>
  <si>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</si>
  <si>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</si>
  <si>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</si>
  <si>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</si>
  <si>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</si>
  <si>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</si>
  <si>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</si>
  <si>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</si>
  <si>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</si>
  <si>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</si>
  <si>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</si>
  <si>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</si>
  <si>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</si>
  <si>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</si>
  <si>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</si>
  <si>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</si>
  <si>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</si>
  <si>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</si>
  <si>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</si>
  <si>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</si>
  <si>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</si>
  <si>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</si>
  <si>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</si>
  <si>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</si>
  <si>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</si>
  <si>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</si>
  <si>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</si>
  <si>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</si>
  <si>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</si>
  <si>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</si>
  <si>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</si>
  <si>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</si>
  <si>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</si>
  <si>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</si>
  <si>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</si>
  <si>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</si>
  <si>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</si>
  <si>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</si>
  <si>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</si>
  <si>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</si>
  <si>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</si>
  <si>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</si>
  <si>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</si>
  <si>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</si>
  <si>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</si>
  <si>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</si>
  <si>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</si>
  <si>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</si>
  <si>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</si>
  <si>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</si>
  <si>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</si>
  <si>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</si>
  <si>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</si>
  <si>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</si>
  <si>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</si>
  <si>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</si>
  <si>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</si>
  <si>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</si>
  <si>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</si>
  <si>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</si>
  <si>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</si>
  <si>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</si>
  <si>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</si>
  <si>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</si>
  <si>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</si>
  <si>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</si>
  <si>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</si>
  <si>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</si>
  <si>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</si>
  <si>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</si>
  <si>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</si>
  <si>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</si>
  <si>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</si>
  <si>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</si>
  <si>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</si>
  <si>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</si>
  <si>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</si>
  <si>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</si>
  <si>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</si>
  <si>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</si>
  <si>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</si>
  <si>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</si>
  <si>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</si>
  <si>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</si>
  <si>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</si>
  <si>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</si>
  <si>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</si>
  <si>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</si>
  <si>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</si>
  <si>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</si>
  <si>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</si>
  <si>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</si>
  <si>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</si>
  <si>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</si>
  <si>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</si>
  <si>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</si>
  <si>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</si>
  <si>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</si>
  <si>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</si>
  <si>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</si>
  <si>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</si>
  <si>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</si>
  <si>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</si>
  <si>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</si>
  <si>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</si>
  <si>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</si>
  <si>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</si>
  <si>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</si>
  <si>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</si>
  <si>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</si>
  <si>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</si>
  <si>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</si>
  <si>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</si>
  <si>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</si>
  <si>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</si>
  <si>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</si>
  <si>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</si>
  <si>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</si>
  <si>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</si>
  <si>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</si>
  <si>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</si>
  <si>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</si>
  <si>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</si>
  <si>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</si>
  <si>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</si>
  <si>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</si>
  <si>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</si>
  <si>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</si>
  <si>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</si>
  <si>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</si>
  <si>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</si>
  <si>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</si>
  <si>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</si>
  <si>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</si>
  <si>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</si>
  <si>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</si>
  <si>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</si>
  <si>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</si>
  <si>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</si>
  <si>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</si>
  <si>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</si>
  <si>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</si>
  <si>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</si>
  <si>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</si>
  <si>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</si>
  <si>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</si>
  <si>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</si>
  <si>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</si>
  <si>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</si>
  <si>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</si>
  <si>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</si>
  <si>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</si>
  <si>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</si>
  <si>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</si>
  <si>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</si>
  <si>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</si>
  <si>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</si>
  <si>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</si>
  <si>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</si>
  <si>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</si>
  <si>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</si>
  <si>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</si>
  <si>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</si>
  <si>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</si>
  <si>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</si>
  <si>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</si>
  <si>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</si>
  <si>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</si>
  <si>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</si>
  <si>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</si>
  <si>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</si>
  <si>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</si>
  <si>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</si>
  <si>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</si>
  <si>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</si>
  <si>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</si>
  <si>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</si>
  <si>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</si>
  <si>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</si>
  <si>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</si>
  <si>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</si>
  <si>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</si>
  <si>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</si>
  <si>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</si>
  <si>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</si>
  <si>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</si>
  <si>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</si>
  <si>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</si>
  <si>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</si>
  <si>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</si>
  <si>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</si>
  <si>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</si>
  <si>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</si>
  <si>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</si>
  <si>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</si>
  <si>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</si>
  <si>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</si>
  <si>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</si>
  <si>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</si>
  <si>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</si>
  <si>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</si>
  <si>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</si>
  <si>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</si>
  <si>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</si>
  <si>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</si>
  <si>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</si>
  <si>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</si>
  <si>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</si>
  <si>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</si>
  <si>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</si>
  <si>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</si>
  <si>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</si>
  <si>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</si>
  <si>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</si>
  <si>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</si>
  <si>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</si>
  <si>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</si>
  <si>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</si>
  <si>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</si>
  <si>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</si>
  <si>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</si>
  <si>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</si>
  <si>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</si>
  <si>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</si>
  <si>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</si>
  <si>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</si>
  <si>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</si>
  <si>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</si>
  <si>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</si>
  <si>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</si>
  <si>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</si>
  <si>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</si>
  <si>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</si>
  <si>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</si>
  <si>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</si>
  <si>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</si>
  <si>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</si>
  <si>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</si>
  <si>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</si>
  <si>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</si>
  <si>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</si>
  <si>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</si>
  <si>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</si>
  <si>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</si>
  <si>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</si>
  <si>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</si>
  <si>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</si>
  <si>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</si>
  <si>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</si>
  <si>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</si>
  <si>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</si>
  <si>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</si>
  <si>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</si>
  <si>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</si>
  <si>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</si>
  <si>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</si>
  <si>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</si>
  <si>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</si>
  <si>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</si>
  <si>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</si>
  <si>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</si>
  <si>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</si>
  <si>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</si>
  <si>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</si>
  <si>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</si>
  <si>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</si>
  <si>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</si>
  <si>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</si>
  <si>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</si>
  <si>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</si>
  <si>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</si>
  <si>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</si>
  <si>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</si>
  <si>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</si>
  <si>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</si>
  <si>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</si>
  <si>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</si>
  <si>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</si>
  <si>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</si>
  <si>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</si>
  <si>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</si>
  <si>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</si>
  <si>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</si>
  <si>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</si>
  <si>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</si>
  <si>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</si>
  <si>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</si>
  <si>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</si>
  <si>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</si>
  <si>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</si>
  <si>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</si>
  <si>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</si>
  <si>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</si>
  <si>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</si>
  <si>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</si>
  <si>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</si>
  <si>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</si>
  <si>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</si>
  <si>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</si>
  <si>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</si>
  <si>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</si>
  <si>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</si>
  <si>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</si>
  <si>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</si>
  <si>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</si>
  <si>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</si>
  <si>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</si>
  <si>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</si>
  <si>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</si>
  <si>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</si>
  <si>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</si>
  <si>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</si>
  <si>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</si>
  <si>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</si>
  <si>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</si>
  <si>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</si>
  <si>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</si>
  <si>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</si>
  <si>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</si>
  <si>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</si>
  <si>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</si>
  <si>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</si>
  <si>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</si>
  <si>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</si>
  <si>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</si>
  <si>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</si>
  <si>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</si>
  <si>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</si>
  <si>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</si>
  <si>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</si>
  <si>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</si>
  <si>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</si>
  <si>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</si>
  <si>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</si>
  <si>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</si>
  <si>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</si>
  <si>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</si>
  <si>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</si>
  <si>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</si>
  <si>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</si>
  <si>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</si>
  <si>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</si>
  <si>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</si>
  <si>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</si>
  <si>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</si>
  <si>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</si>
  <si>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</si>
  <si>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</si>
  <si>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</si>
  <si>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</si>
  <si>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</si>
  <si>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</si>
  <si>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</si>
  <si>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</si>
  <si>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</si>
  <si>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</si>
  <si>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</si>
  <si>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</si>
  <si>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</si>
  <si>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</si>
  <si>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</si>
  <si>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</si>
  <si>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</si>
  <si>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</si>
  <si>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</si>
  <si>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</si>
  <si>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</si>
  <si>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</si>
  <si>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</si>
  <si>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</si>
  <si>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</si>
  <si>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</si>
  <si>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</si>
  <si>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</si>
  <si>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</si>
  <si>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</si>
  <si>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</si>
  <si>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</si>
  <si>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</si>
  <si>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</si>
  <si>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</si>
  <si>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</si>
  <si>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</si>
  <si>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</si>
  <si>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</si>
  <si>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</si>
  <si>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</si>
  <si>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</si>
  <si>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</si>
  <si>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</si>
  <si>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</si>
  <si>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</si>
  <si>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</si>
  <si>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</si>
  <si>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</si>
  <si>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</si>
  <si>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</si>
  <si>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</si>
  <si>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</si>
  <si>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</si>
  <si>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</si>
  <si>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</si>
  <si>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</si>
  <si>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</si>
  <si>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</si>
  <si>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</si>
  <si>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</si>
  <si>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</si>
  <si>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</si>
  <si>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</si>
  <si>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</si>
  <si>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</si>
  <si>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</si>
  <si>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</si>
  <si>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</si>
  <si>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</si>
  <si>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</si>
  <si>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</si>
  <si>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</si>
  <si>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</si>
  <si>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</si>
  <si>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</si>
  <si>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</si>
  <si>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</si>
  <si>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</si>
  <si>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</si>
  <si>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</si>
  <si>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</si>
  <si>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</si>
  <si>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</si>
  <si>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</si>
  <si>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</si>
  <si>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</si>
  <si>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</si>
  <si>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</si>
  <si>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</si>
  <si>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</si>
  <si>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</si>
  <si>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</si>
  <si>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</si>
  <si>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</si>
  <si>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</si>
  <si>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</si>
  <si>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</si>
  <si>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</si>
  <si>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</si>
  <si>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</si>
  <si>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</si>
  <si>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</si>
  <si>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</si>
  <si>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</si>
  <si>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</si>
  <si>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</si>
  <si>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</si>
  <si>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</si>
  <si>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</si>
  <si>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</si>
  <si>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</si>
  <si>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</si>
  <si>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</si>
  <si>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</si>
  <si>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</si>
  <si>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</si>
  <si>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</si>
  <si>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</si>
  <si>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</si>
  <si>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</si>
  <si>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</si>
  <si>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</si>
  <si>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</si>
  <si>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</si>
  <si>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</si>
  <si>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</si>
  <si>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</si>
  <si>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</si>
  <si>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</si>
  <si>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</si>
  <si>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</si>
  <si>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</si>
  <si>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</si>
  <si>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</si>
  <si>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</si>
  <si>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</si>
  <si>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</si>
  <si>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</si>
  <si>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</si>
  <si>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</si>
  <si>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</si>
  <si>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</si>
  <si>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</si>
  <si>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</si>
  <si>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</si>
  <si>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</si>
  <si>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</si>
  <si>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</si>
  <si>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</si>
  <si>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</si>
  <si>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</si>
  <si>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</si>
  <si>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</si>
  <si>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</si>
  <si>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</si>
  <si>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</si>
  <si>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</si>
  <si>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</si>
  <si>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</si>
  <si>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</si>
  <si>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</si>
  <si>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</si>
  <si>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</si>
  <si>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</si>
  <si>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</si>
  <si>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</si>
  <si>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</si>
  <si>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</si>
  <si>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</si>
  <si>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</si>
  <si>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</si>
  <si>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</si>
  <si>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</si>
  <si>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</si>
  <si>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</si>
  <si>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</si>
  <si>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</si>
  <si>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</si>
  <si>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</si>
  <si>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</si>
  <si>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</si>
  <si>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</si>
  <si>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</si>
  <si>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</si>
  <si>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</si>
  <si>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</si>
  <si>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</si>
  <si>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</si>
  <si>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</si>
  <si>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</si>
  <si>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</si>
  <si>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</si>
  <si>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</si>
  <si>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</si>
  <si>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</si>
  <si>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</si>
  <si>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</si>
  <si>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</si>
  <si>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</si>
  <si>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</si>
  <si>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</si>
  <si>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</si>
  <si>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</si>
  <si>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</si>
  <si>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</si>
  <si>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</si>
  <si>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</si>
  <si>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</si>
  <si>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</si>
  <si>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</si>
  <si>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</si>
  <si>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</si>
  <si>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</si>
  <si>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</si>
  <si>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</si>
  <si>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</si>
  <si>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</si>
  <si>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</si>
  <si>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</si>
  <si>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</si>
  <si>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</si>
  <si>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</si>
  <si>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</si>
  <si>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</si>
  <si>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</si>
  <si>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</si>
  <si>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</si>
  <si>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</si>
  <si>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</si>
  <si>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</si>
  <si>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</si>
  <si>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</si>
  <si>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</si>
  <si>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</si>
  <si>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</si>
  <si>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</si>
  <si>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</si>
  <si>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</si>
  <si>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</si>
  <si>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</si>
  <si>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</si>
  <si>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</si>
  <si>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</si>
  <si>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</si>
  <si>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</si>
  <si>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</si>
  <si>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</si>
  <si>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</si>
  <si>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</si>
  <si>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</si>
  <si>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</si>
  <si>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</si>
  <si>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</si>
  <si>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</si>
  <si>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</si>
  <si>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</si>
  <si>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</si>
  <si>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</si>
  <si>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</si>
  <si>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</si>
  <si>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</si>
  <si>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</si>
  <si>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</si>
  <si>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</si>
  <si>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</si>
  <si>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</si>
  <si>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</si>
  <si>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</si>
  <si>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</si>
  <si>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</si>
  <si>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</si>
  <si>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</si>
  <si>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</si>
  <si>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</si>
  <si>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</si>
  <si>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</si>
  <si>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</si>
  <si>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</si>
  <si>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</si>
  <si>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</si>
  <si>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</si>
  <si>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</si>
  <si>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</si>
  <si>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</si>
  <si>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</si>
  <si>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</si>
  <si>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</si>
  <si>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</si>
  <si>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</si>
  <si>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</si>
  <si>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</si>
  <si>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</si>
  <si>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</si>
  <si>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</si>
  <si>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</si>
  <si>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</si>
  <si>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</si>
  <si>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</si>
  <si>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</si>
  <si>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</si>
  <si>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</si>
  <si>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</si>
  <si>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</si>
  <si>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</si>
  <si>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</si>
  <si>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</si>
  <si>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</si>
  <si>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</si>
  <si>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</si>
  <si>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</si>
  <si>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</si>
  <si>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</si>
  <si>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</si>
  <si>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</si>
  <si>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</si>
  <si>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</si>
  <si>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</si>
  <si>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</si>
  <si>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</si>
  <si>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</si>
  <si>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</si>
  <si>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</si>
  <si>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</si>
  <si>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</si>
  <si>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</si>
  <si>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</si>
  <si>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</si>
  <si>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</si>
  <si>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</si>
  <si>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</si>
  <si>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</si>
  <si>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</si>
  <si>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</si>
  <si>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</si>
  <si>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</si>
  <si>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</si>
  <si>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</si>
  <si>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</si>
  <si>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</si>
  <si>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</si>
  <si>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</si>
  <si>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</si>
  <si>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</si>
  <si>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</si>
  <si>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</si>
  <si>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</si>
  <si>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</si>
  <si>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</si>
  <si>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</si>
  <si>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</si>
  <si>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</si>
  <si>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</si>
  <si>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</si>
  <si>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</si>
  <si>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</si>
  <si>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</si>
  <si>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</si>
  <si>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</si>
  <si>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</si>
  <si>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</si>
  <si>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</si>
  <si>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</si>
  <si>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</si>
  <si>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</si>
  <si>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</si>
  <si>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</si>
  <si>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</si>
  <si>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</si>
  <si>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</si>
  <si>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</si>
  <si>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</si>
  <si>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</si>
  <si>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</si>
  <si>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</si>
  <si>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</si>
  <si>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</si>
  <si>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</si>
  <si>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</si>
  <si>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</si>
  <si>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</si>
  <si>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</si>
  <si>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</si>
  <si>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</si>
  <si>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</si>
  <si>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</si>
  <si>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</si>
  <si>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</si>
  <si>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</si>
  <si>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</si>
  <si>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</si>
  <si>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</si>
  <si>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</si>
  <si>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</si>
  <si>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</si>
  <si>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</si>
  <si>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</si>
  <si>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</si>
  <si>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</si>
  <si>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</si>
  <si>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</si>
  <si>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</si>
  <si>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</si>
  <si>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</si>
  <si>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</si>
  <si>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</si>
  <si>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</si>
  <si>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</si>
  <si>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</si>
  <si>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</si>
  <si>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</si>
  <si>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</si>
  <si>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</si>
  <si>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</si>
  <si>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</si>
  <si>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</si>
  <si>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</si>
  <si>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</si>
  <si>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</si>
  <si>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</si>
  <si>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</si>
  <si>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</si>
  <si>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</si>
  <si>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</si>
  <si>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</si>
  <si>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</si>
  <si>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</si>
  <si>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</si>
  <si>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</si>
  <si>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</si>
  <si>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</si>
  <si>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</si>
  <si>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</si>
  <si>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</si>
  <si>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</si>
  <si>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</si>
  <si>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</si>
  <si>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</si>
  <si>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</si>
  <si>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</si>
  <si>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</si>
  <si>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</si>
  <si>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</si>
  <si>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</si>
  <si>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</si>
  <si>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</si>
  <si>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</si>
  <si>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</si>
  <si>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</si>
  <si>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</si>
  <si>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</si>
  <si>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</si>
  <si>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</si>
  <si>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</si>
  <si>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</si>
  <si>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</si>
  <si>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</si>
  <si>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</si>
  <si>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</si>
  <si>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</si>
  <si>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</si>
  <si>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</si>
  <si>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</si>
  <si>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</si>
  <si>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</si>
  <si>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</si>
  <si>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</si>
  <si>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</si>
  <si>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</si>
  <si>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</si>
  <si>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</si>
  <si>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</si>
  <si>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</si>
  <si>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</si>
  <si>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</si>
  <si>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</si>
  <si>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</si>
  <si>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</si>
  <si>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</si>
  <si>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</si>
  <si>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</si>
  <si>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</si>
  <si>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</si>
  <si>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</si>
  <si>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</si>
  <si>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</si>
  <si>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</si>
  <si>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</si>
  <si>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</si>
  <si>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</si>
  <si>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</si>
  <si>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</si>
  <si>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</si>
  <si>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</si>
  <si>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</si>
  <si>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</si>
  <si>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</si>
  <si>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</si>
  <si>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</si>
  <si>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</si>
  <si>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</si>
  <si>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</si>
  <si>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</si>
  <si>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</si>
  <si>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</si>
  <si>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</si>
  <si>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</si>
  <si>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</si>
  <si>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</si>
  <si>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</si>
  <si>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</si>
  <si>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</si>
  <si>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</si>
  <si>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</si>
  <si>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</si>
  <si>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</si>
  <si>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</si>
  <si>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</si>
  <si>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</si>
  <si>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</si>
  <si>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</si>
  <si>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</si>
  <si>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</si>
  <si>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</si>
  <si>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</si>
  <si>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</si>
  <si>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</si>
  <si>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</si>
  <si>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</si>
  <si>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</si>
  <si>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</si>
  <si>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</si>
  <si>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</si>
  <si>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</si>
  <si>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</si>
  <si>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</si>
  <si>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</si>
  <si>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</si>
  <si>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</si>
  <si>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</si>
  <si>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</si>
  <si>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</si>
  <si>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</si>
  <si>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</si>
  <si>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</si>
  <si>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</si>
  <si>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</si>
  <si>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</si>
  <si>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</si>
  <si>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</si>
  <si>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</si>
  <si>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</si>
  <si>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</si>
  <si>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</si>
  <si>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</si>
  <si>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</si>
  <si>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</si>
  <si>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</si>
  <si>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</si>
  <si>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</si>
  <si>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</si>
  <si>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</si>
  <si>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</si>
  <si>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</si>
  <si>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</si>
  <si>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</si>
  <si>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</si>
  <si>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</si>
  <si>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</si>
  <si>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</si>
  <si>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</si>
  <si>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</si>
  <si>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</si>
  <si>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</si>
  <si>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</si>
  <si>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</si>
  <si>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</si>
  <si>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</si>
  <si>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</si>
  <si>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</si>
  <si>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</si>
  <si>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</si>
  <si>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</si>
  <si>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</si>
  <si>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</si>
  <si>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</si>
  <si>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</si>
  <si>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</si>
  <si>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</si>
  <si>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</si>
  <si>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</si>
  <si>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</si>
  <si>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</si>
  <si>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</si>
  <si>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</si>
  <si>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</si>
  <si>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</si>
  <si>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</si>
  <si>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</si>
  <si>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</si>
  <si>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</si>
  <si>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</si>
  <si>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</si>
  <si>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</si>
  <si>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</si>
  <si>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</si>
  <si>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</si>
  <si>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</si>
  <si>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</si>
  <si>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</si>
  <si>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</si>
  <si>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</si>
  <si>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</si>
  <si>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</si>
  <si>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</si>
  <si>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</si>
  <si>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</si>
  <si>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</si>
  <si>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</si>
  <si>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</si>
  <si>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</si>
  <si>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</si>
  <si>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</si>
  <si>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</si>
  <si>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</si>
  <si>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</si>
  <si>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</si>
  <si>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</si>
  <si>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</si>
  <si>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</si>
  <si>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</si>
  <si>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</si>
  <si>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</si>
  <si>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</si>
  <si>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</si>
  <si>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</si>
  <si>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</si>
  <si>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</si>
  <si>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</si>
  <si>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</si>
  <si>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</si>
  <si>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</si>
  <si>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</si>
  <si>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</si>
  <si>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</si>
  <si>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</si>
  <si>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</si>
  <si>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</si>
  <si>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</si>
  <si>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</si>
  <si>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</si>
  <si>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</si>
  <si>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</si>
  <si>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</si>
  <si>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</si>
  <si>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</si>
  <si>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</si>
  <si>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</si>
  <si>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</si>
  <si>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</si>
  <si>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</si>
  <si>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</si>
  <si>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</si>
  <si>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</si>
  <si>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</si>
  <si>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</si>
  <si>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</si>
  <si>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</si>
  <si>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</si>
  <si>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</si>
  <si>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</si>
  <si>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</si>
  <si>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</si>
  <si>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</si>
  <si>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</si>
  <si>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</si>
  <si>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</si>
  <si>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</si>
  <si>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</si>
  <si>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</si>
  <si>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</si>
  <si>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</si>
  <si>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</si>
  <si>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</si>
  <si>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</si>
  <si>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</si>
  <si>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</si>
  <si>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</si>
  <si>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</si>
  <si>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</si>
  <si>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</si>
  <si>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</si>
  <si>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</si>
  <si>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</si>
  <si>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</si>
  <si>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</si>
  <si>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</si>
  <si>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</si>
  <si>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</si>
  <si>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</si>
  <si>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</si>
  <si>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</si>
  <si>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</si>
  <si>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</si>
  <si>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</si>
  <si>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</si>
  <si>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</si>
  <si>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</si>
  <si>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</si>
  <si>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</si>
  <si>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</si>
  <si>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</si>
  <si>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</si>
  <si>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</si>
  <si>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</si>
  <si>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</si>
  <si>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</si>
  <si>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</si>
  <si>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</si>
  <si>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</si>
  <si>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</si>
  <si>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</si>
  <si>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</si>
  <si>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</si>
  <si>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</si>
  <si>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</si>
  <si>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</si>
  <si>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</si>
  <si>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</si>
  <si>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</si>
  <si>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</si>
  <si>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</si>
  <si>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</si>
  <si>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</si>
  <si>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</si>
  <si>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</si>
  <si>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</si>
  <si>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</si>
  <si>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</si>
  <si>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</si>
  <si>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</si>
  <si>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</si>
  <si>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</si>
  <si>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</si>
  <si>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</si>
  <si>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</si>
  <si>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</si>
  <si>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</si>
  <si>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</si>
  <si>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</si>
  <si>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</si>
  <si>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</si>
  <si>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</si>
  <si>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</si>
  <si>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</si>
  <si>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</si>
  <si>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</si>
  <si>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</si>
  <si>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</si>
  <si>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</si>
  <si>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</si>
  <si>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</si>
  <si>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</si>
  <si>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</si>
  <si>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</si>
  <si>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</si>
  <si>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</si>
  <si>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</si>
  <si>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</si>
  <si>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</si>
  <si>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</si>
  <si>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</si>
  <si>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</si>
  <si>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</si>
  <si>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</si>
  <si>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</si>
  <si>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</si>
  <si>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</si>
  <si>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</si>
  <si>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</si>
  <si>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</si>
  <si>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</si>
  <si>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</si>
  <si>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</si>
  <si>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</si>
  <si>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</si>
  <si>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</si>
  <si>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</si>
  <si>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</si>
  <si>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</si>
  <si>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</si>
  <si>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</si>
  <si>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</si>
  <si>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</si>
  <si>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</si>
  <si>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</si>
  <si>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</si>
  <si>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</si>
  <si>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</si>
  <si>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</si>
  <si>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</si>
  <si>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</si>
  <si>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</si>
  <si>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</si>
  <si>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</si>
  <si>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</si>
  <si>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</si>
  <si>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</si>
  <si>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</si>
  <si>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</si>
  <si>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</si>
  <si>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</si>
  <si>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</si>
  <si>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</si>
  <si>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</si>
  <si>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</si>
  <si>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</si>
  <si>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</si>
  <si>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</si>
  <si>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</si>
  <si>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</si>
  <si>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</si>
  <si>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</si>
  <si>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</si>
  <si>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</si>
  <si>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</si>
  <si>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</si>
  <si>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</si>
  <si>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</si>
  <si>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</si>
  <si>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</si>
  <si>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</si>
  <si>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</si>
  <si>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</si>
  <si>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</si>
  <si>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</si>
  <si>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</si>
  <si>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</si>
  <si>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</si>
  <si>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</si>
  <si>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</si>
  <si>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</si>
  <si>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</si>
  <si>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</si>
  <si>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</si>
  <si>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</si>
  <si>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</si>
  <si>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</si>
  <si>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</si>
  <si>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</si>
  <si>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</si>
  <si>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</si>
  <si>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</si>
  <si>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</si>
  <si>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</si>
  <si>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</si>
  <si>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</si>
  <si>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</si>
  <si>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</si>
  <si>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</si>
  <si>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</si>
  <si>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</si>
  <si>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</si>
  <si>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</si>
  <si>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</si>
  <si>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</si>
  <si>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</si>
  <si>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</si>
  <si>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</si>
  <si>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</si>
  <si>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</si>
  <si>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</si>
  <si>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</si>
  <si>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</si>
  <si>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</si>
  <si>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</si>
  <si>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</si>
  <si>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</si>
  <si>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</si>
  <si>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</si>
  <si>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</si>
  <si>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</si>
  <si>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</si>
  <si>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</si>
  <si>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</si>
  <si>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</si>
  <si>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</si>
  <si>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</si>
  <si>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</si>
  <si>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</si>
  <si>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</si>
  <si>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</si>
  <si>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</si>
  <si>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</si>
  <si>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</si>
  <si>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</si>
  <si>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</si>
  <si>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</si>
  <si>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</si>
  <si>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</si>
  <si>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</si>
  <si>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</si>
  <si>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</si>
  <si>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</si>
  <si>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</si>
  <si>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</si>
  <si>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</si>
  <si>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</si>
  <si>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</si>
  <si>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</si>
  <si>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</si>
  <si>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</si>
  <si>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</si>
  <si>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</si>
  <si>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</si>
  <si>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</si>
  <si>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</si>
  <si>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</si>
  <si>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</si>
  <si>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</si>
  <si>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</si>
  <si>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</si>
  <si>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</si>
  <si>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</si>
  <si>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</si>
  <si>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</si>
  <si>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</si>
  <si>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</si>
  <si>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</si>
  <si>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</si>
  <si>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</si>
  <si>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</si>
  <si>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</si>
  <si>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</si>
  <si>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</si>
  <si>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</si>
  <si>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</si>
  <si>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</si>
  <si>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</si>
  <si>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</si>
  <si>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</si>
  <si>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</si>
  <si>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</si>
  <si>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</si>
  <si>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</si>
  <si>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</si>
  <si>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</si>
  <si>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</si>
  <si>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</si>
  <si>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</si>
  <si>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</si>
  <si>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</si>
  <si>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</si>
  <si>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</si>
  <si>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</si>
  <si>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</si>
  <si>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</si>
  <si>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</si>
  <si>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</si>
  <si>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</si>
  <si>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</si>
  <si>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</si>
  <si>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</si>
  <si>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</si>
  <si>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</si>
  <si>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</si>
  <si>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</si>
  <si>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</si>
  <si>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</si>
  <si>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</si>
  <si>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</si>
  <si>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</si>
  <si>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</si>
  <si>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</si>
  <si>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</si>
  <si>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</si>
  <si>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</si>
  <si>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</si>
  <si>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</si>
  <si>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</si>
  <si>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</si>
  <si>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</si>
  <si>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</si>
  <si>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</si>
  <si>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</si>
  <si>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</si>
  <si>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</si>
  <si>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</si>
  <si>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</si>
  <si>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</si>
  <si>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</si>
  <si>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</si>
  <si>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</si>
  <si>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</si>
  <si>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</si>
  <si>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</si>
  <si>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</si>
  <si>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</si>
  <si>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</si>
  <si>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</si>
  <si>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</si>
  <si>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</si>
  <si>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</si>
  <si>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</si>
  <si>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</si>
  <si>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</si>
  <si>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</si>
  <si>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</si>
  <si>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</si>
  <si>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</si>
  <si>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</si>
  <si>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</si>
  <si>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</si>
  <si>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</si>
  <si>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</si>
  <si>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</si>
  <si>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</si>
  <si>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</si>
  <si>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</si>
  <si>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</si>
  <si>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</si>
  <si>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</si>
  <si>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</si>
  <si>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</si>
  <si>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</si>
  <si>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</si>
  <si>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</si>
  <si>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</si>
  <si>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</si>
  <si>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</si>
  <si>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</si>
  <si>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</si>
  <si>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</si>
  <si>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</si>
  <si>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</si>
  <si>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</si>
  <si>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</si>
  <si>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</si>
  <si>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</si>
  <si>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</si>
  <si>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</si>
  <si>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</si>
  <si>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</si>
  <si>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</si>
  <si>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</si>
  <si>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</si>
  <si>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</si>
  <si>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</si>
  <si>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</si>
  <si>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</si>
  <si>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</si>
  <si>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</si>
  <si>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</si>
  <si>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</si>
  <si>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</si>
  <si>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</si>
  <si>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</si>
  <si>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</si>
  <si>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</si>
  <si>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</si>
  <si>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</si>
  <si>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</si>
  <si>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</si>
  <si>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</si>
  <si>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</si>
  <si>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</si>
  <si>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</si>
  <si>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</si>
  <si>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</si>
  <si>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</si>
  <si>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</si>
  <si>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</si>
  <si>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</si>
  <si>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</si>
  <si>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</si>
  <si>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</si>
  <si>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</si>
  <si>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</si>
  <si>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</si>
  <si>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</si>
  <si>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</si>
  <si>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</si>
  <si>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</si>
  <si>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</si>
  <si>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</si>
  <si>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</si>
  <si>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</si>
  <si>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</si>
  <si>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</si>
  <si>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</si>
  <si>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</si>
  <si>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</si>
  <si>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</si>
  <si>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</si>
  <si>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</si>
  <si>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</si>
  <si>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</si>
  <si>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</si>
  <si>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</si>
  <si>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</si>
  <si>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</si>
  <si>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</si>
  <si>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</si>
  <si>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</si>
  <si>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</si>
  <si>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</si>
  <si>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</si>
  <si>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</si>
  <si>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</si>
  <si>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</si>
  <si>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</si>
  <si>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</si>
  <si>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</si>
  <si>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</si>
  <si>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</si>
  <si>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</si>
  <si>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</si>
  <si>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</si>
  <si>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</si>
  <si>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</si>
  <si>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</si>
  <si>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</si>
  <si>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</si>
  <si>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</si>
  <si>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</si>
  <si>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</si>
  <si>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</si>
  <si>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</si>
  <si>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</si>
  <si>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</si>
  <si>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</si>
  <si>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</si>
  <si>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</si>
  <si>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</si>
  <si>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</si>
  <si>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</si>
  <si>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</si>
  <si>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</si>
  <si>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</si>
  <si>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</si>
  <si>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</si>
  <si>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</si>
  <si>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</si>
  <si>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</si>
  <si>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</si>
  <si>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</si>
  <si>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</si>
  <si>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</si>
  <si>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</si>
  <si>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</si>
  <si>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</si>
  <si>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</si>
  <si>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</si>
  <si>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</si>
  <si>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</si>
  <si>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</si>
  <si>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</si>
  <si>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</si>
  <si>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</si>
  <si>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</si>
  <si>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</si>
  <si>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</si>
  <si>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</si>
  <si>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</si>
  <si>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</si>
  <si>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</si>
  <si>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</si>
  <si>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</si>
  <si>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</si>
  <si>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</si>
  <si>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</si>
  <si>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</si>
  <si>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</si>
  <si>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</si>
  <si>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</si>
  <si>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</si>
  <si>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</si>
  <si>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</si>
  <si>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</si>
  <si>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</si>
  <si>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</si>
  <si>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</si>
  <si>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</si>
  <si>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</si>
  <si>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</si>
  <si>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</si>
  <si>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</si>
  <si>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</si>
  <si>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</si>
  <si>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</si>
  <si>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</si>
  <si>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</si>
  <si>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</si>
  <si>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</si>
  <si>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</si>
  <si>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</si>
  <si>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</si>
  <si>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</si>
  <si>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</si>
  <si>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</si>
  <si>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</si>
  <si>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</si>
  <si>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</si>
  <si>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</si>
  <si>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</si>
  <si>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</si>
  <si>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</si>
  <si>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</si>
  <si>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</si>
  <si>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</si>
  <si>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</si>
  <si>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</si>
  <si>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</si>
  <si>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</si>
  <si>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</si>
  <si>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</si>
  <si>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</si>
  <si>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</si>
  <si>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</si>
  <si>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</si>
  <si>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</si>
  <si>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</si>
  <si>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</si>
  <si>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</si>
  <si>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</si>
  <si>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</si>
  <si>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</si>
  <si>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</si>
  <si>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</si>
  <si>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</si>
  <si>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</si>
  <si>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</si>
  <si>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</si>
  <si>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</si>
  <si>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</si>
  <si>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</si>
  <si>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</si>
  <si>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</si>
  <si>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</si>
  <si>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</si>
  <si>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</si>
  <si>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</si>
  <si>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</si>
  <si>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</si>
  <si>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</si>
  <si>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</si>
  <si>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</si>
  <si>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</si>
  <si>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</si>
  <si>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</si>
  <si>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</si>
  <si>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</si>
  <si>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</si>
  <si>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</si>
  <si>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</si>
  <si>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</si>
  <si>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</si>
  <si>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</si>
  <si>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</si>
  <si>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</si>
  <si>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</si>
  <si>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</si>
  <si>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</si>
  <si>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</si>
  <si>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</si>
  <si>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</si>
  <si>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</si>
  <si>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</si>
  <si>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</si>
  <si>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</si>
  <si>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</si>
  <si>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</si>
  <si>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</si>
  <si>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</si>
  <si>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</si>
  <si>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</si>
  <si>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</si>
  <si>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</si>
  <si>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</si>
  <si>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</si>
  <si>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</si>
  <si>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</si>
  <si>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</si>
  <si>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</si>
  <si>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</si>
  <si>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</si>
  <si>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</si>
  <si>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</si>
  <si>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</si>
  <si>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</si>
  <si>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</si>
  <si>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</si>
  <si>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</si>
  <si>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</si>
  <si>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</si>
  <si>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</si>
  <si>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</si>
  <si>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</si>
  <si>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</si>
  <si>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</si>
  <si>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</si>
  <si>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</si>
  <si>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</si>
  <si>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</si>
  <si>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</si>
  <si>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</si>
  <si>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</si>
  <si>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</si>
  <si>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</si>
  <si>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</si>
  <si>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</si>
  <si>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</si>
  <si>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</si>
  <si>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</si>
  <si>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</si>
  <si>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</si>
  <si>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</si>
  <si>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</si>
  <si>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</si>
  <si>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</si>
  <si>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</si>
  <si>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</si>
  <si>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</si>
  <si>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</si>
  <si>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</si>
  <si>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</si>
  <si>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</si>
  <si>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</si>
  <si>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</si>
  <si>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</si>
  <si>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</si>
  <si>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</si>
  <si>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</si>
  <si>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</si>
  <si>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</si>
  <si>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</si>
  <si>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</si>
  <si>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</si>
  <si>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</si>
  <si>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</si>
  <si>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</si>
  <si>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</si>
  <si>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</si>
  <si>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</si>
  <si>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</si>
  <si>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</si>
  <si>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</si>
  <si>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</si>
  <si>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</si>
  <si>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</si>
  <si>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</si>
  <si>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</si>
  <si>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</si>
  <si>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</si>
  <si>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</si>
  <si>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</si>
  <si>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</si>
  <si>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</si>
  <si>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</si>
  <si>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</si>
  <si>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</si>
  <si>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</si>
  <si>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</si>
  <si>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</si>
  <si>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</si>
  <si>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</si>
  <si>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</si>
  <si>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</si>
  <si>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</si>
  <si>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</si>
  <si>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</si>
  <si>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</si>
  <si>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</si>
  <si>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</si>
  <si>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</si>
  <si>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</si>
  <si>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</si>
  <si>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</si>
  <si>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</si>
  <si>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</si>
  <si>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</si>
  <si>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</si>
  <si>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</si>
  <si>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</si>
  <si>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</si>
  <si>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</si>
  <si>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</si>
  <si>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</si>
  <si>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</si>
  <si>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</si>
  <si>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</si>
  <si>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</si>
  <si>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</si>
  <si>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</si>
  <si>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</si>
  <si>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</si>
  <si>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</si>
  <si>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</si>
  <si>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</si>
  <si>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</si>
  <si>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</si>
  <si>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</si>
  <si>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</si>
  <si>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</si>
  <si>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</si>
  <si>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</si>
  <si>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</si>
  <si>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</si>
  <si>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</si>
  <si>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</si>
  <si>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</si>
  <si>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</si>
  <si>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</si>
  <si>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</si>
  <si>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</si>
  <si>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</si>
  <si>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</si>
  <si>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</si>
  <si>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</si>
  <si>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</si>
  <si>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</si>
  <si>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</si>
  <si>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</si>
  <si>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</si>
  <si>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</si>
  <si>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</si>
  <si>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</si>
  <si>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</si>
  <si>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</si>
  <si>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</si>
  <si>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</si>
  <si>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</si>
  <si>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</si>
  <si>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</si>
  <si>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</si>
  <si>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</si>
  <si>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</si>
  <si>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</si>
  <si>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</si>
  <si>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</si>
  <si>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</si>
  <si>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</si>
  <si>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</si>
  <si>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</si>
  <si>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</si>
  <si>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</si>
  <si>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</si>
  <si>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</si>
  <si>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</si>
  <si>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</si>
  <si>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</si>
  <si>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</si>
  <si>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</si>
  <si>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</si>
  <si>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</si>
  <si>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</si>
  <si>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</si>
  <si>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</si>
  <si>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</si>
  <si>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</si>
  <si>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</si>
  <si>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</si>
  <si>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</si>
  <si>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</si>
  <si>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</si>
  <si>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</si>
  <si>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</si>
  <si>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</si>
  <si>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</si>
  <si>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</si>
  <si>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</si>
  <si>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</si>
  <si>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</si>
  <si>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</si>
  <si>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</si>
  <si>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</si>
  <si>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</si>
  <si>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</si>
  <si>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</si>
  <si>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</si>
  <si>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</si>
  <si>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</si>
  <si>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</si>
  <si>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</si>
  <si>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</si>
  <si>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</si>
  <si>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</si>
  <si>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</si>
  <si>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</si>
  <si>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</si>
  <si>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</si>
  <si>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</si>
  <si>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</si>
  <si>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</si>
  <si>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</si>
  <si>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</si>
  <si>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</si>
  <si>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</si>
  <si>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</si>
  <si>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</si>
  <si>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</si>
  <si>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</si>
  <si>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</si>
  <si>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</si>
  <si>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</si>
  <si>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</si>
  <si>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</si>
  <si>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</si>
  <si>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</si>
  <si>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</si>
  <si>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</si>
  <si>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</si>
  <si>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</si>
  <si>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</si>
  <si>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</si>
  <si>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</si>
  <si>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</si>
  <si>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</si>
  <si>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</si>
  <si>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</si>
  <si>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</si>
  <si>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</si>
  <si>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</si>
  <si>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</si>
  <si>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</si>
  <si>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</si>
  <si>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</si>
  <si>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</si>
  <si>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</si>
  <si>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</si>
  <si>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</si>
  <si>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</si>
  <si>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</si>
  <si>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</si>
  <si>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</si>
  <si>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</si>
  <si>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</si>
  <si>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</si>
  <si>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</si>
  <si>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</si>
  <si>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</si>
  <si>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</si>
  <si>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</si>
  <si>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</si>
  <si>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</si>
  <si>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</si>
  <si>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</si>
  <si>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</si>
  <si>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</si>
  <si>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</si>
  <si>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</si>
  <si>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</si>
  <si>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</si>
  <si>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</si>
  <si>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</si>
  <si>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</si>
  <si>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</si>
  <si>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</si>
  <si>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</si>
  <si>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</si>
  <si>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</si>
  <si>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</si>
  <si>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</si>
  <si>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</si>
  <si>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</si>
  <si>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</si>
  <si>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</si>
  <si>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</si>
  <si>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</si>
  <si>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</si>
  <si>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</si>
  <si>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</si>
  <si>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</si>
  <si>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</si>
  <si>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</si>
  <si>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</si>
  <si>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</si>
  <si>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</si>
  <si>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</si>
  <si>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</si>
  <si>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</si>
  <si>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</si>
  <si>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</si>
  <si>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</si>
  <si>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</si>
  <si>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</si>
  <si>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</si>
  <si>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</si>
  <si>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</si>
  <si>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</si>
  <si>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</si>
  <si>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</si>
  <si>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</si>
  <si>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</si>
  <si>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</si>
  <si>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</si>
  <si>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</si>
  <si>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</si>
  <si>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</si>
  <si>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</si>
  <si>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</si>
  <si>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</si>
  <si>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</si>
  <si>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</si>
  <si>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</si>
  <si>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</si>
  <si>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</si>
  <si>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</si>
  <si>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</si>
  <si>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</si>
  <si>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</si>
  <si>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</si>
  <si>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</si>
  <si>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</si>
  <si>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</si>
  <si>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</si>
  <si>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</si>
  <si>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</si>
  <si>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</si>
  <si>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</si>
  <si>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</si>
  <si>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</si>
  <si>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</si>
  <si>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</si>
  <si>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</si>
  <si>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</si>
  <si>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</si>
  <si>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</si>
  <si>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</si>
  <si>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</si>
  <si>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</si>
  <si>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</si>
  <si>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</si>
  <si>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</si>
  <si>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</si>
  <si>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</si>
  <si>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</si>
  <si>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</si>
  <si>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</si>
  <si>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</si>
  <si>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</si>
  <si>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</si>
  <si>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</si>
  <si>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</si>
  <si>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</si>
  <si>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</si>
  <si>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</si>
  <si>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</si>
  <si>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</si>
  <si>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</si>
  <si>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</si>
  <si>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</si>
  <si>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</si>
  <si>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</si>
  <si>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</si>
  <si>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</si>
  <si>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</si>
  <si>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</si>
  <si>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</si>
  <si>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</si>
  <si>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</si>
  <si>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</si>
  <si>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</si>
  <si>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</si>
  <si>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</si>
  <si>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</si>
  <si>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</si>
  <si>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</si>
  <si>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</si>
  <si>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</si>
  <si>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</si>
  <si>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</si>
  <si>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</si>
  <si>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</si>
  <si>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</si>
  <si>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</si>
  <si>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</si>
  <si>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</si>
  <si>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</si>
  <si>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</si>
  <si>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</si>
  <si>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</si>
  <si>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</si>
  <si>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</si>
  <si>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</si>
  <si>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</si>
  <si>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</si>
  <si>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</si>
  <si>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</si>
  <si>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</si>
  <si>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</si>
  <si>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</si>
  <si>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</si>
  <si>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</si>
  <si>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</si>
  <si>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</si>
  <si>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</si>
  <si>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</si>
  <si>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</si>
  <si>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</si>
  <si>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</si>
  <si>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</si>
  <si>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</si>
  <si>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</si>
  <si>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</si>
  <si>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</si>
  <si>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</si>
  <si>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</si>
  <si>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</si>
  <si>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</si>
  <si>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</si>
  <si>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</si>
  <si>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</si>
  <si>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</si>
  <si>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</si>
  <si>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</si>
  <si>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</si>
  <si>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</si>
  <si>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</si>
  <si>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</si>
  <si>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</si>
  <si>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</si>
  <si>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</si>
  <si>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</si>
  <si>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</si>
  <si>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</si>
  <si>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</si>
  <si>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</si>
  <si>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</si>
  <si>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</si>
  <si>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</si>
  <si>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</si>
  <si>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</si>
  <si>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</si>
  <si>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</si>
  <si>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</si>
  <si>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</si>
  <si>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</si>
  <si>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</si>
  <si>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</si>
  <si>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</si>
  <si>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</si>
  <si>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地块一</t>
    <phoneticPr fontId="228" type="noConversion"/>
  </si>
  <si>
    <t>土地面积</t>
    <phoneticPr fontId="228" type="noConversion"/>
  </si>
  <si>
    <t>建筑面积</t>
    <phoneticPr fontId="228" type="noConversion"/>
  </si>
  <si>
    <t>容积率</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</si>
  <si>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</si>
  <si>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</si>
  <si>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</si>
  <si>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</si>
  <si>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</si>
  <si>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</si>
  <si>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</si>
  <si>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</si>
  <si>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</si>
  <si>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</si>
  <si>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</si>
  <si>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</si>
  <si>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</si>
  <si>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成都市</t>
  </si>
  <si>
    <t>拍卖</t>
  </si>
  <si>
    <t>5星</t>
  </si>
  <si>
    <t>4星</t>
  </si>
  <si>
    <t>2星</t>
  </si>
  <si>
    <t>＞1.0且≤2.4</t>
  </si>
  <si>
    <t>否</t>
    <phoneticPr fontId="26" type="noConversion"/>
  </si>
  <si>
    <t>是</t>
    <phoneticPr fontId="26" type="noConversion"/>
  </si>
  <si>
    <t>正常</t>
  </si>
  <si>
    <t>地上</t>
  </si>
  <si>
    <t>商业</t>
  </si>
  <si>
    <t>住宅</t>
    <phoneticPr fontId="7" type="noConversion"/>
  </si>
  <si>
    <t>商业</t>
    <phoneticPr fontId="7" type="noConversion"/>
  </si>
  <si>
    <t>主干道</t>
    <phoneticPr fontId="26" type="noConversion"/>
  </si>
  <si>
    <t>次干道</t>
    <phoneticPr fontId="26" type="noConversion"/>
  </si>
  <si>
    <t>支路</t>
    <phoneticPr fontId="26" type="noConversion"/>
  </si>
  <si>
    <t>一般</t>
  </si>
  <si>
    <t>一般</t>
    <phoneticPr fontId="21" type="noConversion"/>
  </si>
  <si>
    <t>一般</t>
    <phoneticPr fontId="21" type="noConversion"/>
  </si>
  <si>
    <t>一般</t>
    <phoneticPr fontId="21" type="noConversion"/>
  </si>
  <si>
    <t>六通</t>
    <phoneticPr fontId="21" type="noConversion"/>
  </si>
  <si>
    <t>支路</t>
    <phoneticPr fontId="21" type="noConversion"/>
  </si>
  <si>
    <t>较好</t>
  </si>
  <si>
    <t>好</t>
  </si>
  <si>
    <t>剩余法-待开发</t>
  </si>
  <si>
    <t>比较法-住宅、综合</t>
  </si>
  <si>
    <t>楼面地价</t>
  </si>
  <si>
    <t>否</t>
    <phoneticPr fontId="26" type="noConversion"/>
  </si>
  <si>
    <t>郫都区红光镇合兴村二社</t>
  </si>
  <si>
    <t>商业/办公用地</t>
  </si>
  <si>
    <t>容积率＞1.0且≤2.4</t>
  </si>
  <si>
    <t>挂牌</t>
  </si>
  <si>
    <t>2018-12-25</t>
  </si>
  <si>
    <t>自然人</t>
  </si>
  <si>
    <t>郫都区犀浦镇双林村七社</t>
  </si>
  <si>
    <t>新合作供销一家商业管理有限公司</t>
  </si>
  <si>
    <t>郫都区德源镇花石村一社</t>
  </si>
  <si>
    <t>≤1.5</t>
  </si>
  <si>
    <t>四川省天然气投资有限责任公司</t>
  </si>
  <si>
    <t>郫都区犀浦镇万福村五组</t>
  </si>
  <si>
    <t>成都市郫都区蜀都乡村振兴投资发展有限公司</t>
  </si>
  <si>
    <t>郫都区郫筒街道办事处双喜村一、二社,德源镇青马村三社</t>
  </si>
  <si>
    <t>≤2.0</t>
  </si>
  <si>
    <t>2018-09-12</t>
  </si>
  <si>
    <t>嘉祥教育科技集团有限公司</t>
  </si>
  <si>
    <t>郫都区红光镇街道铁门社区集体、铁门社区一社</t>
  </si>
  <si>
    <t>≤3.0</t>
  </si>
  <si>
    <t>2018-07-27</t>
  </si>
  <si>
    <t>成都郫都中达雷克萨斯汽车销售服务有限公司</t>
  </si>
  <si>
    <t>郫都区犀浦镇万福村四社、梓潼村四社</t>
  </si>
  <si>
    <t>2018-05-04</t>
  </si>
  <si>
    <t>四川省新绿色医药集团有限公司</t>
  </si>
  <si>
    <t>成都市郫都区安靖镇土地村六社</t>
  </si>
  <si>
    <t>≤1</t>
  </si>
  <si>
    <t>2017-10-16</t>
  </si>
  <si>
    <t>四川道诚置业有限公司、四川鼎能房地产开发有限公司(拟成立:成都德利和房地产开发有限公司)</t>
  </si>
  <si>
    <t>0星</t>
  </si>
  <si>
    <t>郫县犀浦镇五粮村4、5社</t>
  </si>
  <si>
    <t>≤4.5</t>
  </si>
  <si>
    <t>2017-03-21</t>
  </si>
  <si>
    <t>成都喜庆堂置业有限公司,四川倍恩乐教育咨询有限责任公司</t>
  </si>
  <si>
    <t>郫县古城镇古城村十、十三社</t>
  </si>
  <si>
    <t>≤2</t>
  </si>
  <si>
    <t>2016-10-14</t>
  </si>
  <si>
    <t>成都至善科技有限公司</t>
  </si>
  <si>
    <t>计算容积率</t>
    <phoneticPr fontId="228" type="noConversion"/>
  </si>
  <si>
    <t>商业</t>
    <phoneticPr fontId="228" type="noConversion"/>
  </si>
  <si>
    <t>商业</t>
    <phoneticPr fontId="228" type="noConversion"/>
  </si>
  <si>
    <t>楼面单价</t>
    <phoneticPr fontId="228" type="noConversion"/>
  </si>
  <si>
    <t>土地面积系数</t>
    <phoneticPr fontId="228" type="noConversion"/>
  </si>
  <si>
    <t>评估单价</t>
    <phoneticPr fontId="228" type="noConversion"/>
  </si>
  <si>
    <t>评估总价</t>
    <phoneticPr fontId="228" type="noConversion"/>
  </si>
  <si>
    <t>建筑面积</t>
    <phoneticPr fontId="228" type="noConversion"/>
  </si>
  <si>
    <t>保险金额</t>
    <phoneticPr fontId="228" type="noConversion"/>
  </si>
  <si>
    <t>不动产收益法</t>
  </si>
  <si>
    <t>押一</t>
  </si>
  <si>
    <t>按租金收入计税</t>
  </si>
  <si>
    <t>钢混</t>
  </si>
  <si>
    <t>成交地面</t>
    <phoneticPr fontId="228" type="noConversion"/>
  </si>
  <si>
    <t>成交亩</t>
    <phoneticPr fontId="228" type="noConversion"/>
  </si>
  <si>
    <t>评估亩数</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</si>
</sst>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0" fillId="0" borderId="0" xfId="0" applyAlignment="1">
      <alignment horizontal="center" vertical="center" wrapText="1"/>
    </xf>
    <xf numFmtId="0" fontId="81" fillId="0" borderId="74"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0" fillId="0" borderId="2" xfId="0" applyBorder="1" applyAlignment="1">
      <alignment horizontal="center" vertical="center" wrapText="1"/>
    </xf>
    <xf numFmtId="0" fontId="145" fillId="0" borderId="2" xfId="0" applyFont="1" applyBorder="1" applyAlignment="1">
      <alignment horizontal="center" vertical="center" wrapText="1"/>
    </xf>
    <xf numFmtId="0" fontId="0" fillId="9" borderId="2" xfId="0" applyFill="1" applyBorder="1" applyAlignment="1">
      <alignment horizontal="center" vertical="center" wrapText="1"/>
    </xf>
    <xf numFmtId="0" fontId="0" fillId="9" borderId="0" xfId="0" applyFill="1" applyAlignment="1">
      <alignment horizontal="center" vertical="center" wrapText="1"/>
    </xf>
    <xf numFmtId="0" fontId="145" fillId="0" borderId="2"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0" xfId="0" applyFill="1" applyAlignment="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95250</xdr:rowOff>
    </xdr:from>
    <xdr:to>
      <xdr:col>14</xdr:col>
      <xdr:colOff>457200</xdr:colOff>
      <xdr:row>34</xdr:row>
      <xdr:rowOff>160020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95400"/>
          <a:ext cx="10058400" cy="46939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120300.2平方米。根据《建设工程规划许可证》[]、《出让合同》[]，估价对象规划建筑面积为102255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2019年8月23日（评估专业人员勘察现场之日）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根据《国有土地使用证》[]，估价对象（分摊）出让国有建设用地使用权面积为120300.2平方米。根据《建设工程规划许可证》[]、《出让合同》[]，估价对象规划建筑面积为102255平方米。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2048年9月1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估价期日：2019年8月23日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120300.2</v>
      </c>
    </row>
    <row r="44" spans="1:2">
      <c r="A44" s="2833" t="s">
        <v>2740</v>
      </c>
      <c r="B44" s="2834" t="str">
        <f>'预评函-2'!O3</f>
        <v>规划建筑面积/㎡</v>
      </c>
    </row>
    <row r="45" spans="1:2">
      <c r="A45" s="2833" t="s">
        <v>2722</v>
      </c>
      <c r="B45" s="2834">
        <f>'预评函-2'!O5</f>
        <v>102255</v>
      </c>
    </row>
    <row r="46" spans="1:2">
      <c r="A46" s="2833" t="s">
        <v>2723</v>
      </c>
      <c r="B46" s="2834">
        <f ca="1">'预评函-2'!P5</f>
        <v>1581</v>
      </c>
    </row>
    <row r="47" spans="1:2">
      <c r="A47" s="2833" t="s">
        <v>2724</v>
      </c>
      <c r="B47" s="2834">
        <f ca="1">'预评函-2'!Q5</f>
        <v>1860</v>
      </c>
    </row>
    <row r="48" spans="1:2">
      <c r="A48" s="2833" t="s">
        <v>2725</v>
      </c>
      <c r="B48" s="2834">
        <f ca="1">'预评函-2'!R5</f>
        <v>19024</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43" t="str">
        <f>IF(B10="北京市","北京市",C10)&amp;F10&amp;B16&amp;"国有建设用地使用权"&amp;B9&amp;"预评估"</f>
        <v>出让国有建设用地使用权预评估</v>
      </c>
      <c r="C1" s="3244"/>
      <c r="D1" s="3244"/>
      <c r="E1" s="3244"/>
      <c r="F1" s="3244"/>
      <c r="G1" s="3244"/>
      <c r="H1" s="3244"/>
      <c r="I1" s="3245"/>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43700</v>
      </c>
      <c r="C3" s="1647" t="s">
        <v>1995</v>
      </c>
      <c r="D3" s="1646">
        <f>B3</f>
        <v>43700</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49"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50"/>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46"/>
      <c r="C12" s="3247"/>
      <c r="D12" s="3248"/>
      <c r="E12" s="1683" t="s">
        <v>2061</v>
      </c>
      <c r="F12" s="3264" t="s">
        <v>2890</v>
      </c>
      <c r="G12" s="3265"/>
      <c r="H12" s="3265"/>
      <c r="I12" s="3266"/>
      <c r="J12" s="1678"/>
      <c r="K12" s="1758"/>
      <c r="L12" s="1707"/>
      <c r="M12" s="1707"/>
      <c r="N12" s="1678"/>
      <c r="O12" s="1679"/>
      <c r="P12" s="1678"/>
      <c r="Q12" s="1678"/>
      <c r="R12" s="1678"/>
      <c r="S12" s="1678"/>
      <c r="T12" s="1678"/>
      <c r="U12" s="1678"/>
    </row>
    <row r="13" spans="1:21">
      <c r="A13" s="1671" t="s">
        <v>2059</v>
      </c>
      <c r="B13" s="3246"/>
      <c r="C13" s="3247"/>
      <c r="D13" s="3248"/>
      <c r="E13" s="1683" t="s">
        <v>2061</v>
      </c>
      <c r="F13" s="3264" t="s">
        <v>2891</v>
      </c>
      <c r="G13" s="3265"/>
      <c r="H13" s="3265"/>
      <c r="I13" s="3266"/>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2987</v>
      </c>
      <c r="C16" s="1683" t="s">
        <v>1948</v>
      </c>
      <c r="D16" s="2610" t="s">
        <v>1949</v>
      </c>
      <c r="E16" s="1706" t="s">
        <v>3022</v>
      </c>
      <c r="F16" s="1706"/>
      <c r="G16" s="1706"/>
      <c r="H16" s="1706"/>
      <c r="I16" s="1670" t="s">
        <v>1954</v>
      </c>
      <c r="J16" s="1678"/>
      <c r="K16" s="2420" t="str">
        <f>IF(D17="","",D16&amp;TEXT(D17,"yyyy年m月d日;;"))</f>
        <v/>
      </c>
      <c r="L16" s="1683" t="str">
        <f>IF(OR(K16="",M16=""),"","、")</f>
        <v/>
      </c>
      <c r="M16" s="2420" t="str">
        <f>IF(E17="","",E16&amp;TEXT(E17,"yyyy年m月d日;;"))</f>
        <v>商业2048年9月1日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54302</v>
      </c>
      <c r="F17" s="1684"/>
      <c r="G17" s="1684"/>
      <c r="H17" s="1684"/>
      <c r="I17" s="1684"/>
      <c r="J17" s="1678"/>
      <c r="K17" s="2419" t="str">
        <f>CONCATENATE(K16,L16,M16,N16,O16,P16,Q16,R16,S16,T16,,U16)</f>
        <v>商业2048年9月1日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29.04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61"/>
      <c r="E20" s="3262"/>
      <c r="F20" s="3262"/>
      <c r="G20" s="3262"/>
      <c r="H20" s="3262"/>
      <c r="I20" s="3263"/>
      <c r="J20" s="1678"/>
      <c r="K20" s="1758"/>
      <c r="L20" s="1707"/>
      <c r="M20" s="1707"/>
      <c r="N20" s="1678"/>
      <c r="O20" s="1679"/>
      <c r="P20" s="1678"/>
      <c r="Q20" s="1678"/>
      <c r="R20" s="1678"/>
      <c r="S20" s="1678"/>
      <c r="T20" s="1678"/>
      <c r="U20" s="1678"/>
    </row>
    <row r="21" spans="1:21">
      <c r="A21" s="1747" t="s">
        <v>1958</v>
      </c>
      <c r="B21" s="1748" t="s">
        <v>1959</v>
      </c>
      <c r="C21" s="1743">
        <f>'数据-汇总表'!E3</f>
        <v>102255</v>
      </c>
      <c r="D21" s="1744" t="s">
        <v>1960</v>
      </c>
      <c r="E21" s="3251" t="s">
        <v>1998</v>
      </c>
      <c r="F21" s="3252"/>
      <c r="G21" s="3252"/>
      <c r="H21" s="3252"/>
      <c r="I21" s="3253"/>
      <c r="J21" s="1678"/>
      <c r="K21" s="1758"/>
      <c r="L21" s="1707"/>
      <c r="M21" s="1707"/>
      <c r="N21" s="1678"/>
      <c r="O21" s="1679"/>
      <c r="P21" s="1678"/>
      <c r="Q21" s="1678"/>
      <c r="R21" s="1678"/>
      <c r="S21" s="1678"/>
      <c r="T21" s="1678"/>
      <c r="U21" s="1678"/>
    </row>
    <row r="22" spans="1:21">
      <c r="A22" s="3095" t="s">
        <v>952</v>
      </c>
      <c r="B22" s="1645" t="s">
        <v>1961</v>
      </c>
      <c r="C22" s="1670">
        <f>'数据-汇总表'!D3</f>
        <v>120300.2</v>
      </c>
      <c r="D22" s="1671" t="s">
        <v>1960</v>
      </c>
      <c r="E22" s="3251" t="s">
        <v>2892</v>
      </c>
      <c r="F22" s="3252"/>
      <c r="G22" s="3252"/>
      <c r="H22" s="3252"/>
      <c r="I22" s="3253"/>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54" t="s">
        <v>1966</v>
      </c>
      <c r="C24" s="3255"/>
      <c r="D24" s="3256" t="s">
        <v>1967</v>
      </c>
      <c r="E24" s="3257"/>
      <c r="F24" s="1692" t="s">
        <v>1968</v>
      </c>
      <c r="G24" s="1678"/>
      <c r="H24" s="1678"/>
      <c r="I24" s="1691"/>
      <c r="J24" s="1678"/>
      <c r="K24" s="3242"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4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4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28" t="s">
        <v>2001</v>
      </c>
      <c r="B31" s="1748" t="s">
        <v>2002</v>
      </c>
      <c r="C31" s="3267"/>
      <c r="D31" s="3268"/>
      <c r="E31" s="1678"/>
      <c r="F31" s="1678"/>
      <c r="G31" s="1678"/>
      <c r="H31" s="1678"/>
      <c r="I31" s="1691"/>
      <c r="J31" s="1678"/>
      <c r="K31" s="2422"/>
      <c r="L31" s="1678"/>
      <c r="M31" s="1678"/>
      <c r="N31" s="1678"/>
      <c r="O31" s="1678"/>
      <c r="P31" s="1678"/>
      <c r="Q31" s="1678"/>
      <c r="R31" s="1678"/>
      <c r="S31" s="1678"/>
      <c r="T31" s="1678"/>
      <c r="U31" s="1678"/>
    </row>
    <row r="32" spans="1:21">
      <c r="A32" s="3228"/>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28"/>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29"/>
      <c r="B34" s="1645" t="s">
        <v>2005</v>
      </c>
      <c r="C34" s="3230"/>
      <c r="D34" s="3231"/>
      <c r="E34" s="1678"/>
      <c r="F34" s="1678"/>
      <c r="G34" s="1678"/>
      <c r="H34" s="1678"/>
      <c r="I34" s="1691"/>
      <c r="J34" s="1678"/>
      <c r="K34" s="2422"/>
      <c r="L34" s="1678"/>
      <c r="M34" s="1678"/>
      <c r="N34" s="1678"/>
      <c r="O34" s="1678"/>
      <c r="P34" s="1678"/>
      <c r="Q34" s="1678"/>
      <c r="R34" s="1678"/>
      <c r="S34" s="1678"/>
      <c r="T34" s="1678"/>
      <c r="U34" s="1678"/>
    </row>
    <row r="35" spans="1:21">
      <c r="A35" s="3232" t="s">
        <v>847</v>
      </c>
      <c r="B35" s="1706"/>
      <c r="C35" s="1760" t="str">
        <f>IF(B35="场地平整","——","具体情况：")</f>
        <v>具体情况：</v>
      </c>
      <c r="D35" s="3234"/>
      <c r="E35" s="3235"/>
      <c r="F35" s="3235"/>
      <c r="G35" s="3235"/>
      <c r="H35" s="3235"/>
      <c r="I35" s="3236"/>
      <c r="J35" s="1678"/>
      <c r="K35" s="1759"/>
      <c r="L35" s="1707"/>
      <c r="M35" s="1707"/>
      <c r="N35" s="1678"/>
      <c r="O35" s="1679"/>
      <c r="P35" s="1678"/>
      <c r="Q35" s="1678"/>
      <c r="R35" s="1678"/>
      <c r="S35" s="1678"/>
      <c r="T35" s="1678"/>
      <c r="U35" s="1678"/>
    </row>
    <row r="36" spans="1:21">
      <c r="A36" s="3228"/>
      <c r="B36" s="3237" t="s">
        <v>2054</v>
      </c>
      <c r="C36" s="3238"/>
      <c r="D36" s="1776"/>
      <c r="E36" s="3239"/>
      <c r="F36" s="3239"/>
      <c r="G36" s="1671" t="str">
        <f>IF(B35="场地未平整","估价结果处理","")</f>
        <v/>
      </c>
      <c r="H36" s="3240"/>
      <c r="I36" s="3240"/>
      <c r="J36" s="1678"/>
      <c r="K36" s="1759"/>
      <c r="L36" s="1707"/>
      <c r="M36" s="1707"/>
      <c r="N36" s="1678"/>
      <c r="O36" s="1679"/>
      <c r="P36" s="1678"/>
      <c r="Q36" s="1678"/>
      <c r="R36" s="1678"/>
      <c r="S36" s="1678"/>
      <c r="T36" s="1678"/>
      <c r="U36" s="1678"/>
    </row>
    <row r="37" spans="1:21" ht="28.5">
      <c r="A37" s="3228"/>
      <c r="B37" s="325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28"/>
      <c r="B38" s="3259"/>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29"/>
      <c r="B39" s="326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41" t="s">
        <v>1985</v>
      </c>
      <c r="T40" s="1715" t="str">
        <f>NUMBERSTRING(7-K40,1)&amp;"通"</f>
        <v>七通</v>
      </c>
      <c r="U40" s="1678"/>
    </row>
    <row r="41" spans="1:21">
      <c r="A41" s="1647"/>
      <c r="B41" s="3233" t="s">
        <v>1721</v>
      </c>
      <c r="C41" s="3233"/>
      <c r="D41" s="3233"/>
      <c r="E41" s="3233"/>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1"/>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信息!B3</f>
        <v>120300.2</v>
      </c>
      <c r="B3" s="22">
        <f>IF(C3="否",G5-AT5,G5)</f>
        <v>102255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102255</v>
      </c>
      <c r="H5" s="27">
        <f t="shared" ref="H5:AT5" si="0">SUM(H13:H641)</f>
        <v>102255</v>
      </c>
      <c r="I5" s="27">
        <f t="shared" si="0"/>
        <v>0</v>
      </c>
      <c r="J5" s="27">
        <f t="shared" si="0"/>
        <v>0</v>
      </c>
      <c r="K5" s="27">
        <f t="shared" si="0"/>
        <v>102255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102255</v>
      </c>
      <c r="BA5" s="29">
        <f t="shared" si="1"/>
        <v>102255</v>
      </c>
      <c r="BB5" s="29">
        <f t="shared" si="1"/>
        <v>0</v>
      </c>
      <c r="BC5" s="29">
        <f t="shared" si="1"/>
        <v>102255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120300.2</v>
      </c>
      <c r="F6" s="27" t="s">
        <v>1</v>
      </c>
      <c r="G6" s="27" t="s">
        <v>2</v>
      </c>
      <c r="H6" s="33">
        <f>SUMIF(I$12:AB$12,"总值",I6:AB6)</f>
        <v>120300.2</v>
      </c>
      <c r="I6" s="27">
        <f t="shared" ref="I6:AB6" si="2">ROUND($A$3*I5/$B$3,2)</f>
        <v>0</v>
      </c>
      <c r="J6" s="27">
        <f t="shared" si="2"/>
        <v>0</v>
      </c>
      <c r="K6" s="27">
        <f t="shared" si="2"/>
        <v>120300.2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120300.2</v>
      </c>
      <c r="AZ6" s="27" t="s">
        <v>3</v>
      </c>
      <c r="BA6" s="27">
        <f>ROUND($AY$6*BA5/$AZ$5,2)</f>
        <v>120300.2</v>
      </c>
      <c r="BB6" s="27">
        <f>ROUND($AY$6*BB5/$AZ$5,2)</f>
        <v>0</v>
      </c>
      <c r="BC6" s="27">
        <f t="shared" ref="BC6:BH6" si="4">ROUND($AY$6*BC5/$AZ$5,2)</f>
        <v>120300.2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3021</v>
      </c>
      <c r="J9" s="51"/>
      <c r="K9" s="2971" t="s">
        <v>3021</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3022</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120300.2</v>
      </c>
      <c r="F13" s="81"/>
      <c r="G13" s="82">
        <f t="shared" ref="G13:G20" si="7">H13+AC13+AT13</f>
        <v>102255</v>
      </c>
      <c r="H13" s="33">
        <f t="shared" ref="H13:H20" si="8">SUMIF(I$12:AB$12,"总值",I13:AB13)</f>
        <v>102255</v>
      </c>
      <c r="I13" s="2970"/>
      <c r="J13" s="2970"/>
      <c r="K13" s="2970">
        <f>信息!C3</f>
        <v>102255</v>
      </c>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120300.2</v>
      </c>
      <c r="AZ13" s="27">
        <f t="shared" ref="AZ13:AZ20" si="12">BA13+BL13</f>
        <v>102255</v>
      </c>
      <c r="BA13" s="27">
        <f t="shared" ref="BA13:BA20" si="13">SUM(BB13:BK13)</f>
        <v>102255</v>
      </c>
      <c r="BB13" s="27">
        <f t="shared" ref="BB13:BB20" si="14">IF($D13="是",I13-J13,0)</f>
        <v>0</v>
      </c>
      <c r="BC13" s="27">
        <f t="shared" ref="BC13:BC20" si="15">IF($D13="是",K13-L13,0)</f>
        <v>102255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6" sqref="H2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0" t="s">
        <v>203</v>
      </c>
      <c r="B2" s="3280"/>
      <c r="C2" s="3280"/>
      <c r="D2" s="1960" t="s">
        <v>204</v>
      </c>
      <c r="E2" s="106" t="s">
        <v>205</v>
      </c>
      <c r="F2" s="1969"/>
      <c r="G2" s="1194"/>
      <c r="H2" s="1195"/>
      <c r="I2" s="1196" t="s">
        <v>857</v>
      </c>
      <c r="J2" s="1969"/>
      <c r="K2" s="1969"/>
      <c r="L2" s="1969"/>
    </row>
    <row r="3" spans="1:16" ht="15.75" thickBot="1">
      <c r="A3" s="3281" t="s">
        <v>206</v>
      </c>
      <c r="B3" s="3281"/>
      <c r="C3" s="3281"/>
      <c r="D3" s="107">
        <f>'数据-基础表'!AY6</f>
        <v>120300.2</v>
      </c>
      <c r="E3" s="107">
        <f>'数据-基础表'!AZ5</f>
        <v>102255</v>
      </c>
      <c r="F3" s="1969"/>
      <c r="G3" s="280" t="s">
        <v>858</v>
      </c>
      <c r="H3" s="275" t="s">
        <v>859</v>
      </c>
      <c r="I3" s="1961">
        <f>ROUND('数据-基础表'!B3/'数据-基础表'!A3,2)</f>
        <v>0.85</v>
      </c>
      <c r="J3" s="1969"/>
      <c r="K3" s="1969"/>
      <c r="L3" s="1969"/>
    </row>
    <row r="4" spans="1:16" ht="15">
      <c r="A4" s="3282"/>
      <c r="B4" s="3283"/>
      <c r="C4" s="3284"/>
      <c r="D4" s="108" t="s">
        <v>204</v>
      </c>
      <c r="E4" s="109" t="s">
        <v>205</v>
      </c>
      <c r="F4" s="1969"/>
      <c r="G4" s="1197"/>
      <c r="H4" s="275" t="s">
        <v>860</v>
      </c>
      <c r="I4" s="1961">
        <f>ROUND(SUMIF('数据-基础表'!I9:AS9,"地上",'数据-基础表'!I5:AS5)/'数据-基础表'!A3,2)</f>
        <v>0.85</v>
      </c>
      <c r="J4" s="1969"/>
      <c r="K4" s="1969"/>
      <c r="L4" s="1969"/>
    </row>
    <row r="5" spans="1:16">
      <c r="A5" s="110" t="s">
        <v>207</v>
      </c>
      <c r="B5" s="3285" t="s">
        <v>230</v>
      </c>
      <c r="C5" s="3285"/>
      <c r="D5" s="111">
        <f>ROUND($D$3*E5/$E$3,2)</f>
        <v>0</v>
      </c>
      <c r="E5" s="112">
        <f>SUMIF('数据-基础表'!$11:$11,"住宅",'数据-基础表'!$5:$5)</f>
        <v>0</v>
      </c>
      <c r="F5" s="1969"/>
      <c r="G5" s="280" t="s">
        <v>861</v>
      </c>
      <c r="H5" s="275" t="s">
        <v>859</v>
      </c>
      <c r="I5" s="1961">
        <f>ROUND(E31/D31,2)</f>
        <v>0.85</v>
      </c>
      <c r="J5" s="1969"/>
      <c r="K5" s="1969"/>
      <c r="L5" s="1969"/>
    </row>
    <row r="6" spans="1:16" ht="15" thickBot="1">
      <c r="A6" s="113"/>
      <c r="B6" s="3285" t="s">
        <v>208</v>
      </c>
      <c r="C6" s="3285"/>
      <c r="D6" s="111">
        <f>ROUND($D$3*E6/$E$3,2)</f>
        <v>120300.2</v>
      </c>
      <c r="E6" s="112">
        <f>E3-E5</f>
        <v>102255</v>
      </c>
      <c r="F6" s="1969"/>
      <c r="G6" s="1197"/>
      <c r="H6" s="275" t="s">
        <v>860</v>
      </c>
      <c r="I6" s="1961">
        <f>ROUND(F31/D31,2)</f>
        <v>0.85</v>
      </c>
      <c r="J6" s="1969"/>
      <c r="K6" s="1969"/>
      <c r="L6" s="1969"/>
    </row>
    <row r="7" spans="1:16" ht="15">
      <c r="A7" s="3277"/>
      <c r="B7" s="3278"/>
      <c r="C7" s="3279"/>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120300.2</v>
      </c>
      <c r="E8" s="116">
        <f>SUMIF('数据-基础表'!BB10:BK10,"地上",'数据-基础表'!BB5:BK5)</f>
        <v>102255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120300.2</v>
      </c>
      <c r="E16" s="120">
        <f>SUM(E8:E15)</f>
        <v>102255</v>
      </c>
      <c r="F16" s="1969"/>
      <c r="G16" s="1971"/>
      <c r="H16" s="968" t="s">
        <v>219</v>
      </c>
      <c r="I16" s="969"/>
      <c r="J16" s="1969"/>
      <c r="K16" s="3271" t="s">
        <v>2566</v>
      </c>
      <c r="L16" s="3272"/>
      <c r="M16" s="3272"/>
      <c r="N16" s="3272"/>
      <c r="O16" s="3272"/>
      <c r="P16" s="3273"/>
    </row>
    <row r="17" spans="1:19" ht="15">
      <c r="A17" s="121" t="s">
        <v>216</v>
      </c>
      <c r="B17" s="122" t="s">
        <v>217</v>
      </c>
      <c r="C17" s="2283" t="s">
        <v>2313</v>
      </c>
      <c r="D17" s="108" t="s">
        <v>204</v>
      </c>
      <c r="E17" s="124" t="s">
        <v>205</v>
      </c>
      <c r="F17" s="125"/>
      <c r="G17" s="1362"/>
      <c r="H17" s="970" t="s">
        <v>218</v>
      </c>
      <c r="I17" s="971" t="s">
        <v>2312</v>
      </c>
      <c r="J17" s="1969"/>
      <c r="K17" s="3274" t="s">
        <v>2567</v>
      </c>
      <c r="L17" s="3275"/>
      <c r="M17" s="3276"/>
      <c r="N17" s="3274" t="s">
        <v>2568</v>
      </c>
      <c r="O17" s="3275"/>
      <c r="P17" s="3276"/>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3023</v>
      </c>
      <c r="D19" s="111">
        <f t="shared" ref="D19:D26" si="1">ROUND($D$3*E19/$E$3,2)</f>
        <v>0</v>
      </c>
      <c r="E19" s="134">
        <f t="shared" ref="E19:E26" si="2">SUM(F19:G19)</f>
        <v>0</v>
      </c>
      <c r="F19" s="135">
        <f>'数据-基础表'!I13</f>
        <v>0</v>
      </c>
      <c r="G19" s="1364"/>
      <c r="H19" s="974" t="e">
        <f>ROUND($D$3*I19/$E$3,2)</f>
        <v>#DIV/0!</v>
      </c>
      <c r="I19" s="116" t="e">
        <f>IF($I$17="自定义",P19,M19)</f>
        <v>#DIV/0!</v>
      </c>
      <c r="J19" s="1969"/>
      <c r="K19" s="2572">
        <f t="shared" ref="K19:K26" si="3">ROUND(E$28*E19/E$27,2)</f>
        <v>0</v>
      </c>
      <c r="L19" s="275" t="e">
        <f t="shared" ref="L19:L26" si="4">ROUND(IF(COUNTIF(C19,"*住宅*")&gt;0,E$29*E19/E$32,0),2)</f>
        <v>#DIV/0!</v>
      </c>
      <c r="M19" s="2573" t="e">
        <f>K19+L19</f>
        <v>#DIV/0!</v>
      </c>
      <c r="N19" s="2574"/>
      <c r="O19" s="2575"/>
      <c r="P19" s="2576">
        <f>N19+O19</f>
        <v>0</v>
      </c>
      <c r="R19" s="275" t="e">
        <f t="shared" ref="R19:S26" si="5">D19+H19</f>
        <v>#DIV/0!</v>
      </c>
      <c r="S19" s="2286" t="e">
        <f t="shared" si="5"/>
        <v>#DIV/0!</v>
      </c>
    </row>
    <row r="20" spans="1:19">
      <c r="A20" s="138"/>
      <c r="B20" s="115" t="s">
        <v>226</v>
      </c>
      <c r="C20" s="2977" t="s">
        <v>3024</v>
      </c>
      <c r="D20" s="111">
        <f t="shared" si="1"/>
        <v>120300.2</v>
      </c>
      <c r="E20" s="134">
        <f t="shared" si="2"/>
        <v>102255</v>
      </c>
      <c r="F20" s="135">
        <f>'数据-基础表'!K13</f>
        <v>102255</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120300.2</v>
      </c>
      <c r="S20" s="2286">
        <f t="shared" si="5"/>
        <v>102255</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120300.2</v>
      </c>
      <c r="E27" s="143">
        <f>IF(SUM(E19:E26)='数据-基础表'!BA5,SUM(E19:E26),IF(F27="地上面积有误","面积有误","地下面积有误"))</f>
        <v>102255</v>
      </c>
      <c r="F27" s="134">
        <f>IF(SUM(F19:F26)=E8,SUM(F19:F26),"地上面积有误")</f>
        <v>102255</v>
      </c>
      <c r="G27" s="112">
        <f>SUM(G19:G26)</f>
        <v>0</v>
      </c>
      <c r="H27" s="975" t="e">
        <f>SUM(H19:H26)</f>
        <v>#DIV/0!</v>
      </c>
      <c r="I27" s="976" t="e">
        <f>SUM(I19:I26)</f>
        <v>#DIV/0!</v>
      </c>
      <c r="J27" s="1969"/>
      <c r="K27" s="2581">
        <f>SUM(K19:K26)</f>
        <v>0</v>
      </c>
      <c r="L27" s="2582" t="e">
        <f>SUM(L19:L26)</f>
        <v>#DIV/0!</v>
      </c>
      <c r="M27" s="2583" t="e">
        <f>SUM(M19:M26)</f>
        <v>#DIV/0!</v>
      </c>
      <c r="N27" s="2581">
        <f t="shared" ref="N27:O27" si="10">SUM(N19:N26)</f>
        <v>0</v>
      </c>
      <c r="O27" s="2582">
        <f t="shared" si="10"/>
        <v>0</v>
      </c>
      <c r="P27" s="2584">
        <f>SUM(P19:P26)</f>
        <v>0</v>
      </c>
      <c r="R27" s="2290"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120300.2</v>
      </c>
      <c r="E31" s="1368">
        <f>E27+E30</f>
        <v>102255</v>
      </c>
      <c r="F31" s="1369">
        <f>F27+F30</f>
        <v>102255</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43700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0</v>
      </c>
      <c r="F6" s="174">
        <f>SUMIF(项目基本情况!D$15:I$15,C6,项目基本情况!D$19:I$19)</f>
        <v>0</v>
      </c>
      <c r="G6" s="175">
        <f>IF(ISERROR(ROUND(POWER(1+H6,D6-F6)*(POWER(1+H6,F6)-1)/(POWER(1+H6,D6)-1),3)),0,ROUND(POWER(1+H6,D6-F6)*(POWER(1+H6,F6)-1)/(POWER(1+H6,D6)-1),3))</f>
        <v>0</v>
      </c>
      <c r="H6" s="2978"/>
      <c r="I6" s="2978"/>
      <c r="J6" s="176"/>
      <c r="K6" s="179">
        <f>SUMIF('数据-汇总表'!C$19:C$33,'数据-取费表'!A6,'数据-汇总表'!E$19:E$33)</f>
        <v>0</v>
      </c>
      <c r="L6" s="2979"/>
      <c r="M6" s="177">
        <f t="shared" ref="M6:M14" si="0">ROUND(K6*L6/10000,0)</f>
        <v>0</v>
      </c>
      <c r="N6" s="2980"/>
      <c r="O6" s="177">
        <f>IF($N$5="成新度","——",ROUND(M6*N6,0))</f>
        <v>0</v>
      </c>
      <c r="P6" s="178">
        <f>IF($N$5="成新度","——",M6-O6)</f>
        <v>0</v>
      </c>
      <c r="Q6" s="2981"/>
      <c r="R6" s="179" t="e">
        <f>SUMIF('数据-汇总表'!C$19:C$33,A6,'数据-汇总表'!R$19:R$33)</f>
        <v>#DIV/0!</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3022</v>
      </c>
      <c r="D7" s="2293">
        <f>SUMIF(项目基本情况!D$15:I$15,C7,项目基本情况!D$18:I$18)</f>
        <v>40</v>
      </c>
      <c r="E7" s="2294">
        <f>IF(B7="","",SUMIF(项目基本情况!D$15:I$15,C7,项目基本情况!D$17:I$17))</f>
        <v>54302</v>
      </c>
      <c r="F7" s="174">
        <f>SUMIF(项目基本情况!D$15:I$15,C7,项目基本情况!D$19:I$19)</f>
        <v>29.04</v>
      </c>
      <c r="G7" s="175">
        <f t="shared" ref="G7:G11" si="2">IF(ISERROR(ROUND(POWER(1+H7,D7-F7)*(POWER(1+H7,F7)-1)/(POWER(1+H7,D7)-1),3)),0,ROUND(POWER(1+H7,D7-F7)*(POWER(1+H7,F7)-1)/(POWER(1+H7,D7)-1),3))</f>
        <v>0.88300000000000001</v>
      </c>
      <c r="H7" s="2978">
        <v>0.05</v>
      </c>
      <c r="I7" s="2978">
        <v>5.5E-2</v>
      </c>
      <c r="J7" s="176">
        <v>8.5000000000000006E-2</v>
      </c>
      <c r="K7" s="179">
        <f>SUMIF('数据-汇总表'!C$19:C$33,'数据-取费表'!A7,'数据-汇总表'!E$19:E$33)</f>
        <v>102255</v>
      </c>
      <c r="L7" s="2979">
        <v>2200</v>
      </c>
      <c r="M7" s="177">
        <f t="shared" si="0"/>
        <v>22496</v>
      </c>
      <c r="N7" s="2980">
        <v>0</v>
      </c>
      <c r="O7" s="177">
        <f t="shared" ref="O7:O14" si="3">IF($N$5="成新度","——",ROUND(M7*N7,0))</f>
        <v>0</v>
      </c>
      <c r="P7" s="178">
        <f t="shared" ref="P7:P14" si="4">IF($N$5="成新度","——",M7-O7)</f>
        <v>22496</v>
      </c>
      <c r="Q7" s="2981">
        <v>0.2</v>
      </c>
      <c r="R7" s="179">
        <f>SUMIF('数据-汇总表'!C$19:C$33,A7,'数据-汇总表'!R$19:R$33)</f>
        <v>120300.2</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1.5</v>
      </c>
      <c r="V7" s="181">
        <v>2.5000000000000001E-2</v>
      </c>
      <c r="W7" s="181">
        <v>0.15</v>
      </c>
      <c r="X7" s="2306"/>
      <c r="Y7" s="182">
        <v>1</v>
      </c>
      <c r="Z7" s="183"/>
      <c r="AA7" s="176"/>
      <c r="AB7" s="176"/>
      <c r="AC7" s="2309"/>
      <c r="AD7" s="184"/>
      <c r="AE7" s="972">
        <f t="shared" ref="AE7:AE13" ca="1" si="6">IF(AN7="",0,SUMIF(INDIRECT("'"&amp;AN7&amp;"'"&amp;"!E:E"),$AE$5,INDIRECT("'"&amp;AN7&amp;"'"&amp;"!F:F")))</f>
        <v>29.04</v>
      </c>
      <c r="AF7" s="141"/>
      <c r="AG7" s="1209">
        <f t="shared" ref="AG7:AG13" si="7">IF(AF7="",0,AE7-AF7)</f>
        <v>0</v>
      </c>
      <c r="AH7" s="141"/>
      <c r="AI7" s="187">
        <v>365</v>
      </c>
      <c r="AJ7" s="188"/>
      <c r="AK7" s="189">
        <v>1.4999999999999999E-2</v>
      </c>
      <c r="AL7" s="190">
        <v>1.5E-3</v>
      </c>
      <c r="AM7" s="2354">
        <v>0.02</v>
      </c>
      <c r="AN7" s="2356" t="s">
        <v>3086</v>
      </c>
      <c r="AO7" s="1985"/>
      <c r="AP7" s="1200">
        <f t="shared" ref="AP7:AP13" si="8">ROUND(1-1/(1+H7)^F7,3)</f>
        <v>0.75800000000000001</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0.88300000000000001</v>
      </c>
      <c r="H16" s="203">
        <f>ROUND(SUMPRODUCT(H6:H13,K6:K13)/SUMPRODUCT((H6:H13&gt;0)*(K6:K13)),3)</f>
        <v>0.05</v>
      </c>
      <c r="I16" s="204"/>
      <c r="J16" s="204"/>
      <c r="K16" s="205">
        <f>SUM(K6:K15)</f>
        <v>102255</v>
      </c>
      <c r="L16" s="206">
        <f>ROUND(M16*10000/SUM(K6:K14),0)</f>
        <v>2200</v>
      </c>
      <c r="M16" s="206">
        <f>SUM(M6:M14)</f>
        <v>22496</v>
      </c>
      <c r="N16" s="207">
        <f>ROUND(SUMPRODUCT(M6:M14,N6:N14)/M16,3)</f>
        <v>0</v>
      </c>
      <c r="O16" s="206">
        <f>SUM(O6:O14)</f>
        <v>0</v>
      </c>
      <c r="P16" s="206">
        <f>SUM(P6:P14)</f>
        <v>22496</v>
      </c>
      <c r="Q16" s="208">
        <f>ROUND(SUMPRODUCT(Q6:Q13,K6:K13)/SUMPRODUCT((Q6:Q13&gt;0)*(K6:K13)),2)</f>
        <v>0.2</v>
      </c>
      <c r="R16" s="2296"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0.75800000000000001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70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9" sqref="H9"/>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6" t="s">
        <v>1663</v>
      </c>
      <c r="B1" s="3287"/>
      <c r="C1" s="3287"/>
      <c r="D1" s="3287"/>
      <c r="E1" s="3287"/>
      <c r="F1" s="3287"/>
      <c r="G1" s="3287"/>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42.75">
      <c r="A3" s="1223" t="s">
        <v>1666</v>
      </c>
      <c r="B3" s="1224" t="s">
        <v>1653</v>
      </c>
      <c r="C3" s="3189" t="s">
        <v>3029</v>
      </c>
      <c r="D3" s="1994"/>
      <c r="E3" s="1225" t="s">
        <v>1666</v>
      </c>
      <c r="F3" s="1226" t="s">
        <v>1654</v>
      </c>
      <c r="G3" s="3035" t="s">
        <v>2921</v>
      </c>
      <c r="H3" s="1993"/>
      <c r="I3" s="1993"/>
      <c r="J3" s="1993"/>
      <c r="K3" s="1993"/>
      <c r="L3" s="1993"/>
      <c r="M3" s="1993"/>
      <c r="N3" s="1993"/>
      <c r="O3" s="1993"/>
      <c r="P3" s="1993"/>
      <c r="Q3" s="1993"/>
      <c r="R3" s="1993"/>
    </row>
    <row r="4" spans="1:18" ht="40.5">
      <c r="A4" s="1225"/>
      <c r="B4" s="1227" t="s">
        <v>1667</v>
      </c>
      <c r="C4" s="3190" t="s">
        <v>3030</v>
      </c>
      <c r="D4" s="1994"/>
      <c r="E4" s="1228"/>
      <c r="F4" s="1229" t="s">
        <v>1668</v>
      </c>
      <c r="G4" s="3034" t="s">
        <v>2918</v>
      </c>
      <c r="H4" s="1993"/>
      <c r="I4" s="1993"/>
      <c r="J4" s="1993"/>
      <c r="K4" s="1993"/>
      <c r="L4" s="1993"/>
      <c r="M4" s="1993"/>
      <c r="N4" s="1993"/>
      <c r="O4" s="1993"/>
      <c r="P4" s="1993"/>
      <c r="Q4" s="1993"/>
      <c r="R4" s="1993"/>
    </row>
    <row r="5" spans="1:18" ht="27">
      <c r="A5" s="1225"/>
      <c r="B5" s="1227" t="s">
        <v>1669</v>
      </c>
      <c r="C5" s="3033"/>
      <c r="D5" s="1994"/>
      <c r="E5" s="1228"/>
      <c r="F5" s="1227" t="s">
        <v>2546</v>
      </c>
      <c r="G5" s="3034" t="s">
        <v>2919</v>
      </c>
      <c r="H5" s="1993"/>
      <c r="I5" s="1993"/>
      <c r="J5" s="1993"/>
      <c r="K5" s="1993"/>
      <c r="L5" s="1993"/>
      <c r="M5" s="1993"/>
      <c r="N5" s="1993"/>
      <c r="O5" s="1993"/>
      <c r="P5" s="1993"/>
      <c r="Q5" s="1993"/>
      <c r="R5" s="1993"/>
    </row>
    <row r="6" spans="1:18" ht="27">
      <c r="A6" s="1225"/>
      <c r="B6" s="1227" t="s">
        <v>1655</v>
      </c>
      <c r="C6" s="3191" t="s">
        <v>3030</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191" t="s">
        <v>3031</v>
      </c>
      <c r="D7" s="1995"/>
      <c r="E7" s="1230"/>
      <c r="F7" s="1231" t="s">
        <v>1670</v>
      </c>
      <c r="G7" s="3036" t="s">
        <v>2920</v>
      </c>
      <c r="H7" s="1993"/>
      <c r="I7" s="1993"/>
      <c r="J7" s="1993"/>
      <c r="K7" s="1993"/>
      <c r="L7" s="1993"/>
      <c r="M7" s="1993"/>
      <c r="N7" s="1993"/>
      <c r="O7" s="1993"/>
      <c r="P7" s="1993"/>
      <c r="Q7" s="1993"/>
      <c r="R7" s="1993"/>
    </row>
    <row r="8" spans="1:18">
      <c r="A8" s="1225"/>
      <c r="B8" s="1227" t="s">
        <v>2547</v>
      </c>
      <c r="C8" s="3191" t="s">
        <v>3032</v>
      </c>
      <c r="D8" s="1995"/>
      <c r="E8" s="1995"/>
      <c r="F8" s="1540"/>
      <c r="G8" s="1540"/>
      <c r="H8" s="1993"/>
      <c r="I8" s="1993"/>
      <c r="J8" s="1993"/>
      <c r="K8" s="1993"/>
      <c r="L8" s="1993"/>
      <c r="M8" s="1993"/>
      <c r="N8" s="1993"/>
      <c r="O8" s="1993"/>
      <c r="P8" s="1993"/>
      <c r="Q8" s="1993"/>
      <c r="R8" s="1993"/>
    </row>
    <row r="9" spans="1:18">
      <c r="A9" s="1225"/>
      <c r="B9" s="1227" t="s">
        <v>1656</v>
      </c>
      <c r="C9" s="3190" t="s">
        <v>3030</v>
      </c>
      <c r="D9" s="1994"/>
      <c r="E9" s="1995"/>
      <c r="F9" s="1540"/>
      <c r="G9" s="1540"/>
      <c r="H9" s="1993"/>
      <c r="I9" s="1993"/>
      <c r="J9" s="1993"/>
      <c r="K9" s="1993"/>
      <c r="L9" s="1993"/>
      <c r="M9" s="1993"/>
      <c r="N9" s="1993"/>
      <c r="O9" s="1993"/>
      <c r="P9" s="1993"/>
      <c r="Q9" s="1993"/>
      <c r="R9" s="1993"/>
    </row>
    <row r="10" spans="1:18" s="2001" customFormat="1" ht="14.25" thickBot="1">
      <c r="A10" s="1232"/>
      <c r="B10" s="1233" t="s">
        <v>1671</v>
      </c>
      <c r="C10" s="3192" t="s">
        <v>3033</v>
      </c>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40.5">
      <c r="A15" s="2552" t="s">
        <v>1657</v>
      </c>
      <c r="B15" s="1238" t="s">
        <v>1653</v>
      </c>
      <c r="C15" s="1239" t="str">
        <f>C3</f>
        <v>一般</v>
      </c>
      <c r="D15" s="1994"/>
      <c r="E15" s="2549" t="s">
        <v>1658</v>
      </c>
      <c r="F15" s="1238" t="s">
        <v>1673</v>
      </c>
      <c r="G15" s="1240" t="str">
        <f>G3</f>
        <v>估价对象位于XX开发区，园区建设成熟度XX，产业集聚程度XX</v>
      </c>
    </row>
    <row r="16" spans="1:18" ht="40.5">
      <c r="A16" s="2553"/>
      <c r="B16" s="1241" t="s">
        <v>1667</v>
      </c>
      <c r="C16" s="1242" t="str">
        <f>C4</f>
        <v>一般</v>
      </c>
      <c r="D16" s="1994"/>
      <c r="E16" s="2550"/>
      <c r="F16" s="1243" t="s">
        <v>1668</v>
      </c>
      <c r="G16" s="1005" t="str">
        <f>G4</f>
        <v>估价对象周边道路状况、公共交通通达情况、停车便捷程度，综合评价交通便捷度较好</v>
      </c>
    </row>
    <row r="17" spans="1:7" ht="14.25">
      <c r="A17" s="2553"/>
      <c r="B17" s="1241" t="s">
        <v>1669</v>
      </c>
      <c r="C17" s="1242">
        <f>C5</f>
        <v>0</v>
      </c>
      <c r="D17" s="1995"/>
      <c r="E17" s="2550"/>
      <c r="F17" s="1243" t="s">
        <v>1674</v>
      </c>
      <c r="G17" s="2750"/>
    </row>
    <row r="18" spans="1:7" ht="40.5">
      <c r="A18" s="2553"/>
      <c r="B18" s="1243" t="s">
        <v>1655</v>
      </c>
      <c r="C18" s="1005" t="str">
        <f>C6</f>
        <v>一般</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27">
      <c r="A20" s="2553"/>
      <c r="B20" s="1243" t="s">
        <v>1660</v>
      </c>
      <c r="C20" s="1242" t="str">
        <f>C9</f>
        <v>一般</v>
      </c>
      <c r="D20" s="1995"/>
      <c r="E20" s="2550"/>
      <c r="F20" s="1227" t="s">
        <v>2547</v>
      </c>
      <c r="G20" s="1005" t="str">
        <f>G6</f>
        <v>估价对象所在区域基础设施水平</v>
      </c>
    </row>
    <row r="21" spans="1:7" ht="14.25">
      <c r="A21" s="2553"/>
      <c r="B21" s="1227" t="s">
        <v>2546</v>
      </c>
      <c r="C21" s="1005" t="str">
        <f>C7</f>
        <v>一般</v>
      </c>
      <c r="D21" s="1994"/>
      <c r="E21" s="2550"/>
      <c r="F21" s="1243" t="s">
        <v>1661</v>
      </c>
      <c r="G21" s="3037"/>
    </row>
    <row r="22" spans="1:7" ht="14.25">
      <c r="A22" s="2553"/>
      <c r="B22" s="1227" t="s">
        <v>2547</v>
      </c>
      <c r="C22" s="1005" t="str">
        <f>C8</f>
        <v>六通</v>
      </c>
      <c r="D22" s="1994"/>
      <c r="E22" s="2550"/>
      <c r="F22" s="1243" t="s">
        <v>1671</v>
      </c>
      <c r="G22" s="2750"/>
    </row>
    <row r="23" spans="1:7" ht="15" thickBot="1">
      <c r="A23" s="2553"/>
      <c r="B23" s="1243" t="s">
        <v>1661</v>
      </c>
      <c r="C23" s="3037"/>
      <c r="E23" s="2551"/>
      <c r="F23" s="1244" t="s">
        <v>1675</v>
      </c>
      <c r="G23" s="3038"/>
    </row>
    <row r="24" spans="1:7" ht="14.25" thickBot="1">
      <c r="A24" s="2554"/>
      <c r="B24" s="1244" t="s">
        <v>1662</v>
      </c>
      <c r="C24" s="1245" t="str">
        <f>C10</f>
        <v>支路</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102255</v>
      </c>
      <c r="C1" s="2998"/>
      <c r="D1" s="2998"/>
      <c r="E1" s="2998"/>
      <c r="F1" s="2998"/>
    </row>
    <row r="2" spans="1:9" ht="16.5">
      <c r="A2" s="2997" t="s">
        <v>2845</v>
      </c>
      <c r="B2" s="2997">
        <f>SUM(C14:C23)</f>
        <v>120300.2</v>
      </c>
      <c r="C2" s="2998"/>
      <c r="D2" s="2998"/>
      <c r="E2" s="2998"/>
      <c r="F2" s="2998"/>
    </row>
    <row r="3" spans="1:9" ht="16.5">
      <c r="A3" s="2997" t="s">
        <v>2846</v>
      </c>
      <c r="B3" s="2999">
        <f>项目基本情况!D3</f>
        <v>43700</v>
      </c>
      <c r="C3" s="2998"/>
      <c r="D3" s="2998"/>
      <c r="E3" s="2998"/>
      <c r="F3" s="2998"/>
    </row>
    <row r="4" spans="1:9" ht="33">
      <c r="A4" s="2997" t="s">
        <v>2847</v>
      </c>
      <c r="B4" s="2997" t="s">
        <v>2848</v>
      </c>
      <c r="C4" s="2997" t="s">
        <v>2849</v>
      </c>
      <c r="D4" s="2997" t="s">
        <v>2850</v>
      </c>
      <c r="E4" s="2998"/>
      <c r="F4" s="2998"/>
    </row>
    <row r="5" spans="1:9" ht="16.5">
      <c r="A5" s="2997" t="s">
        <v>2851</v>
      </c>
      <c r="B5" s="2997">
        <f ca="1">SUM(D14:D23)</f>
        <v>19024</v>
      </c>
      <c r="C5" s="2997">
        <f ca="1">ROUND(B5*10000/$B$1,0)</f>
        <v>1860</v>
      </c>
      <c r="D5" s="2997">
        <f ca="1">ROUND(B5*10000/$B$2,0)</f>
        <v>1581</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102255</v>
      </c>
      <c r="C14" s="3001">
        <f>结果表!K38</f>
        <v>120300.2</v>
      </c>
      <c r="D14" s="3001">
        <f ca="1">结果表!C42</f>
        <v>19024</v>
      </c>
      <c r="E14" s="3001">
        <f ca="1">ROUND(D14*10000/B14,0)</f>
        <v>1860</v>
      </c>
      <c r="F14" s="3001">
        <f ca="1">ROUND(D14*10000/C14,0)</f>
        <v>1581</v>
      </c>
      <c r="G14" s="3001" t="str">
        <f>结果表!C44</f>
        <v>——</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4" t="str">
        <f>项目基本情况!K2</f>
        <v>出让国有建设用地使用权</v>
      </c>
      <c r="B2" s="3325"/>
      <c r="C2" s="3326"/>
      <c r="D2" s="3326"/>
      <c r="E2" s="3326"/>
      <c r="F2" s="3326"/>
      <c r="G2" s="3325"/>
      <c r="H2" s="3325"/>
      <c r="I2" s="3327"/>
      <c r="J2" s="2015"/>
      <c r="K2" s="2014"/>
      <c r="L2" s="2014"/>
      <c r="M2" s="2014"/>
      <c r="N2" s="2014"/>
      <c r="O2" s="2014"/>
      <c r="P2" s="2014"/>
      <c r="Q2" s="2014"/>
      <c r="R2" s="2014"/>
      <c r="S2" s="2014"/>
      <c r="T2" s="2014"/>
      <c r="U2" s="2014"/>
      <c r="V2" s="2014"/>
    </row>
    <row r="3" spans="1:22" ht="14.25">
      <c r="A3" s="3317" t="s">
        <v>298</v>
      </c>
      <c r="B3" s="3318"/>
      <c r="C3" s="3318"/>
      <c r="D3" s="3318"/>
      <c r="E3" s="3318"/>
      <c r="F3" s="3318"/>
      <c r="G3" s="3318"/>
      <c r="H3" s="3318"/>
      <c r="I3" s="3318"/>
      <c r="J3" s="2015"/>
      <c r="K3" s="2014"/>
      <c r="L3" s="2014"/>
      <c r="M3" s="2014"/>
      <c r="N3" s="2014"/>
      <c r="O3" s="2014"/>
      <c r="P3" s="2014"/>
      <c r="Q3" s="2014"/>
      <c r="R3" s="2014"/>
      <c r="S3" s="2014"/>
      <c r="T3" s="2014"/>
      <c r="U3" s="2014"/>
      <c r="V3" s="2014"/>
    </row>
    <row r="4" spans="1:22" ht="14.25">
      <c r="A4" s="258" t="s">
        <v>299</v>
      </c>
      <c r="B4" s="259" t="s">
        <v>300</v>
      </c>
      <c r="C4" s="260" t="s">
        <v>3036</v>
      </c>
      <c r="D4" s="260" t="s">
        <v>3037</v>
      </c>
      <c r="E4" s="3289" t="s">
        <v>301</v>
      </c>
      <c r="F4" s="3290"/>
      <c r="G4" s="3290"/>
      <c r="H4" s="3290"/>
      <c r="I4" s="3319"/>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288" t="s">
        <v>302</v>
      </c>
      <c r="B5" s="3314">
        <v>25</v>
      </c>
      <c r="C5" s="3312"/>
      <c r="D5" s="3316"/>
      <c r="E5" s="261" t="s">
        <v>303</v>
      </c>
      <c r="F5" s="262"/>
      <c r="G5" s="262"/>
      <c r="H5" s="262"/>
      <c r="I5" s="263"/>
      <c r="J5" s="2015"/>
      <c r="K5" s="2014"/>
      <c r="L5" s="2014"/>
      <c r="M5" s="2014"/>
      <c r="N5" s="2014"/>
      <c r="O5" s="2014"/>
      <c r="P5" s="2014"/>
      <c r="Q5" s="2014"/>
      <c r="R5" s="2014"/>
      <c r="S5" s="2014"/>
      <c r="T5" s="2014"/>
      <c r="U5" s="2014"/>
      <c r="V5" s="2014"/>
    </row>
    <row r="6" spans="1:22" ht="14.25">
      <c r="A6" s="3288"/>
      <c r="B6" s="3314"/>
      <c r="C6" s="3315"/>
      <c r="D6" s="3316"/>
      <c r="E6" s="261" t="s">
        <v>304</v>
      </c>
      <c r="F6" s="262"/>
      <c r="G6" s="262"/>
      <c r="H6" s="262"/>
      <c r="I6" s="263"/>
      <c r="J6" s="2015"/>
      <c r="K6" s="2014"/>
      <c r="L6" s="2014"/>
      <c r="M6" s="2014"/>
      <c r="N6" s="2014"/>
      <c r="O6" s="2014"/>
      <c r="P6" s="2014"/>
      <c r="Q6" s="2014"/>
      <c r="R6" s="2014"/>
      <c r="S6" s="2014"/>
      <c r="T6" s="2014"/>
      <c r="U6" s="2014"/>
      <c r="V6" s="2014"/>
    </row>
    <row r="7" spans="1:22" ht="14.25">
      <c r="A7" s="3288"/>
      <c r="B7" s="3314"/>
      <c r="C7" s="3313"/>
      <c r="D7" s="3316"/>
      <c r="E7" s="261" t="s">
        <v>305</v>
      </c>
      <c r="F7" s="262"/>
      <c r="G7" s="262"/>
      <c r="H7" s="262"/>
      <c r="I7" s="263"/>
      <c r="J7" s="2015"/>
      <c r="K7" s="2014"/>
      <c r="L7" s="2014"/>
      <c r="M7" s="2014"/>
      <c r="N7" s="2014"/>
      <c r="O7" s="2014"/>
      <c r="P7" s="2014"/>
      <c r="Q7" s="2014"/>
      <c r="R7" s="2014"/>
      <c r="S7" s="2014"/>
      <c r="T7" s="2014"/>
      <c r="U7" s="2014"/>
      <c r="V7" s="2014"/>
    </row>
    <row r="8" spans="1:22" ht="14.25">
      <c r="A8" s="3288" t="s">
        <v>306</v>
      </c>
      <c r="B8" s="3314">
        <v>15</v>
      </c>
      <c r="C8" s="3312"/>
      <c r="D8" s="3316"/>
      <c r="E8" s="261" t="s">
        <v>307</v>
      </c>
      <c r="F8" s="262"/>
      <c r="G8" s="262"/>
      <c r="H8" s="262"/>
      <c r="I8" s="263"/>
      <c r="J8" s="2015"/>
      <c r="K8" s="2014"/>
      <c r="L8" s="2014"/>
      <c r="M8" s="2014"/>
      <c r="N8" s="2014"/>
      <c r="O8" s="2014"/>
      <c r="P8" s="2014"/>
      <c r="Q8" s="2014"/>
      <c r="R8" s="2014"/>
      <c r="S8" s="2014"/>
      <c r="T8" s="2014"/>
      <c r="U8" s="2014"/>
      <c r="V8" s="2014"/>
    </row>
    <row r="9" spans="1:22" ht="14.25">
      <c r="A9" s="3288"/>
      <c r="B9" s="3314"/>
      <c r="C9" s="3313"/>
      <c r="D9" s="3316"/>
      <c r="E9" s="261" t="s">
        <v>308</v>
      </c>
      <c r="F9" s="262"/>
      <c r="G9" s="262"/>
      <c r="H9" s="262"/>
      <c r="I9" s="263"/>
      <c r="J9" s="2015"/>
      <c r="K9" s="2014"/>
      <c r="L9" s="2014"/>
      <c r="M9" s="2014"/>
      <c r="N9" s="2014"/>
      <c r="O9" s="2014"/>
      <c r="P9" s="2014"/>
      <c r="Q9" s="2014"/>
      <c r="R9" s="2014"/>
      <c r="S9" s="2014"/>
      <c r="T9" s="2014"/>
      <c r="U9" s="2014"/>
      <c r="V9" s="2014"/>
    </row>
    <row r="10" spans="1:22" ht="14.25">
      <c r="A10" s="3288" t="s">
        <v>309</v>
      </c>
      <c r="B10" s="3314">
        <v>15</v>
      </c>
      <c r="C10" s="3312"/>
      <c r="D10" s="3316"/>
      <c r="E10" s="261" t="s">
        <v>310</v>
      </c>
      <c r="F10" s="262"/>
      <c r="G10" s="262"/>
      <c r="H10" s="262"/>
      <c r="I10" s="263"/>
      <c r="J10" s="2015"/>
      <c r="K10" s="2014"/>
      <c r="L10" s="2014"/>
      <c r="M10" s="2014"/>
      <c r="N10" s="2014"/>
      <c r="O10" s="2014"/>
      <c r="P10" s="2014"/>
      <c r="Q10" s="2014"/>
      <c r="R10" s="2014"/>
      <c r="S10" s="2014"/>
      <c r="T10" s="2014"/>
      <c r="U10" s="2014"/>
      <c r="V10" s="2014"/>
    </row>
    <row r="11" spans="1:22" ht="14.25">
      <c r="A11" s="3288"/>
      <c r="B11" s="3314"/>
      <c r="C11" s="3313"/>
      <c r="D11" s="3316"/>
      <c r="E11" s="261" t="s">
        <v>311</v>
      </c>
      <c r="F11" s="262"/>
      <c r="G11" s="262"/>
      <c r="H11" s="262"/>
      <c r="I11" s="263"/>
      <c r="J11" s="2015"/>
      <c r="K11" s="2014"/>
      <c r="L11" s="2014"/>
      <c r="M11" s="2014"/>
      <c r="N11" s="2014"/>
      <c r="O11" s="2014"/>
      <c r="P11" s="2014"/>
      <c r="Q11" s="2014"/>
      <c r="R11" s="2014"/>
      <c r="S11" s="2014"/>
      <c r="T11" s="2014"/>
      <c r="U11" s="2014"/>
      <c r="V11" s="2014"/>
    </row>
    <row r="12" spans="1:22" ht="14.25">
      <c r="A12" s="3288" t="s">
        <v>312</v>
      </c>
      <c r="B12" s="3314">
        <v>15</v>
      </c>
      <c r="C12" s="3312"/>
      <c r="D12" s="3316"/>
      <c r="E12" s="261" t="s">
        <v>313</v>
      </c>
      <c r="F12" s="262"/>
      <c r="G12" s="262"/>
      <c r="H12" s="262"/>
      <c r="I12" s="263"/>
      <c r="J12" s="2015"/>
      <c r="K12" s="2014"/>
      <c r="L12" s="2014"/>
      <c r="M12" s="2014"/>
      <c r="N12" s="2014"/>
      <c r="O12" s="2014"/>
      <c r="P12" s="2014"/>
      <c r="Q12" s="2014"/>
      <c r="R12" s="2014"/>
      <c r="S12" s="2014"/>
      <c r="T12" s="2014"/>
      <c r="U12" s="2014"/>
      <c r="V12" s="2014"/>
    </row>
    <row r="13" spans="1:22" ht="14.25">
      <c r="A13" s="3288"/>
      <c r="B13" s="3314"/>
      <c r="C13" s="3313"/>
      <c r="D13" s="3316"/>
      <c r="E13" s="261" t="s">
        <v>314</v>
      </c>
      <c r="F13" s="262"/>
      <c r="G13" s="262"/>
      <c r="H13" s="262"/>
      <c r="I13" s="263"/>
      <c r="J13" s="2015"/>
      <c r="K13" s="2014"/>
      <c r="L13" s="2014"/>
      <c r="M13" s="2014"/>
      <c r="N13" s="2014"/>
      <c r="O13" s="2014"/>
      <c r="P13" s="2014"/>
      <c r="Q13" s="2014"/>
      <c r="R13" s="2014"/>
      <c r="S13" s="2014"/>
      <c r="T13" s="2014"/>
      <c r="U13" s="2014"/>
      <c r="V13" s="2014"/>
    </row>
    <row r="14" spans="1:22" ht="14.25">
      <c r="A14" s="3288" t="s">
        <v>315</v>
      </c>
      <c r="B14" s="3314">
        <v>30</v>
      </c>
      <c r="C14" s="3312">
        <v>4</v>
      </c>
      <c r="D14" s="3316">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88"/>
      <c r="B15" s="3314"/>
      <c r="C15" s="3315"/>
      <c r="D15" s="3316"/>
      <c r="E15" s="261" t="s">
        <v>317</v>
      </c>
      <c r="F15" s="262"/>
      <c r="G15" s="262"/>
      <c r="H15" s="262"/>
      <c r="I15" s="263"/>
      <c r="J15" s="2015"/>
      <c r="K15" s="2014"/>
      <c r="L15" s="2014"/>
      <c r="M15" s="2014"/>
      <c r="N15" s="2014"/>
      <c r="O15" s="2014"/>
      <c r="P15" s="2014"/>
      <c r="Q15" s="2014"/>
      <c r="R15" s="2014"/>
      <c r="S15" s="2014"/>
      <c r="T15" s="2014"/>
      <c r="U15" s="2014"/>
      <c r="V15" s="2014"/>
    </row>
    <row r="16" spans="1:22" ht="14.25">
      <c r="A16" s="3288"/>
      <c r="B16" s="3314"/>
      <c r="C16" s="3313"/>
      <c r="D16" s="3316"/>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29429</v>
      </c>
      <c r="D19" s="271">
        <f ca="1">SUMIF(INDIRECT("'"&amp;D4&amp;"'"&amp;"!A:A"),结果表!B19,INDIRECT("'"&amp;D4&amp;"'"&amp;"!B:B"))</f>
        <v>12087</v>
      </c>
      <c r="E19" s="268" t="s">
        <v>323</v>
      </c>
      <c r="F19" s="269" t="s">
        <v>322</v>
      </c>
      <c r="G19" s="272">
        <f ca="1">ROUND(C19*$C$18+D19*$D$18,0)</f>
        <v>19024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2878</v>
      </c>
      <c r="D20" s="277">
        <f ca="1">SUMIF(INDIRECT("'"&amp;D4&amp;"'"&amp;"!A:A"),结果表!B20,INDIRECT("'"&amp;D4&amp;"'"&amp;"!B:B"))</f>
        <v>1182</v>
      </c>
      <c r="E20" s="274"/>
      <c r="F20" s="275" t="s">
        <v>325</v>
      </c>
      <c r="G20" s="278">
        <f ca="1">ROUND(C20*$C$18+D20*$D$18,0)</f>
        <v>1860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2446</v>
      </c>
      <c r="D21" s="151">
        <f ca="1">SUMIF(INDIRECT("'"&amp;D4&amp;"'"&amp;"!A:A"),结果表!B21,INDIRECT("'"&amp;D4&amp;"'"&amp;"!B:B"))</f>
        <v>1005</v>
      </c>
      <c r="E21" s="274"/>
      <c r="F21" s="280" t="s">
        <v>327</v>
      </c>
      <c r="G21" s="282">
        <f ca="1">ROUND(C21*$C$18+D21*$D$18,0)</f>
        <v>1581</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1.4347646231488378</v>
      </c>
      <c r="E22" s="284"/>
      <c r="F22" s="285"/>
      <c r="G22" s="286">
        <f ca="1">ROUND(G19/('数据-汇总表'!D3/666.67),0)</f>
        <v>105</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4"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5"/>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出让国有建设用地使用权价格：19024万元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大写金额：人民币壹亿玖仟零贰拾肆万元整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单位面积地价：1581元/平方米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楼面地价：1860元/平方米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0" t="s">
        <v>336</v>
      </c>
      <c r="B30" s="309"/>
      <c r="C30" s="309"/>
      <c r="D30" s="310"/>
      <c r="E30" s="3081" t="s">
        <v>2965</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19024</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1860</v>
      </c>
      <c r="D33" s="1382" t="s">
        <v>1691</v>
      </c>
      <c r="E33" s="3294"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1581</v>
      </c>
      <c r="D34" s="1384" t="s">
        <v>1691</v>
      </c>
      <c r="E34" s="3335"/>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105</v>
      </c>
      <c r="D35" s="1387" t="s">
        <v>1693</v>
      </c>
      <c r="E35" s="3336"/>
      <c r="F35" s="301" t="s">
        <v>342</v>
      </c>
      <c r="G35" s="982"/>
      <c r="H35" s="981" t="s">
        <v>343</v>
      </c>
      <c r="I35" s="311"/>
      <c r="J35" s="2014"/>
      <c r="K35" s="3309" t="s">
        <v>350</v>
      </c>
      <c r="L35" s="3309" t="s">
        <v>351</v>
      </c>
      <c r="M35" s="1260" t="s">
        <v>352</v>
      </c>
      <c r="N35" s="3309" t="s">
        <v>353</v>
      </c>
      <c r="O35" s="3309" t="s">
        <v>354</v>
      </c>
      <c r="P35" s="2014"/>
      <c r="V35" s="2014"/>
    </row>
    <row r="36" spans="1:26" ht="16.5" customHeight="1">
      <c r="A36" s="303" t="s">
        <v>344</v>
      </c>
      <c r="B36" s="304" t="s">
        <v>333</v>
      </c>
      <c r="C36" s="305" t="s">
        <v>345</v>
      </c>
      <c r="D36" s="305" t="s">
        <v>346</v>
      </c>
      <c r="E36" s="306" t="s">
        <v>347</v>
      </c>
      <c r="F36" s="311"/>
      <c r="G36" s="311"/>
      <c r="H36" s="311"/>
      <c r="I36" s="311"/>
      <c r="J36" s="2016"/>
      <c r="K36" s="3310"/>
      <c r="L36" s="3310"/>
      <c r="M36" s="1262" t="s">
        <v>355</v>
      </c>
      <c r="N36" s="3310"/>
      <c r="O36" s="3310"/>
      <c r="P36" s="2014"/>
      <c r="V36" s="2014"/>
    </row>
    <row r="37" spans="1:26" ht="16.5" customHeight="1" thickBot="1">
      <c r="A37" s="1256" t="s">
        <v>348</v>
      </c>
      <c r="B37" s="307"/>
      <c r="C37" s="294"/>
      <c r="D37" s="294"/>
      <c r="E37" s="295"/>
      <c r="F37" s="311"/>
      <c r="G37" s="311"/>
      <c r="H37" s="311"/>
      <c r="I37" s="311"/>
      <c r="J37" s="2016"/>
      <c r="K37" s="3311"/>
      <c r="L37" s="3311"/>
      <c r="M37" s="1263"/>
      <c r="N37" s="3311"/>
      <c r="O37" s="3311"/>
      <c r="P37" s="2014"/>
      <c r="V37" s="2014"/>
    </row>
    <row r="38" spans="1:26" ht="16.5" customHeight="1" thickBot="1">
      <c r="A38" s="1256" t="s">
        <v>349</v>
      </c>
      <c r="B38" s="307"/>
      <c r="C38" s="294"/>
      <c r="D38" s="294"/>
      <c r="E38" s="295"/>
      <c r="F38" s="311"/>
      <c r="G38" s="311"/>
      <c r="H38" s="311"/>
      <c r="I38" s="311"/>
      <c r="J38" s="2016"/>
      <c r="K38" s="1264">
        <f>'数据-汇总表'!D3</f>
        <v>120300.2</v>
      </c>
      <c r="L38" s="1265">
        <f>'数据-汇总表'!E3</f>
        <v>102255</v>
      </c>
      <c r="M38" s="1265">
        <f ca="1">C34</f>
        <v>1581</v>
      </c>
      <c r="N38" s="1265">
        <f ca="1">C33</f>
        <v>1860</v>
      </c>
      <c r="O38" s="1266">
        <f ca="1">C32</f>
        <v>19024</v>
      </c>
      <c r="P38" s="2014"/>
      <c r="V38" s="2014"/>
    </row>
    <row r="39" spans="1:26" ht="16.5" customHeight="1" thickBot="1">
      <c r="A39" s="1261"/>
      <c r="B39" s="308"/>
      <c r="C39" s="309"/>
      <c r="D39" s="309"/>
      <c r="E39" s="310"/>
      <c r="F39" s="311"/>
      <c r="G39" s="311"/>
      <c r="H39" s="311"/>
      <c r="I39" s="311"/>
      <c r="J39" s="2016"/>
      <c r="K39" s="3354" t="str">
        <f>MID(A44,3,LEN(A44)-2)</f>
        <v/>
      </c>
      <c r="L39" s="3355"/>
      <c r="M39" s="3355"/>
      <c r="N39" s="3356"/>
      <c r="O39" s="1389" t="str">
        <f>C44</f>
        <v>——</v>
      </c>
      <c r="P39" s="2014"/>
      <c r="V39" s="2014"/>
    </row>
    <row r="40" spans="1:26" ht="19.5" thickBot="1">
      <c r="A40" s="104" t="s">
        <v>873</v>
      </c>
      <c r="B40" s="311"/>
      <c r="C40" s="311"/>
      <c r="D40" s="311"/>
      <c r="E40" s="311"/>
      <c r="F40" s="311"/>
      <c r="G40" s="311"/>
      <c r="H40" s="311"/>
      <c r="I40" s="311"/>
      <c r="J40" s="2016"/>
      <c r="K40" s="3354" t="str">
        <f t="shared" ref="K40:K41" si="0">MID(A45,3,LEN(A45)-2)</f>
        <v/>
      </c>
      <c r="L40" s="3355"/>
      <c r="M40" s="3355"/>
      <c r="N40" s="335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54" t="str">
        <f t="shared" si="0"/>
        <v/>
      </c>
      <c r="L41" s="3355"/>
      <c r="M41" s="3355"/>
      <c r="N41" s="3356"/>
      <c r="O41" s="1389" t="str">
        <f>C46</f>
        <v>——</v>
      </c>
      <c r="P41" s="2014"/>
      <c r="V41" s="2014"/>
    </row>
    <row r="42" spans="1:26" ht="29.25">
      <c r="A42" s="3296" t="s">
        <v>2067</v>
      </c>
      <c r="B42" s="3297"/>
      <c r="C42" s="264">
        <f ca="1">C32</f>
        <v>19024</v>
      </c>
      <c r="D42" s="317">
        <f ca="1">C33</f>
        <v>1860</v>
      </c>
      <c r="E42" s="317">
        <f ca="1">C34</f>
        <v>1581</v>
      </c>
      <c r="F42" s="318">
        <f ca="1">C35</f>
        <v>105</v>
      </c>
      <c r="G42" s="311"/>
      <c r="H42" s="311"/>
      <c r="I42" s="319"/>
      <c r="J42" s="2016"/>
      <c r="K42" s="1267" t="s">
        <v>361</v>
      </c>
      <c r="L42" s="2033" t="s">
        <v>362</v>
      </c>
      <c r="M42" s="1268" t="s">
        <v>363</v>
      </c>
      <c r="N42" s="2034" t="s">
        <v>364</v>
      </c>
      <c r="O42" s="2035" t="s">
        <v>365</v>
      </c>
      <c r="P42" s="2014"/>
      <c r="V42" s="2014"/>
    </row>
    <row r="43" spans="1:26" ht="30">
      <c r="A43" s="3307" t="s">
        <v>2730</v>
      </c>
      <c r="B43" s="3308"/>
      <c r="C43" s="264">
        <f>IF(H33="正常操作",G33+G34+G35,G34+G35)</f>
        <v>0</v>
      </c>
      <c r="D43" s="317" t="s">
        <v>43</v>
      </c>
      <c r="E43" s="317" t="s">
        <v>44</v>
      </c>
      <c r="F43" s="318" t="s">
        <v>44</v>
      </c>
      <c r="G43" s="2822" t="s">
        <v>952</v>
      </c>
      <c r="H43" s="311"/>
      <c r="I43" s="319"/>
      <c r="J43" s="2016"/>
      <c r="K43" s="1269" t="str">
        <f>C4</f>
        <v>剩余法-待开发</v>
      </c>
      <c r="L43" s="1270">
        <f ca="1">IF(L42="估价结果/万元",C19,C20)</f>
        <v>29429</v>
      </c>
      <c r="M43" s="1271">
        <f>C18</f>
        <v>0.4</v>
      </c>
      <c r="N43" s="1272">
        <f ca="1">IF(N42="测算结果/万元",G19,G20)</f>
        <v>19024</v>
      </c>
      <c r="O43" s="1273">
        <f ca="1">IF(O42="最终结果/万元",C32,C33)</f>
        <v>19024</v>
      </c>
      <c r="P43" s="2014"/>
      <c r="V43" s="2014"/>
    </row>
    <row r="44" spans="1:26" ht="30.75" thickBot="1">
      <c r="A44" s="3296" t="str">
        <f>IF(OR(项目基本情况!E8="抵押价格",项目基本情况!E8="已注销及未注销"),"3.抵押价格","——")</f>
        <v>——</v>
      </c>
      <c r="B44" s="3297"/>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比较法-住宅、综合</v>
      </c>
      <c r="L44" s="1275">
        <f ca="1">IF(L42="估价结果/万元",D19,D20)</f>
        <v>12087</v>
      </c>
      <c r="M44" s="1276">
        <f>D18</f>
        <v>0.6</v>
      </c>
      <c r="N44" s="1277"/>
      <c r="O44" s="1278"/>
      <c r="P44" s="2014"/>
      <c r="V44" s="2014"/>
    </row>
    <row r="45" spans="1:26" ht="15">
      <c r="A45" s="3302" t="str">
        <f>IF(项目基本情况!E8="已注销及未注销","4.抵押担保权已注销时的抵押价格",IF(项目基本情况!E8="已注销","3.抵押担保权已注销时的抵押价格","——"))</f>
        <v>——</v>
      </c>
      <c r="B45" s="3303"/>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8" t="str">
        <f>IF(项目基本情况!E9="抵押净值",IF(A45="——","4.抵押净值","5.抵押净值"),"——")</f>
        <v>——</v>
      </c>
      <c r="B46" s="329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3" t="s">
        <v>374</v>
      </c>
      <c r="B63" s="3344"/>
      <c r="C63" s="3345"/>
      <c r="D63" s="341">
        <f ca="1">ROUND(C42*F63,0)</f>
        <v>11414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04" t="s">
        <v>378</v>
      </c>
      <c r="B64" s="3305"/>
      <c r="C64" s="3305"/>
      <c r="D64" s="3305"/>
      <c r="E64" s="3305"/>
      <c r="F64" s="3305"/>
      <c r="G64" s="3306"/>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00" t="s">
        <v>386</v>
      </c>
      <c r="B66" s="3301"/>
      <c r="C66" s="3301"/>
      <c r="D66" s="261">
        <f ca="1">IF(H66="情况1",0,IF(H66="情况2",D70,IF(H66="情况3",D71,IF(H66="情况4",D72))))</f>
        <v>598</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58" t="s">
        <v>385</v>
      </c>
      <c r="M66" s="3359"/>
      <c r="N66" s="2423"/>
      <c r="O66" s="2424"/>
      <c r="P66" s="2425"/>
      <c r="Q66" s="2014"/>
      <c r="R66" s="2014"/>
      <c r="S66" s="2014"/>
      <c r="T66" s="2014"/>
      <c r="U66" s="2014"/>
      <c r="V66" s="2014"/>
    </row>
    <row r="67" spans="1:22" ht="25.5" customHeight="1">
      <c r="A67" s="352" t="s">
        <v>390</v>
      </c>
      <c r="B67" s="3291" t="s">
        <v>391</v>
      </c>
      <c r="C67" s="3291"/>
      <c r="D67" s="353">
        <v>0</v>
      </c>
      <c r="E67" s="41" t="s">
        <v>392</v>
      </c>
      <c r="F67" s="62" t="s">
        <v>21</v>
      </c>
      <c r="G67" s="3346"/>
      <c r="H67" s="311"/>
      <c r="I67" s="1288"/>
      <c r="J67" s="2021"/>
      <c r="K67" s="1962">
        <v>2</v>
      </c>
      <c r="L67" s="3357" t="s">
        <v>389</v>
      </c>
      <c r="M67" s="3357"/>
      <c r="N67" s="1321">
        <f>'数据-取费表'!B2</f>
        <v>43700</v>
      </c>
      <c r="O67" s="1321"/>
      <c r="P67" s="1321"/>
      <c r="Q67" s="2014"/>
      <c r="R67" s="2014"/>
      <c r="S67" s="2014"/>
      <c r="T67" s="2014"/>
      <c r="U67" s="2014"/>
      <c r="V67" s="2014"/>
    </row>
    <row r="68" spans="1:22" ht="25.5" customHeight="1">
      <c r="A68" s="354"/>
      <c r="B68" s="3291" t="s">
        <v>394</v>
      </c>
      <c r="C68" s="3291"/>
      <c r="D68" s="355"/>
      <c r="E68" s="77"/>
      <c r="F68" s="356"/>
      <c r="G68" s="3347"/>
      <c r="H68" s="311"/>
      <c r="I68" s="1288"/>
      <c r="J68" s="2021"/>
      <c r="K68" s="1962">
        <v>3</v>
      </c>
      <c r="L68" s="3357" t="s">
        <v>393</v>
      </c>
      <c r="M68" s="3357"/>
      <c r="N68" s="1289">
        <f ca="1">C42</f>
        <v>19024</v>
      </c>
      <c r="O68" s="1289"/>
      <c r="P68" s="1289"/>
      <c r="Q68" s="2014"/>
      <c r="R68" s="2014"/>
      <c r="S68" s="2014"/>
      <c r="T68" s="2014"/>
      <c r="U68" s="2014"/>
      <c r="V68" s="2014"/>
    </row>
    <row r="69" spans="1:22" ht="12" customHeight="1">
      <c r="A69" s="357"/>
      <c r="B69" s="3291" t="s">
        <v>395</v>
      </c>
      <c r="C69" s="3291"/>
      <c r="D69" s="358"/>
      <c r="E69" s="73"/>
      <c r="F69" s="356"/>
      <c r="G69" s="3348"/>
      <c r="H69" s="311"/>
      <c r="I69" s="1288"/>
      <c r="J69" s="2021"/>
      <c r="K69" s="1290">
        <v>4</v>
      </c>
      <c r="L69" s="3362" t="s">
        <v>2883</v>
      </c>
      <c r="M69" s="3363"/>
      <c r="N69" s="1291" t="str">
        <f>C44</f>
        <v>——</v>
      </c>
      <c r="O69" s="1291"/>
      <c r="P69" s="1291"/>
      <c r="Q69" s="2014"/>
      <c r="R69" s="2014"/>
      <c r="S69" s="2014"/>
      <c r="T69" s="2014"/>
      <c r="U69" s="2014"/>
      <c r="V69" s="2014"/>
    </row>
    <row r="70" spans="1:22" ht="24" customHeight="1">
      <c r="A70" s="359" t="s">
        <v>396</v>
      </c>
      <c r="B70" s="3291" t="s">
        <v>397</v>
      </c>
      <c r="C70" s="3291"/>
      <c r="D70" s="358">
        <f ca="1">ROUND(D63*'数据-取费表'!B41/(1+'数据-取费表'!C42),0)</f>
        <v>598</v>
      </c>
      <c r="E70" s="17" t="s">
        <v>398</v>
      </c>
      <c r="F70" s="360">
        <f>'数据-取费表'!B41</f>
        <v>5.5000000000000007E-2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292" t="s">
        <v>405</v>
      </c>
      <c r="C71" s="3293"/>
      <c r="D71" s="358">
        <f ca="1">ROUND(D63*'数据-取费表'!B41/(1+'数据-取费表'!C42),0)</f>
        <v>598</v>
      </c>
      <c r="E71" s="17" t="s">
        <v>398</v>
      </c>
      <c r="F71" s="360">
        <f>'数据-取费表'!B41</f>
        <v>5.5000000000000007E-2</v>
      </c>
      <c r="G71" s="361"/>
      <c r="H71" s="311"/>
      <c r="I71" s="1288"/>
      <c r="J71" s="2021"/>
      <c r="K71" s="3013" t="s">
        <v>399</v>
      </c>
      <c r="L71" s="3364" t="s">
        <v>400</v>
      </c>
      <c r="M71" s="3364"/>
      <c r="N71" s="3013" t="s">
        <v>401</v>
      </c>
      <c r="O71" s="3013" t="s">
        <v>402</v>
      </c>
      <c r="P71" s="3013" t="s">
        <v>403</v>
      </c>
      <c r="Q71" s="2014"/>
      <c r="R71" s="2014"/>
      <c r="S71" s="2014"/>
      <c r="T71" s="2014"/>
      <c r="U71" s="2014"/>
      <c r="V71" s="2014"/>
    </row>
    <row r="72" spans="1:22" ht="12" customHeight="1">
      <c r="A72" s="359" t="s">
        <v>407</v>
      </c>
      <c r="B72" s="3292" t="s">
        <v>408</v>
      </c>
      <c r="C72" s="3293"/>
      <c r="D72" s="358">
        <f ca="1">C86</f>
        <v>488</v>
      </c>
      <c r="E72" s="73" t="s">
        <v>409</v>
      </c>
      <c r="F72" s="360">
        <f>'数据-取费表'!B41</f>
        <v>5.5000000000000007E-2</v>
      </c>
      <c r="G72" s="361"/>
      <c r="H72" s="1294"/>
      <c r="I72" s="1288"/>
      <c r="J72" s="2021"/>
      <c r="K72" s="1962">
        <v>1</v>
      </c>
      <c r="L72" s="3339" t="s">
        <v>406</v>
      </c>
      <c r="M72" s="3339"/>
      <c r="N72" s="1292">
        <f ca="1">D66</f>
        <v>598</v>
      </c>
      <c r="O72" s="1845" t="str">
        <f>E66</f>
        <v>销售额×税（费）率</v>
      </c>
      <c r="P72" s="1293">
        <f>F66</f>
        <v>5.5000000000000007E-2</v>
      </c>
      <c r="Q72" s="2014"/>
      <c r="R72" s="2014"/>
      <c r="S72" s="2014"/>
      <c r="T72" s="2014"/>
      <c r="U72" s="2014"/>
      <c r="V72" s="2014"/>
    </row>
    <row r="73" spans="1:22" ht="24" customHeight="1">
      <c r="A73" s="3333" t="s">
        <v>411</v>
      </c>
      <c r="B73" s="3301"/>
      <c r="C73" s="3301"/>
      <c r="D73" s="362">
        <f>IF(H73="个人住宅",0,ROUND(D63*I73,0))</f>
        <v>0</v>
      </c>
      <c r="E73" s="17" t="s">
        <v>412</v>
      </c>
      <c r="F73" s="360" t="str">
        <f>IF(H73="正常",I73,"免征")</f>
        <v>免征</v>
      </c>
      <c r="G73" s="361"/>
      <c r="H73" s="191" t="s">
        <v>2455</v>
      </c>
      <c r="I73" s="360">
        <f>'数据-取费表'!B49</f>
        <v>5.0000000000000001E-4</v>
      </c>
      <c r="J73" s="2021"/>
      <c r="K73" s="1962">
        <v>2</v>
      </c>
      <c r="L73" s="3339" t="s">
        <v>410</v>
      </c>
      <c r="M73" s="3339"/>
      <c r="N73" s="1292">
        <f t="shared" ref="N73:P74" si="1">D73</f>
        <v>0</v>
      </c>
      <c r="O73" s="1845" t="str">
        <f t="shared" si="1"/>
        <v>销售额×税（费）率</v>
      </c>
      <c r="P73" s="1293" t="str">
        <f t="shared" si="1"/>
        <v>免征</v>
      </c>
      <c r="Q73" s="2014"/>
      <c r="R73" s="2014"/>
      <c r="S73" s="2014"/>
      <c r="T73" s="2014"/>
      <c r="U73" s="2014"/>
      <c r="V73" s="2014"/>
    </row>
    <row r="74" spans="1:22" ht="24.75">
      <c r="A74" s="3333" t="s">
        <v>415</v>
      </c>
      <c r="B74" s="3301"/>
      <c r="C74" s="3301"/>
      <c r="D74" s="362">
        <f ca="1">IF(H74="个人住宅",D75,D76)</f>
        <v>5815</v>
      </c>
      <c r="E74" s="17" t="s">
        <v>416</v>
      </c>
      <c r="F74" s="360" t="str">
        <f>IF(H74="正常",F76,"免征")</f>
        <v>——</v>
      </c>
      <c r="G74" s="983" t="s">
        <v>417</v>
      </c>
      <c r="H74" s="363" t="s">
        <v>413</v>
      </c>
      <c r="I74" s="42"/>
      <c r="J74" s="2021"/>
      <c r="K74" s="1962">
        <v>3</v>
      </c>
      <c r="L74" s="3339" t="s">
        <v>414</v>
      </c>
      <c r="M74" s="3339"/>
      <c r="N74" s="1292">
        <f t="shared" ca="1" si="1"/>
        <v>5815</v>
      </c>
      <c r="O74" s="1845" t="str">
        <f t="shared" si="1"/>
        <v>增值额×税（费）率</v>
      </c>
      <c r="P74" s="1295" t="str">
        <f t="shared" si="1"/>
        <v>——</v>
      </c>
      <c r="Q74" s="2014"/>
      <c r="R74" s="2014"/>
      <c r="S74" s="2014"/>
      <c r="T74" s="2014"/>
      <c r="U74" s="2014"/>
      <c r="V74" s="2014"/>
    </row>
    <row r="75" spans="1:22" ht="24">
      <c r="A75" s="359" t="s">
        <v>418</v>
      </c>
      <c r="B75" s="3289" t="s">
        <v>419</v>
      </c>
      <c r="C75" s="3319"/>
      <c r="D75" s="364">
        <v>0</v>
      </c>
      <c r="E75" s="41" t="s">
        <v>420</v>
      </c>
      <c r="F75" s="365"/>
      <c r="G75" s="361"/>
      <c r="H75" s="42"/>
      <c r="I75" s="42"/>
      <c r="J75" s="2021"/>
      <c r="K75" s="3006">
        <f>IF(H77="非个人房产","",4)</f>
        <v>4</v>
      </c>
      <c r="L75" s="3339" t="str">
        <f>IF(H77="非个人房产","——","个人所得税")</f>
        <v>个人所得税</v>
      </c>
      <c r="M75" s="3339"/>
      <c r="N75" s="1296">
        <f ca="1">D77</f>
        <v>114</v>
      </c>
      <c r="O75" s="1858" t="str">
        <f>E77</f>
        <v>销售额×税（费）率</v>
      </c>
      <c r="P75" s="1297">
        <f>F77</f>
        <v>0.01</v>
      </c>
      <c r="Q75" s="2014"/>
      <c r="R75" s="2014"/>
      <c r="S75" s="2014"/>
      <c r="T75" s="2014"/>
      <c r="U75" s="2014"/>
      <c r="V75" s="2014"/>
    </row>
    <row r="76" spans="1:22" ht="24.75">
      <c r="A76" s="359" t="s">
        <v>396</v>
      </c>
      <c r="B76" s="3289" t="s">
        <v>422</v>
      </c>
      <c r="C76" s="3290"/>
      <c r="D76" s="362">
        <f ca="1">IF(H76="转让取得",C99,C115)</f>
        <v>5815</v>
      </c>
      <c r="E76" s="17" t="s">
        <v>423</v>
      </c>
      <c r="F76" s="53" t="s">
        <v>21</v>
      </c>
      <c r="G76" s="361"/>
      <c r="H76" s="363" t="s">
        <v>424</v>
      </c>
      <c r="I76" s="42"/>
      <c r="J76" s="2021"/>
      <c r="K76" s="3006" t="str">
        <f>IF(项目基本情况!K6="上海银行",IF(K75="",4,K75+1),"")</f>
        <v/>
      </c>
      <c r="L76" s="3350" t="str">
        <f>IF(项目基本情况!K6="上海银行","其他处置费用","")</f>
        <v/>
      </c>
      <c r="M76" s="3351"/>
      <c r="N76" s="1292" t="str">
        <f>IF(项目基本情况!K6="上海银行",N89,"")</f>
        <v/>
      </c>
      <c r="O76" s="3352" t="str">
        <f>IF(项目基本情况!K6="上海银行","包含处置中涉及的律师、诉讼、拍卖、评估等费用","")</f>
        <v/>
      </c>
      <c r="P76" s="3353"/>
      <c r="Q76" s="2014"/>
      <c r="R76" s="2014"/>
      <c r="S76" s="2014"/>
      <c r="T76" s="2014"/>
      <c r="U76" s="2014"/>
      <c r="V76" s="2014"/>
    </row>
    <row r="77" spans="1:22" ht="26.25" thickBot="1">
      <c r="A77" s="3341" t="s">
        <v>426</v>
      </c>
      <c r="B77" s="3342"/>
      <c r="C77" s="3342"/>
      <c r="D77" s="366">
        <f ca="1">IF(H77="非个人房产","——",IF(H77="个人住宅",0,ROUND(D63*I77,0)))</f>
        <v>114</v>
      </c>
      <c r="E77" s="367" t="str">
        <f>IF(H77="非个人房产","——","销售额×税（费）率")</f>
        <v>销售额×税（费）率</v>
      </c>
      <c r="F77" s="368">
        <f>IF(H77="非个人房产","——",IF(H77="个人住宅","免征",I77))</f>
        <v>0.01</v>
      </c>
      <c r="G77" s="984" t="s">
        <v>417</v>
      </c>
      <c r="H77" s="363" t="s">
        <v>2884</v>
      </c>
      <c r="I77" s="369">
        <v>0.01</v>
      </c>
      <c r="J77" s="2021"/>
      <c r="K77" s="3340">
        <f>IF(AND(K75="",K76=""),4,IF(项目基本情况!K6="上海银行",K76+1,K75+1))</f>
        <v>5</v>
      </c>
      <c r="L77" s="3339" t="s">
        <v>2885</v>
      </c>
      <c r="M77" s="3012" t="s">
        <v>421</v>
      </c>
      <c r="N77" s="1298"/>
      <c r="O77" s="1299">
        <f ca="1">SUMIF(N72:N76,"&lt;9e307")</f>
        <v>6527</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40"/>
      <c r="L78" s="3339"/>
      <c r="M78" s="3012" t="s">
        <v>425</v>
      </c>
      <c r="N78" s="1298"/>
      <c r="O78" s="1299" t="str">
        <f ca="1">NUMBERSTRING(INT(O77*10000),2)&amp;"元整"</f>
        <v>陆仟伍佰贰拾柒万元整</v>
      </c>
      <c r="P78" s="1300"/>
      <c r="Q78" s="2014"/>
      <c r="R78" s="2014"/>
      <c r="S78" s="2014"/>
      <c r="T78" s="2014"/>
      <c r="U78" s="2014"/>
      <c r="V78" s="2014"/>
    </row>
    <row r="79" spans="1:22" ht="13.5" thickBot="1">
      <c r="A79" s="3334" t="s">
        <v>427</v>
      </c>
      <c r="B79" s="3334"/>
      <c r="C79" s="3334"/>
      <c r="D79" s="3334"/>
      <c r="E79" s="3334"/>
      <c r="F79" s="42"/>
      <c r="G79" s="42"/>
      <c r="H79" s="1003"/>
      <c r="I79" s="311"/>
      <c r="J79" s="2021"/>
      <c r="K79" s="3360">
        <f>K77+1</f>
        <v>6</v>
      </c>
      <c r="L79" s="3339" t="s">
        <v>2886</v>
      </c>
      <c r="M79" s="3012" t="s">
        <v>421</v>
      </c>
      <c r="N79" s="1298"/>
      <c r="O79" s="1299" t="e">
        <f ca="1">N69-O77</f>
        <v>#VALUE!</v>
      </c>
      <c r="P79" s="1300"/>
      <c r="Q79" s="2014"/>
      <c r="R79" s="2014"/>
      <c r="S79" s="2014"/>
      <c r="T79" s="2014"/>
      <c r="U79" s="2014"/>
      <c r="V79" s="2014"/>
    </row>
    <row r="80" spans="1:22" ht="12.75">
      <c r="A80" s="3329" t="s">
        <v>428</v>
      </c>
      <c r="B80" s="3330"/>
      <c r="C80" s="994"/>
      <c r="D80" s="994" t="s">
        <v>429</v>
      </c>
      <c r="E80" s="370" t="s">
        <v>430</v>
      </c>
      <c r="F80" s="42"/>
      <c r="G80" s="42"/>
      <c r="H80" s="1003"/>
      <c r="I80" s="311"/>
      <c r="J80" s="2014"/>
      <c r="K80" s="3361"/>
      <c r="L80" s="3339"/>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10870</v>
      </c>
      <c r="D81" s="373"/>
      <c r="E81" s="374"/>
      <c r="F81" s="42"/>
      <c r="G81" s="42"/>
      <c r="H81" s="1003"/>
      <c r="I81" s="311"/>
      <c r="J81" s="2014"/>
      <c r="K81" s="3006">
        <f>K79+1</f>
        <v>7</v>
      </c>
      <c r="L81" s="3337" t="s">
        <v>2887</v>
      </c>
      <c r="M81" s="3338"/>
      <c r="N81" s="1302"/>
      <c r="O81" s="1303" t="e">
        <f ca="1">ROUND(O79*10000/'数据-汇总表'!E3,0)</f>
        <v>#VALUE!</v>
      </c>
      <c r="P81" s="1304"/>
      <c r="Q81" s="2014"/>
      <c r="R81" s="2014"/>
      <c r="S81" s="2014"/>
      <c r="T81" s="2014"/>
      <c r="U81" s="2014"/>
      <c r="V81" s="2014"/>
    </row>
    <row r="82" spans="1:26" ht="13.5" thickTop="1">
      <c r="A82" s="375" t="s">
        <v>1824</v>
      </c>
      <c r="B82" s="376" t="s">
        <v>432</v>
      </c>
      <c r="C82" s="377">
        <f ca="1">D63</f>
        <v>11414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49"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1" t="s">
        <v>2938</v>
      </c>
      <c r="F84" s="42"/>
      <c r="G84" s="42"/>
      <c r="H84" s="1003"/>
      <c r="I84" s="311"/>
      <c r="J84" s="2014"/>
      <c r="K84" s="3349"/>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8870</v>
      </c>
      <c r="D85" s="378" t="s">
        <v>19</v>
      </c>
      <c r="E85" s="379"/>
      <c r="F85" s="42"/>
      <c r="G85" s="42"/>
      <c r="H85" s="1003"/>
      <c r="I85" s="311"/>
      <c r="J85" s="2014"/>
      <c r="K85" s="3349"/>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488</v>
      </c>
      <c r="D86" s="389">
        <f>'数据-取费表'!B41</f>
        <v>5.5000000000000007E-2</v>
      </c>
      <c r="E86" s="390"/>
      <c r="F86" s="42"/>
      <c r="G86" s="42"/>
      <c r="H86" s="1003"/>
      <c r="I86" s="311"/>
      <c r="J86" s="2014"/>
      <c r="K86" s="3349"/>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9"/>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31" t="s">
        <v>437</v>
      </c>
      <c r="B88" s="3332"/>
      <c r="C88" s="3332"/>
      <c r="D88" s="3332"/>
      <c r="E88" s="3332"/>
      <c r="F88" s="3332"/>
      <c r="G88" s="3332"/>
      <c r="H88" s="3332"/>
      <c r="I88" s="1311"/>
      <c r="J88" s="2022"/>
      <c r="K88" s="3349"/>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29" t="s">
        <v>428</v>
      </c>
      <c r="B89" s="3330"/>
      <c r="C89" s="994"/>
      <c r="D89" s="994" t="s">
        <v>429</v>
      </c>
      <c r="E89" s="391" t="s">
        <v>438</v>
      </c>
      <c r="F89" s="392"/>
      <c r="G89" s="392"/>
      <c r="H89" s="393"/>
      <c r="I89" s="1312"/>
      <c r="J89" s="2024"/>
      <c r="K89" s="3349"/>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10870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2615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92" t="s">
        <v>447</v>
      </c>
      <c r="F94" s="3291"/>
      <c r="G94" s="3291"/>
      <c r="H94" s="332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54</v>
      </c>
      <c r="D96" s="406">
        <f>'数据-取费表'!B43</f>
        <v>5.000000000000001E-3</v>
      </c>
      <c r="E96" s="3320" t="s">
        <v>2428</v>
      </c>
      <c r="F96" s="3321"/>
      <c r="G96" s="3321"/>
      <c r="H96" s="332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8255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3.1567877629063097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4038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1" t="s">
        <v>454</v>
      </c>
      <c r="B101" s="3332"/>
      <c r="C101" s="3332"/>
      <c r="D101" s="3332"/>
      <c r="E101" s="3332"/>
      <c r="F101" s="3332"/>
      <c r="G101" s="3332"/>
      <c r="H101" s="333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9" t="s">
        <v>428</v>
      </c>
      <c r="B102" s="333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10870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744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3" t="s">
        <v>462</v>
      </c>
      <c r="F109" s="3321"/>
      <c r="G109" s="3321"/>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3" t="s">
        <v>464</v>
      </c>
      <c r="F110" s="3321"/>
      <c r="G110" s="3321"/>
      <c r="H110" s="332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54</v>
      </c>
      <c r="D111" s="406">
        <f>'数据-取费表'!B43</f>
        <v>5.000000000000001E-3</v>
      </c>
      <c r="E111" s="3320" t="s">
        <v>2428</v>
      </c>
      <c r="F111" s="3321"/>
      <c r="G111" s="3321"/>
      <c r="H111" s="332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3" t="s">
        <v>2453</v>
      </c>
      <c r="F112" s="3321"/>
      <c r="G112" s="3321"/>
      <c r="H112" s="332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10126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13.61021505376344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5815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22496</v>
      </c>
      <c r="D13" s="451"/>
      <c r="E13" s="365"/>
      <c r="F13" s="452"/>
      <c r="G13" s="444"/>
      <c r="H13" s="447"/>
      <c r="I13" s="447"/>
      <c r="J13" s="447"/>
      <c r="K13" s="448"/>
    </row>
    <row r="14" spans="1:41" s="2102" customFormat="1" ht="13.5" customHeight="1">
      <c r="A14" s="1619" t="s">
        <v>1849</v>
      </c>
      <c r="B14" s="449" t="s">
        <v>480</v>
      </c>
      <c r="C14" s="53">
        <f ca="1">ROUND(C13*F14,0)</f>
        <v>675</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1534</v>
      </c>
      <c r="D16" s="451">
        <f ca="1">IF(B1="",'数据-汇总表'!E3,INDIRECT("'数据-取费表'!K"&amp;$K$1)+INDIRECT("'数据-取费表'!S"&amp;$K$1))</f>
        <v>102255</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337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25042</v>
      </c>
      <c r="D18" s="461"/>
      <c r="E18" s="462"/>
      <c r="F18" s="462"/>
      <c r="G18" s="1323" t="s">
        <v>2432</v>
      </c>
      <c r="H18" s="447"/>
      <c r="I18" s="447"/>
      <c r="J18" s="447"/>
      <c r="K18" s="448"/>
    </row>
    <row r="19" spans="1:14" s="2105" customFormat="1" ht="13.5" customHeight="1">
      <c r="A19" s="1620" t="s">
        <v>1854</v>
      </c>
      <c r="B19" s="459" t="s">
        <v>493</v>
      </c>
      <c r="C19" s="460">
        <f ca="1">ROUND(C18*F19,0)</f>
        <v>501</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1213</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1213</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5109</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1848</v>
      </c>
      <c r="B25" s="1324" t="s">
        <v>2436</v>
      </c>
      <c r="C25" s="490">
        <f ca="1">ROUND((C18+C19)*F24,0)</f>
        <v>5109</v>
      </c>
      <c r="D25" s="472"/>
      <c r="E25" s="473"/>
      <c r="F25" s="480"/>
      <c r="G25" s="1322" t="s">
        <v>2433</v>
      </c>
      <c r="H25" s="457"/>
      <c r="I25" s="457"/>
      <c r="J25" s="457"/>
      <c r="K25" s="458"/>
    </row>
    <row r="26" spans="1:14" s="2106" customFormat="1" ht="13.5" customHeight="1">
      <c r="A26" s="1619" t="s">
        <v>1849</v>
      </c>
      <c r="B26" s="1324" t="s">
        <v>509</v>
      </c>
      <c r="C26" s="491">
        <f ca="1">ROUND(F20*F24,4)</f>
        <v>4.0000000000000001E-3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34538</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I48" sqref="I4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12087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1182</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1005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4" t="s">
        <v>522</v>
      </c>
      <c r="D6" s="3375"/>
      <c r="E6" s="3374" t="s">
        <v>523</v>
      </c>
      <c r="F6" s="3375"/>
      <c r="G6" s="3374" t="s">
        <v>524</v>
      </c>
      <c r="H6" s="3375"/>
      <c r="I6" s="3374" t="s">
        <v>525</v>
      </c>
      <c r="J6" s="3375"/>
      <c r="K6" s="514" t="s">
        <v>526</v>
      </c>
      <c r="L6" s="2119"/>
      <c r="M6" s="2118"/>
      <c r="N6" s="2118"/>
      <c r="O6" s="2120"/>
      <c r="P6" s="3376" t="s">
        <v>527</v>
      </c>
      <c r="Q6" s="3377"/>
      <c r="R6" s="3382" t="s">
        <v>523</v>
      </c>
      <c r="S6" s="3383"/>
      <c r="T6" s="3382" t="s">
        <v>524</v>
      </c>
      <c r="U6" s="3383"/>
      <c r="V6" s="3369" t="s">
        <v>525</v>
      </c>
      <c r="W6" s="3369"/>
      <c r="X6" s="1554"/>
      <c r="Y6" s="3382" t="s">
        <v>527</v>
      </c>
      <c r="Z6" s="3383"/>
      <c r="AA6" s="3371" t="s">
        <v>523</v>
      </c>
      <c r="AB6" s="3372" t="s">
        <v>524</v>
      </c>
      <c r="AC6" s="3371" t="s">
        <v>525</v>
      </c>
    </row>
    <row r="7" spans="1:30" ht="38.25" customHeight="1">
      <c r="A7" s="515"/>
      <c r="B7" s="516"/>
      <c r="C7" s="3390" t="s">
        <v>2927</v>
      </c>
      <c r="D7" s="3391"/>
      <c r="E7" s="3390" t="str">
        <f>土地案例!A2</f>
        <v>郫都区红光镇合兴村二社</v>
      </c>
      <c r="F7" s="3391"/>
      <c r="G7" s="3390" t="str">
        <f>土地案例!A5</f>
        <v>郫都区犀浦镇万福村五组</v>
      </c>
      <c r="H7" s="3391"/>
      <c r="I7" s="3390" t="str">
        <f>土地案例!A8</f>
        <v>郫都区犀浦镇万福村四社、梓潼村四社</v>
      </c>
      <c r="J7" s="3391"/>
      <c r="K7" s="514"/>
      <c r="L7" s="2119"/>
      <c r="M7" s="2118"/>
      <c r="N7" s="2118"/>
      <c r="O7" s="2120"/>
      <c r="P7" s="3378"/>
      <c r="Q7" s="3379"/>
      <c r="R7" s="3384"/>
      <c r="S7" s="3385"/>
      <c r="T7" s="3384"/>
      <c r="U7" s="3385"/>
      <c r="V7" s="3369"/>
      <c r="W7" s="3369"/>
      <c r="X7" s="1554"/>
      <c r="Y7" s="3384"/>
      <c r="Z7" s="3385"/>
      <c r="AA7" s="3372"/>
      <c r="AB7" s="3372"/>
      <c r="AC7" s="3372"/>
    </row>
    <row r="8" spans="1:30" ht="21" thickBot="1">
      <c r="A8" s="515"/>
      <c r="B8" s="516"/>
      <c r="C8" s="3392" t="s">
        <v>2931</v>
      </c>
      <c r="D8" s="3393"/>
      <c r="E8" s="3392" t="s">
        <v>2931</v>
      </c>
      <c r="F8" s="3393"/>
      <c r="G8" s="3388" t="s">
        <v>2931</v>
      </c>
      <c r="H8" s="3389"/>
      <c r="I8" s="3388" t="s">
        <v>2931</v>
      </c>
      <c r="J8" s="3389"/>
      <c r="K8" s="514" t="s">
        <v>528</v>
      </c>
      <c r="L8" s="2119"/>
      <c r="M8" s="2118"/>
      <c r="N8" s="2118"/>
      <c r="O8" s="2120"/>
      <c r="P8" s="3380"/>
      <c r="Q8" s="3381"/>
      <c r="R8" s="3384"/>
      <c r="S8" s="3385"/>
      <c r="T8" s="3386"/>
      <c r="U8" s="3387"/>
      <c r="V8" s="3369"/>
      <c r="W8" s="3369"/>
      <c r="X8" s="1554"/>
      <c r="Y8" s="3386"/>
      <c r="Z8" s="3387"/>
      <c r="AA8" s="3373"/>
      <c r="AB8" s="3373"/>
      <c r="AC8" s="3373"/>
    </row>
    <row r="9" spans="1:30" s="1216" customFormat="1" ht="21" thickBot="1">
      <c r="A9" s="2868"/>
      <c r="B9" s="2875" t="s">
        <v>529</v>
      </c>
      <c r="C9" s="2867">
        <f>'数据-取费表'!B2</f>
        <v>43700</v>
      </c>
      <c r="D9" s="520">
        <v>100</v>
      </c>
      <c r="E9" s="521" t="str">
        <f>土地案例!I2</f>
        <v>2018-12-25</v>
      </c>
      <c r="F9" s="522">
        <f>SUMIF(72:72,YEAR(E9)&amp;"-"&amp;INT((MONTH(E9)+2)/3),73:73)</f>
        <v>98.5</v>
      </c>
      <c r="G9" s="523" t="str">
        <f>土地案例!I5</f>
        <v>2018-12-25</v>
      </c>
      <c r="H9" s="520">
        <f>SUMIF(72:72,YEAR(G9)&amp;"-"&amp;INT((MONTH(G9)+2)/3),73:73)</f>
        <v>98.5</v>
      </c>
      <c r="I9" s="523" t="str">
        <f>土地案例!I8</f>
        <v>2018-05-04</v>
      </c>
      <c r="J9" s="520">
        <f>SUMIF(72:72,YEAR(I9)&amp;"-"&amp;INT((MONTH(I9)+2)/3),73:73)</f>
        <v>97.5</v>
      </c>
      <c r="K9" s="524"/>
      <c r="L9" s="2121"/>
      <c r="M9" s="2118"/>
      <c r="N9" s="2118"/>
      <c r="O9" s="2122"/>
      <c r="P9" s="3399" t="s">
        <v>530</v>
      </c>
      <c r="Q9" s="3401"/>
      <c r="R9" s="1555" t="s">
        <v>8</v>
      </c>
      <c r="S9" s="1556">
        <f t="shared" ref="S9:S17" si="0">F9</f>
        <v>98.5</v>
      </c>
      <c r="T9" s="1555" t="s">
        <v>8</v>
      </c>
      <c r="U9" s="1556">
        <f t="shared" ref="U9:U17" si="1">H9</f>
        <v>98.5</v>
      </c>
      <c r="V9" s="1555" t="s">
        <v>8</v>
      </c>
      <c r="W9" s="1556">
        <f t="shared" ref="W9:W17" si="2">J9</f>
        <v>97.5</v>
      </c>
      <c r="X9" s="1557"/>
      <c r="Y9" s="3399" t="s">
        <v>530</v>
      </c>
      <c r="Z9" s="3400"/>
      <c r="AA9" s="1558">
        <f>D9/F9</f>
        <v>1.015228426395939</v>
      </c>
      <c r="AB9" s="1558">
        <f>D9/H9</f>
        <v>1.015228426395939</v>
      </c>
      <c r="AC9" s="1558">
        <f>D9/J9</f>
        <v>1.0256410256410255</v>
      </c>
    </row>
    <row r="10" spans="1:30" s="1216" customFormat="1" ht="21" thickBot="1">
      <c r="A10" s="2869"/>
      <c r="B10" s="2876" t="s">
        <v>531</v>
      </c>
      <c r="C10" s="856" t="s">
        <v>532</v>
      </c>
      <c r="D10" s="520">
        <v>100</v>
      </c>
      <c r="E10" s="525" t="s">
        <v>3020</v>
      </c>
      <c r="F10" s="522">
        <f>SUMIF(75:75,E10,76:76)-SUMIF(75:75,C10,76:76)+100</f>
        <v>100</v>
      </c>
      <c r="G10" s="525" t="s">
        <v>3020</v>
      </c>
      <c r="H10" s="520">
        <f>SUMIF(75:75,G10,76:76)-SUMIF(75:75,C10,76:76)+100</f>
        <v>100</v>
      </c>
      <c r="I10" s="525" t="s">
        <v>3020</v>
      </c>
      <c r="J10" s="520">
        <f>SUMIF(75:75,I10,76:76)-SUMIF(75:75,C10,76:76)+100</f>
        <v>100</v>
      </c>
      <c r="K10" s="524"/>
      <c r="L10" s="2121"/>
      <c r="M10" s="2118"/>
      <c r="N10" s="2118"/>
      <c r="O10" s="2122"/>
      <c r="P10" s="3399" t="s">
        <v>533</v>
      </c>
      <c r="Q10" s="3400"/>
      <c r="R10" s="1555" t="s">
        <v>8</v>
      </c>
      <c r="S10" s="1556">
        <f t="shared" si="0"/>
        <v>100</v>
      </c>
      <c r="T10" s="1555" t="s">
        <v>8</v>
      </c>
      <c r="U10" s="1556">
        <f t="shared" si="1"/>
        <v>100</v>
      </c>
      <c r="V10" s="1555" t="s">
        <v>8</v>
      </c>
      <c r="W10" s="1556">
        <f t="shared" si="2"/>
        <v>100</v>
      </c>
      <c r="X10" s="1557"/>
      <c r="Y10" s="3399" t="s">
        <v>533</v>
      </c>
      <c r="Z10" s="3400"/>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68" t="s">
        <v>535</v>
      </c>
      <c r="Q11" s="1147" t="str">
        <f t="shared" ref="Q11:Q17" si="6">B11</f>
        <v>用途</v>
      </c>
      <c r="R11" s="1555" t="s">
        <v>8</v>
      </c>
      <c r="S11" s="1556">
        <f t="shared" si="0"/>
        <v>100</v>
      </c>
      <c r="T11" s="1555" t="s">
        <v>8</v>
      </c>
      <c r="U11" s="1556">
        <f t="shared" si="1"/>
        <v>100</v>
      </c>
      <c r="V11" s="1555" t="s">
        <v>8</v>
      </c>
      <c r="W11" s="1556">
        <f t="shared" si="2"/>
        <v>100</v>
      </c>
      <c r="X11" s="1557"/>
      <c r="Y11" s="3314"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113</v>
      </c>
      <c r="G12" s="530"/>
      <c r="H12" s="255">
        <f>ROUND(100/'数据-取费表'!G16,0)</f>
        <v>113</v>
      </c>
      <c r="I12" s="530"/>
      <c r="J12" s="255">
        <f>ROUND(100/'数据-取费表'!G16,0)</f>
        <v>113</v>
      </c>
      <c r="K12" s="531"/>
      <c r="L12" s="2124"/>
      <c r="M12" s="2118"/>
      <c r="N12" s="2118"/>
      <c r="O12" s="2125"/>
      <c r="P12" s="3368"/>
      <c r="Q12" s="1147" t="str">
        <f t="shared" si="6"/>
        <v>土地使用年限（年）</v>
      </c>
      <c r="R12" s="1555" t="s">
        <v>8</v>
      </c>
      <c r="S12" s="1556">
        <f t="shared" si="0"/>
        <v>113</v>
      </c>
      <c r="T12" s="1555" t="s">
        <v>8</v>
      </c>
      <c r="U12" s="1556">
        <f t="shared" si="1"/>
        <v>113</v>
      </c>
      <c r="V12" s="1555" t="s">
        <v>8</v>
      </c>
      <c r="W12" s="1556">
        <f t="shared" si="2"/>
        <v>113</v>
      </c>
      <c r="X12" s="1557"/>
      <c r="Y12" s="3314"/>
      <c r="Z12" s="1146" t="str">
        <f t="shared" si="7"/>
        <v>土地使用年限（年）</v>
      </c>
      <c r="AA12" s="1558">
        <f t="shared" si="3"/>
        <v>0.88495575221238942</v>
      </c>
      <c r="AB12" s="1558">
        <f t="shared" si="4"/>
        <v>0.88495575221238942</v>
      </c>
      <c r="AC12" s="1558">
        <f t="shared" si="5"/>
        <v>0.88495575221238942</v>
      </c>
    </row>
    <row r="13" spans="1:30" ht="20.25">
      <c r="A13" s="2872"/>
      <c r="B13" s="2876" t="s">
        <v>2758</v>
      </c>
      <c r="C13" s="534">
        <f>'数据-汇总表'!I4</f>
        <v>0.85</v>
      </c>
      <c r="D13" s="255">
        <v>100</v>
      </c>
      <c r="E13" s="533">
        <f>土地案例!G2</f>
        <v>2.4</v>
      </c>
      <c r="F13" s="255">
        <f>LOOKUP(E13,82:82,83:83)-LOOKUP(C13,82:82,83:83)+100</f>
        <v>94</v>
      </c>
      <c r="G13" s="534">
        <f>土地案例!G5</f>
        <v>2.4</v>
      </c>
      <c r="H13" s="255">
        <f>LOOKUP(G13,82:82,83:83)-LOOKUP(C13,82:82,83:83)+100</f>
        <v>94</v>
      </c>
      <c r="I13" s="533">
        <f>土地案例!G8</f>
        <v>3</v>
      </c>
      <c r="J13" s="255">
        <f>LOOKUP(I13,82:82,83:83)-LOOKUP(C13,82:82,83:83)+100</f>
        <v>91</v>
      </c>
      <c r="K13" s="535">
        <v>3</v>
      </c>
      <c r="L13" s="2126"/>
      <c r="M13" s="2118"/>
      <c r="N13" s="2118"/>
      <c r="O13" s="2127"/>
      <c r="P13" s="3368"/>
      <c r="Q13" s="1147" t="str">
        <f t="shared" si="6"/>
        <v>容积率</v>
      </c>
      <c r="R13" s="1555" t="s">
        <v>8</v>
      </c>
      <c r="S13" s="1556">
        <f t="shared" si="0"/>
        <v>94</v>
      </c>
      <c r="T13" s="1555" t="s">
        <v>8</v>
      </c>
      <c r="U13" s="1556">
        <f t="shared" si="1"/>
        <v>94</v>
      </c>
      <c r="V13" s="1555" t="s">
        <v>8</v>
      </c>
      <c r="W13" s="1556">
        <f t="shared" si="2"/>
        <v>91</v>
      </c>
      <c r="X13" s="1557"/>
      <c r="Y13" s="3314"/>
      <c r="Z13" s="1146" t="str">
        <f t="shared" si="7"/>
        <v>容积率</v>
      </c>
      <c r="AA13" s="1558">
        <f t="shared" si="3"/>
        <v>1.0638297872340425</v>
      </c>
      <c r="AB13" s="1558">
        <f t="shared" si="4"/>
        <v>1.0638297872340425</v>
      </c>
      <c r="AC13" s="1558">
        <f t="shared" si="5"/>
        <v>1.098901098901099</v>
      </c>
    </row>
    <row r="14" spans="1:30" s="1216" customFormat="1" ht="20.25">
      <c r="A14" s="2869"/>
      <c r="B14" s="2878" t="s">
        <v>2759</v>
      </c>
      <c r="C14" s="2865" t="s">
        <v>3018</v>
      </c>
      <c r="D14" s="538">
        <v>100</v>
      </c>
      <c r="E14" s="1371" t="s">
        <v>3039</v>
      </c>
      <c r="F14" s="255">
        <f>SUMIF(84:84,E14,85:85)-SUMIF(84:84,C14,85:85)+100</f>
        <v>100</v>
      </c>
      <c r="G14" s="3187" t="s">
        <v>3018</v>
      </c>
      <c r="H14" s="255">
        <f>SUMIF(84:84,G14,85:85)-SUMIF(84:84,C14,85:85)+100</f>
        <v>100</v>
      </c>
      <c r="I14" s="3188" t="s">
        <v>3018</v>
      </c>
      <c r="J14" s="255">
        <f>SUMIF(84:84,I14,85:85)-SUMIF(84:84,C14,85:85)+100</f>
        <v>100</v>
      </c>
      <c r="K14" s="531"/>
      <c r="L14" s="2121"/>
      <c r="M14" s="2118"/>
      <c r="N14" s="2118"/>
      <c r="O14" s="2123"/>
      <c r="P14" s="3368"/>
      <c r="Q14" s="1147" t="str">
        <f t="shared" si="6"/>
        <v>配建</v>
      </c>
      <c r="R14" s="1555" t="s">
        <v>8</v>
      </c>
      <c r="S14" s="1556">
        <f t="shared" si="0"/>
        <v>100</v>
      </c>
      <c r="T14" s="1555" t="s">
        <v>8</v>
      </c>
      <c r="U14" s="1556">
        <f t="shared" si="1"/>
        <v>100</v>
      </c>
      <c r="V14" s="1555" t="s">
        <v>8</v>
      </c>
      <c r="W14" s="1556">
        <f t="shared" si="2"/>
        <v>100</v>
      </c>
      <c r="X14" s="1557"/>
      <c r="Y14" s="3314"/>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8"/>
      <c r="Q15" s="1147">
        <f t="shared" si="6"/>
        <v>111</v>
      </c>
      <c r="R15" s="1555" t="s">
        <v>8</v>
      </c>
      <c r="S15" s="1556">
        <f t="shared" si="0"/>
        <v>100</v>
      </c>
      <c r="T15" s="1555" t="s">
        <v>8</v>
      </c>
      <c r="U15" s="1556">
        <f t="shared" si="1"/>
        <v>100</v>
      </c>
      <c r="V15" s="1555" t="s">
        <v>8</v>
      </c>
      <c r="W15" s="1556">
        <f t="shared" si="2"/>
        <v>100</v>
      </c>
      <c r="X15" s="1557"/>
      <c r="Y15" s="3314"/>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8"/>
      <c r="Q16" s="1147">
        <f t="shared" si="6"/>
        <v>111</v>
      </c>
      <c r="R16" s="1555" t="s">
        <v>8</v>
      </c>
      <c r="S16" s="1556">
        <f t="shared" si="0"/>
        <v>100</v>
      </c>
      <c r="T16" s="1555" t="s">
        <v>8</v>
      </c>
      <c r="U16" s="1556">
        <f t="shared" si="1"/>
        <v>100</v>
      </c>
      <c r="V16" s="1555" t="s">
        <v>8</v>
      </c>
      <c r="W16" s="1556">
        <f t="shared" si="2"/>
        <v>100</v>
      </c>
      <c r="X16" s="1557"/>
      <c r="Y16" s="3314"/>
      <c r="Z16" s="1146">
        <f t="shared" si="7"/>
        <v>111</v>
      </c>
      <c r="AA16" s="1558">
        <f>D16/F16</f>
        <v>1</v>
      </c>
      <c r="AB16" s="1558">
        <f>D16/H16</f>
        <v>1</v>
      </c>
      <c r="AC16" s="1558">
        <f>D16/J16</f>
        <v>1</v>
      </c>
    </row>
    <row r="17" spans="1:29" ht="20.25">
      <c r="A17" s="2866" t="s">
        <v>2754</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2" t="s">
        <v>540</v>
      </c>
      <c r="Q17" s="1559" t="str">
        <f t="shared" si="6"/>
        <v>居住社区成熟度</v>
      </c>
      <c r="R17" s="1560" t="s">
        <v>8</v>
      </c>
      <c r="S17" s="1561">
        <f t="shared" si="0"/>
        <v>100</v>
      </c>
      <c r="T17" s="1560" t="s">
        <v>8</v>
      </c>
      <c r="U17" s="1561">
        <f t="shared" si="1"/>
        <v>100</v>
      </c>
      <c r="V17" s="1560" t="s">
        <v>8</v>
      </c>
      <c r="W17" s="1561">
        <f t="shared" si="2"/>
        <v>100</v>
      </c>
      <c r="X17" s="1554"/>
      <c r="Y17" s="3402" t="s">
        <v>540</v>
      </c>
      <c r="Z17" s="1562" t="str">
        <f t="shared" si="7"/>
        <v>居住社区成熟度</v>
      </c>
      <c r="AA17" s="1563">
        <f t="shared" si="3"/>
        <v>1</v>
      </c>
      <c r="AB17" s="1563">
        <f t="shared" si="4"/>
        <v>1</v>
      </c>
      <c r="AC17" s="1563">
        <f t="shared" si="5"/>
        <v>1</v>
      </c>
    </row>
    <row r="18" spans="1:29" ht="20.25">
      <c r="A18" s="532"/>
      <c r="B18" s="553"/>
      <c r="C18" s="554" t="s">
        <v>3028</v>
      </c>
      <c r="D18" s="557"/>
      <c r="E18" s="558" t="s">
        <v>3028</v>
      </c>
      <c r="F18" s="555"/>
      <c r="G18" s="556" t="s">
        <v>3028</v>
      </c>
      <c r="H18" s="559"/>
      <c r="I18" s="558" t="s">
        <v>3028</v>
      </c>
      <c r="J18" s="555"/>
      <c r="K18" s="531"/>
      <c r="L18" s="2128"/>
      <c r="M18" s="2118"/>
      <c r="N18" s="2118"/>
      <c r="O18" s="2127"/>
      <c r="P18" s="3403"/>
      <c r="Q18" s="1559"/>
      <c r="R18" s="1560"/>
      <c r="S18" s="1561"/>
      <c r="T18" s="1560"/>
      <c r="U18" s="1561"/>
      <c r="V18" s="1560"/>
      <c r="W18" s="1561"/>
      <c r="X18" s="1554"/>
      <c r="Y18" s="3403"/>
      <c r="Z18" s="1562"/>
      <c r="AA18" s="1563">
        <v>1</v>
      </c>
      <c r="AB18" s="1563">
        <v>1</v>
      </c>
      <c r="AC18" s="1563">
        <v>1</v>
      </c>
    </row>
    <row r="19" spans="1:29" ht="20.25">
      <c r="A19" s="532"/>
      <c r="B19" s="560" t="s">
        <v>541</v>
      </c>
      <c r="C19" s="561" t="str">
        <f>估价对象房地状况!C16</f>
        <v>一般</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403"/>
      <c r="Q19" s="1559" t="str">
        <f>B19</f>
        <v>商业繁华度</v>
      </c>
      <c r="R19" s="1560" t="s">
        <v>8</v>
      </c>
      <c r="S19" s="1561">
        <f>F19</f>
        <v>102</v>
      </c>
      <c r="T19" s="1560" t="s">
        <v>8</v>
      </c>
      <c r="U19" s="1561">
        <f>H19</f>
        <v>102</v>
      </c>
      <c r="V19" s="1560" t="s">
        <v>8</v>
      </c>
      <c r="W19" s="1561">
        <f>J19</f>
        <v>102</v>
      </c>
      <c r="X19" s="1554"/>
      <c r="Y19" s="3403"/>
      <c r="Z19" s="1562" t="str">
        <f>Q19</f>
        <v>商业繁华度</v>
      </c>
      <c r="AA19" s="1563">
        <f t="shared" si="3"/>
        <v>0.98039215686274506</v>
      </c>
      <c r="AB19" s="1563">
        <f t="shared" si="4"/>
        <v>0.98039215686274506</v>
      </c>
      <c r="AC19" s="1563">
        <f t="shared" si="5"/>
        <v>0.98039215686274506</v>
      </c>
    </row>
    <row r="20" spans="1:29" ht="20.25">
      <c r="A20" s="532"/>
      <c r="B20" s="566"/>
      <c r="C20" s="567" t="s">
        <v>3034</v>
      </c>
      <c r="D20" s="563"/>
      <c r="E20" s="569" t="s">
        <v>3035</v>
      </c>
      <c r="F20" s="559"/>
      <c r="G20" s="568" t="s">
        <v>3035</v>
      </c>
      <c r="H20" s="555"/>
      <c r="I20" s="569" t="s">
        <v>3035</v>
      </c>
      <c r="J20" s="555"/>
      <c r="K20" s="531"/>
      <c r="L20" s="2128"/>
      <c r="M20" s="2118"/>
      <c r="N20" s="2118"/>
      <c r="O20" s="2127"/>
      <c r="P20" s="3403"/>
      <c r="Q20" s="1559"/>
      <c r="R20" s="1560"/>
      <c r="S20" s="1561"/>
      <c r="T20" s="1560"/>
      <c r="U20" s="1561"/>
      <c r="V20" s="1560"/>
      <c r="W20" s="1561"/>
      <c r="X20" s="1554"/>
      <c r="Y20" s="3403"/>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3"/>
      <c r="Q21" s="1559" t="str">
        <f>B21</f>
        <v>办公集聚程度</v>
      </c>
      <c r="R21" s="1560" t="s">
        <v>8</v>
      </c>
      <c r="S21" s="1561">
        <f>F21</f>
        <v>100</v>
      </c>
      <c r="T21" s="1560" t="s">
        <v>8</v>
      </c>
      <c r="U21" s="1561">
        <f>H21</f>
        <v>100</v>
      </c>
      <c r="V21" s="1560" t="s">
        <v>8</v>
      </c>
      <c r="W21" s="1561">
        <f>J21</f>
        <v>100</v>
      </c>
      <c r="X21" s="1554"/>
      <c r="Y21" s="3403"/>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3"/>
      <c r="Q22" s="1559"/>
      <c r="R22" s="1560"/>
      <c r="S22" s="1561"/>
      <c r="T22" s="1560"/>
      <c r="U22" s="1561"/>
      <c r="V22" s="1560"/>
      <c r="W22" s="1561"/>
      <c r="X22" s="1554"/>
      <c r="Y22" s="3403"/>
      <c r="Z22" s="1562"/>
      <c r="AA22" s="1563">
        <v>1</v>
      </c>
      <c r="AB22" s="1563">
        <v>1</v>
      </c>
      <c r="AC22" s="1563">
        <v>1</v>
      </c>
    </row>
    <row r="23" spans="1:29" ht="20.25">
      <c r="A23" s="532"/>
      <c r="B23" s="560" t="s">
        <v>543</v>
      </c>
      <c r="C23" s="573" t="str">
        <f>估价对象房地状况!C18</f>
        <v>一般</v>
      </c>
      <c r="D23" s="563">
        <v>100</v>
      </c>
      <c r="E23" s="564"/>
      <c r="F23" s="565">
        <f>SUMIF(96:96,E24,97:97)-SUMIF(96:96,C24,97:97)+100</f>
        <v>104</v>
      </c>
      <c r="G23" s="562"/>
      <c r="H23" s="559">
        <f>SUMIF(96:96,G24,97:97)-SUMIF(96:96,C24,97:97)+100</f>
        <v>104</v>
      </c>
      <c r="I23" s="564"/>
      <c r="J23" s="559">
        <f>SUMIF(96:96,I24,97:97)-SUMIF(96:96,C24,97:97)+100</f>
        <v>104</v>
      </c>
      <c r="K23" s="535">
        <v>2</v>
      </c>
      <c r="L23" s="2128"/>
      <c r="M23" s="2118"/>
      <c r="N23" s="2118"/>
      <c r="O23" s="2127"/>
      <c r="P23" s="3403"/>
      <c r="Q23" s="1559" t="str">
        <f>B23</f>
        <v>交通便捷度</v>
      </c>
      <c r="R23" s="1560" t="s">
        <v>8</v>
      </c>
      <c r="S23" s="1561">
        <f>F23</f>
        <v>104</v>
      </c>
      <c r="T23" s="1560" t="s">
        <v>8</v>
      </c>
      <c r="U23" s="1561">
        <f>H23</f>
        <v>104</v>
      </c>
      <c r="V23" s="1560" t="s">
        <v>8</v>
      </c>
      <c r="W23" s="1561">
        <f>J23</f>
        <v>104</v>
      </c>
      <c r="X23" s="1554"/>
      <c r="Y23" s="3403"/>
      <c r="Z23" s="1562" t="str">
        <f>Q23</f>
        <v>交通便捷度</v>
      </c>
      <c r="AA23" s="1563">
        <f t="shared" si="3"/>
        <v>0.96153846153846156</v>
      </c>
      <c r="AB23" s="1563">
        <f t="shared" si="4"/>
        <v>0.96153846153846156</v>
      </c>
      <c r="AC23" s="1563">
        <f t="shared" si="5"/>
        <v>0.96153846153846156</v>
      </c>
    </row>
    <row r="24" spans="1:29" ht="20.25">
      <c r="A24" s="532"/>
      <c r="B24" s="578"/>
      <c r="C24" s="554" t="s">
        <v>3028</v>
      </c>
      <c r="D24" s="557"/>
      <c r="E24" s="558" t="s">
        <v>3035</v>
      </c>
      <c r="F24" s="555"/>
      <c r="G24" s="556" t="s">
        <v>3035</v>
      </c>
      <c r="H24" s="555"/>
      <c r="I24" s="558" t="s">
        <v>3035</v>
      </c>
      <c r="J24" s="555"/>
      <c r="K24" s="531"/>
      <c r="L24" s="2128"/>
      <c r="M24" s="2118"/>
      <c r="N24" s="2118"/>
      <c r="O24" s="2127"/>
      <c r="P24" s="3403"/>
      <c r="Q24" s="1559"/>
      <c r="R24" s="1560"/>
      <c r="S24" s="1561"/>
      <c r="T24" s="1560"/>
      <c r="U24" s="1561"/>
      <c r="V24" s="1560"/>
      <c r="W24" s="1561"/>
      <c r="X24" s="1554"/>
      <c r="Y24" s="3403"/>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3"/>
      <c r="Q25" s="1559" t="str">
        <f t="shared" ref="Q25:Q39" si="8">B25</f>
        <v>区域土地利用方向</v>
      </c>
      <c r="R25" s="1560" t="s">
        <v>8</v>
      </c>
      <c r="S25" s="1561">
        <f>F25</f>
        <v>100</v>
      </c>
      <c r="T25" s="1560" t="s">
        <v>8</v>
      </c>
      <c r="U25" s="1561">
        <f>H25</f>
        <v>100</v>
      </c>
      <c r="V25" s="1560" t="s">
        <v>8</v>
      </c>
      <c r="W25" s="1561">
        <f>J25</f>
        <v>100</v>
      </c>
      <c r="X25" s="1554"/>
      <c r="Y25" s="3403"/>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3"/>
      <c r="Q26" s="1559"/>
      <c r="R26" s="1560"/>
      <c r="S26" s="1561"/>
      <c r="T26" s="1560"/>
      <c r="U26" s="1561"/>
      <c r="V26" s="1560"/>
      <c r="W26" s="1561"/>
      <c r="X26" s="1554"/>
      <c r="Y26" s="3403"/>
      <c r="Z26" s="1562"/>
      <c r="AA26" s="1563"/>
      <c r="AB26" s="1563"/>
      <c r="AC26" s="1563"/>
    </row>
    <row r="27" spans="1:29" ht="27">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8"/>
      <c r="M27" s="2118"/>
      <c r="N27" s="2118"/>
      <c r="O27" s="2127"/>
      <c r="P27" s="3403"/>
      <c r="Q27" s="1559" t="str">
        <f t="shared" si="8"/>
        <v>自然及人文环境状况</v>
      </c>
      <c r="R27" s="1560" t="s">
        <v>8</v>
      </c>
      <c r="S27" s="1561">
        <f>F27</f>
        <v>102</v>
      </c>
      <c r="T27" s="1560" t="s">
        <v>8</v>
      </c>
      <c r="U27" s="1561">
        <f>H27</f>
        <v>102</v>
      </c>
      <c r="V27" s="1560" t="s">
        <v>8</v>
      </c>
      <c r="W27" s="1561">
        <f>J27</f>
        <v>102</v>
      </c>
      <c r="X27" s="1554"/>
      <c r="Y27" s="3403"/>
      <c r="Z27" s="1562" t="str">
        <f>Q27</f>
        <v>自然及人文环境状况</v>
      </c>
      <c r="AA27" s="1563">
        <f t="shared" si="3"/>
        <v>0.98039215686274506</v>
      </c>
      <c r="AB27" s="1563">
        <f t="shared" si="4"/>
        <v>0.98039215686274506</v>
      </c>
      <c r="AC27" s="1563">
        <f t="shared" si="5"/>
        <v>0.98039215686274506</v>
      </c>
    </row>
    <row r="28" spans="1:29" ht="20.25">
      <c r="A28" s="515"/>
      <c r="B28" s="566"/>
      <c r="C28" s="554" t="s">
        <v>3028</v>
      </c>
      <c r="D28" s="557"/>
      <c r="E28" s="576" t="s">
        <v>3034</v>
      </c>
      <c r="F28" s="555"/>
      <c r="G28" s="554" t="s">
        <v>3034</v>
      </c>
      <c r="H28" s="555"/>
      <c r="I28" s="576" t="s">
        <v>3034</v>
      </c>
      <c r="J28" s="555"/>
      <c r="K28" s="531"/>
      <c r="L28" s="2128"/>
      <c r="M28" s="2118"/>
      <c r="N28" s="2118"/>
      <c r="O28" s="2127"/>
      <c r="P28" s="3403"/>
      <c r="Q28" s="1559"/>
      <c r="R28" s="1560"/>
      <c r="S28" s="1561"/>
      <c r="T28" s="1560"/>
      <c r="U28" s="1561"/>
      <c r="V28" s="1560"/>
      <c r="W28" s="1561"/>
      <c r="X28" s="1554"/>
      <c r="Y28" s="3403"/>
      <c r="Z28" s="1562"/>
      <c r="AA28" s="1563">
        <v>1</v>
      </c>
      <c r="AB28" s="1563">
        <v>1</v>
      </c>
      <c r="AC28" s="1563">
        <v>1</v>
      </c>
    </row>
    <row r="29" spans="1:29" s="1216" customFormat="1" ht="20.25">
      <c r="A29" s="577"/>
      <c r="B29" s="2556" t="s">
        <v>2548</v>
      </c>
      <c r="C29" s="573" t="str">
        <f>估价对象房地状况!C21</f>
        <v>一般</v>
      </c>
      <c r="D29" s="563">
        <v>100</v>
      </c>
      <c r="E29" s="564"/>
      <c r="F29" s="559">
        <f>SUMIF(102:102,E30,103:103)-SUMIF(102:102,C30,103:103)+100</f>
        <v>104</v>
      </c>
      <c r="G29" s="562"/>
      <c r="H29" s="559">
        <f>SUMIF(102:102,G30,103:103)-SUMIF(102:102,C30,103:103)+100</f>
        <v>104</v>
      </c>
      <c r="I29" s="564"/>
      <c r="J29" s="559">
        <f>SUMIF(102:102,I30,103:103)-SUMIF(102:102,C30,103:103)+100</f>
        <v>104</v>
      </c>
      <c r="K29" s="535">
        <v>2</v>
      </c>
      <c r="L29" s="2121"/>
      <c r="M29" s="2118"/>
      <c r="N29" s="2118"/>
      <c r="O29" s="2123"/>
      <c r="P29" s="3403"/>
      <c r="Q29" s="1147" t="str">
        <f t="shared" si="8"/>
        <v>公共配套设施</v>
      </c>
      <c r="R29" s="1555" t="s">
        <v>8</v>
      </c>
      <c r="S29" s="1556">
        <f>F29</f>
        <v>104</v>
      </c>
      <c r="T29" s="1555" t="s">
        <v>8</v>
      </c>
      <c r="U29" s="1556">
        <f>H29</f>
        <v>104</v>
      </c>
      <c r="V29" s="1555" t="s">
        <v>8</v>
      </c>
      <c r="W29" s="1556">
        <f>J29</f>
        <v>104</v>
      </c>
      <c r="X29" s="1557"/>
      <c r="Y29" s="3403"/>
      <c r="Z29" s="1146" t="str">
        <f>Q29</f>
        <v>公共配套设施</v>
      </c>
      <c r="AA29" s="1563">
        <f>D29/F29</f>
        <v>0.96153846153846156</v>
      </c>
      <c r="AB29" s="1563">
        <f>D29/H29</f>
        <v>0.96153846153846156</v>
      </c>
      <c r="AC29" s="1563">
        <f>D29/J29</f>
        <v>0.96153846153846156</v>
      </c>
    </row>
    <row r="30" spans="1:29" s="1216" customFormat="1" ht="20.25">
      <c r="A30" s="577"/>
      <c r="B30" s="566"/>
      <c r="C30" s="579" t="s">
        <v>3028</v>
      </c>
      <c r="D30" s="557"/>
      <c r="E30" s="576" t="s">
        <v>3035</v>
      </c>
      <c r="F30" s="555"/>
      <c r="G30" s="554" t="s">
        <v>3035</v>
      </c>
      <c r="H30" s="555"/>
      <c r="I30" s="576" t="s">
        <v>3035</v>
      </c>
      <c r="J30" s="555"/>
      <c r="K30" s="531"/>
      <c r="L30" s="2121"/>
      <c r="M30" s="2118"/>
      <c r="N30" s="2118"/>
      <c r="O30" s="2123"/>
      <c r="P30" s="3403"/>
      <c r="Q30" s="1147"/>
      <c r="R30" s="1555"/>
      <c r="S30" s="1556"/>
      <c r="T30" s="1555"/>
      <c r="U30" s="1556"/>
      <c r="V30" s="1555"/>
      <c r="W30" s="1556"/>
      <c r="X30" s="1557"/>
      <c r="Y30" s="3403"/>
      <c r="Z30" s="1146"/>
      <c r="AA30" s="1563">
        <v>1</v>
      </c>
      <c r="AB30" s="1563">
        <v>1</v>
      </c>
      <c r="AC30" s="1563">
        <v>1</v>
      </c>
    </row>
    <row r="31" spans="1:29" s="1216" customFormat="1" ht="20.25">
      <c r="A31" s="577"/>
      <c r="B31" s="2556" t="s">
        <v>2549</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3"/>
      <c r="Q31" s="2543" t="str">
        <f t="shared" ref="Q31" si="9">B31</f>
        <v>基础设施水平</v>
      </c>
      <c r="R31" s="1555" t="s">
        <v>8</v>
      </c>
      <c r="S31" s="1556">
        <f>F31</f>
        <v>100</v>
      </c>
      <c r="T31" s="1555" t="s">
        <v>8</v>
      </c>
      <c r="U31" s="1556">
        <f>H31</f>
        <v>100</v>
      </c>
      <c r="V31" s="1555" t="s">
        <v>8</v>
      </c>
      <c r="W31" s="1556">
        <f>J31</f>
        <v>100</v>
      </c>
      <c r="X31" s="1557"/>
      <c r="Y31" s="3403"/>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03"/>
      <c r="Q32" s="2543"/>
      <c r="R32" s="1555"/>
      <c r="S32" s="1556"/>
      <c r="T32" s="1555"/>
      <c r="U32" s="1556"/>
      <c r="V32" s="1555"/>
      <c r="W32" s="1556"/>
      <c r="X32" s="1557"/>
      <c r="Y32" s="3403"/>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3"/>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8"/>
      <c r="M34" s="2118"/>
      <c r="N34" s="2118"/>
      <c r="O34" s="2127"/>
      <c r="P34" s="3403"/>
      <c r="Q34" s="1559" t="str">
        <f t="shared" si="8"/>
        <v>毗邻道路的类型与等级</v>
      </c>
      <c r="R34" s="1560" t="s">
        <v>8</v>
      </c>
      <c r="S34" s="1561">
        <f t="shared" si="10"/>
        <v>100</v>
      </c>
      <c r="T34" s="1560" t="s">
        <v>8</v>
      </c>
      <c r="U34" s="1561">
        <f t="shared" si="11"/>
        <v>100</v>
      </c>
      <c r="V34" s="1560" t="s">
        <v>8</v>
      </c>
      <c r="W34" s="1561">
        <f t="shared" si="12"/>
        <v>100</v>
      </c>
      <c r="X34" s="1554"/>
      <c r="Y34" s="3403"/>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03"/>
      <c r="Q35" s="1559"/>
      <c r="R35" s="1560"/>
      <c r="S35" s="1561"/>
      <c r="T35" s="1560"/>
      <c r="U35" s="1561"/>
      <c r="V35" s="1560"/>
      <c r="W35" s="1561"/>
      <c r="X35" s="1554"/>
      <c r="Y35" s="3403"/>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3"/>
      <c r="Q36" s="1559" t="str">
        <f t="shared" si="8"/>
        <v>土地级别</v>
      </c>
      <c r="R36" s="1560" t="s">
        <v>8</v>
      </c>
      <c r="S36" s="1561">
        <f t="shared" si="10"/>
        <v>100</v>
      </c>
      <c r="T36" s="1560" t="s">
        <v>8</v>
      </c>
      <c r="U36" s="1561">
        <f t="shared" si="11"/>
        <v>100</v>
      </c>
      <c r="V36" s="1560" t="s">
        <v>8</v>
      </c>
      <c r="W36" s="1561">
        <f t="shared" si="12"/>
        <v>100</v>
      </c>
      <c r="X36" s="1554"/>
      <c r="Y36" s="3403"/>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3"/>
      <c r="Q37" s="1559">
        <f t="shared" si="8"/>
        <v>111</v>
      </c>
      <c r="R37" s="1560" t="s">
        <v>8</v>
      </c>
      <c r="S37" s="1561">
        <f t="shared" si="10"/>
        <v>100</v>
      </c>
      <c r="T37" s="1560" t="s">
        <v>8</v>
      </c>
      <c r="U37" s="1561">
        <f t="shared" si="11"/>
        <v>100</v>
      </c>
      <c r="V37" s="1560" t="s">
        <v>8</v>
      </c>
      <c r="W37" s="1561">
        <f t="shared" si="12"/>
        <v>100</v>
      </c>
      <c r="X37" s="1554"/>
      <c r="Y37" s="3403"/>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4" t="s">
        <v>550</v>
      </c>
      <c r="Q38" s="1559">
        <f t="shared" si="8"/>
        <v>111</v>
      </c>
      <c r="R38" s="1560" t="s">
        <v>8</v>
      </c>
      <c r="S38" s="1561">
        <f t="shared" si="10"/>
        <v>100</v>
      </c>
      <c r="T38" s="1560" t="s">
        <v>8</v>
      </c>
      <c r="U38" s="1561">
        <f t="shared" si="11"/>
        <v>100</v>
      </c>
      <c r="V38" s="1560" t="s">
        <v>8</v>
      </c>
      <c r="W38" s="1561">
        <f t="shared" si="12"/>
        <v>100</v>
      </c>
      <c r="X38" s="1554"/>
      <c r="Y38" s="3405"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5"/>
      <c r="Q39" s="1559">
        <f t="shared" si="8"/>
        <v>111</v>
      </c>
      <c r="R39" s="1564" t="s">
        <v>8</v>
      </c>
      <c r="S39" s="1565">
        <f t="shared" si="10"/>
        <v>100</v>
      </c>
      <c r="T39" s="1564" t="s">
        <v>8</v>
      </c>
      <c r="U39" s="1565">
        <f t="shared" si="11"/>
        <v>100</v>
      </c>
      <c r="V39" s="1564" t="s">
        <v>8</v>
      </c>
      <c r="W39" s="1565">
        <f t="shared" si="12"/>
        <v>100</v>
      </c>
      <c r="X39" s="1566"/>
      <c r="Y39" s="3405"/>
      <c r="Z39" s="1567">
        <f t="shared" si="13"/>
        <v>111</v>
      </c>
      <c r="AA39" s="1563">
        <f t="shared" si="3"/>
        <v>1</v>
      </c>
      <c r="AB39" s="1563">
        <f t="shared" si="4"/>
        <v>1</v>
      </c>
      <c r="AC39" s="1563">
        <f t="shared" si="5"/>
        <v>1</v>
      </c>
    </row>
    <row r="40" spans="1:29" ht="20.25">
      <c r="A40" s="2863" t="s">
        <v>2755</v>
      </c>
      <c r="B40" s="595" t="s">
        <v>552</v>
      </c>
      <c r="C40" s="596">
        <f>'数据-基础表'!A3</f>
        <v>120300.2</v>
      </c>
      <c r="D40" s="597">
        <v>100</v>
      </c>
      <c r="E40" s="596">
        <f>土地案例!D2</f>
        <v>4798.2</v>
      </c>
      <c r="F40" s="597">
        <f>LOOKUP(E40,119:119,120:120)-LOOKUP(C40,119:119,120:120)+100</f>
        <v>90</v>
      </c>
      <c r="G40" s="596">
        <f>土地案例!D5</f>
        <v>13087.83</v>
      </c>
      <c r="H40" s="597">
        <f>LOOKUP(G40,119:119,120:120)-LOOKUP(C40,119:119,120:120)+100</f>
        <v>90</v>
      </c>
      <c r="I40" s="598">
        <f>土地案例!D8</f>
        <v>23192.06</v>
      </c>
      <c r="J40" s="597">
        <f>LOOKUP(I40,119:119,120:120)-LOOKUP(C40,119:119,120:120)+100</f>
        <v>92</v>
      </c>
      <c r="K40" s="581"/>
      <c r="L40" s="2128"/>
      <c r="M40" s="2118"/>
      <c r="N40" s="2118"/>
      <c r="O40" s="2127"/>
      <c r="P40" s="3405"/>
      <c r="Q40" s="1559" t="str">
        <f>B40</f>
        <v>宗地面积</v>
      </c>
      <c r="R40" s="1560" t="s">
        <v>8</v>
      </c>
      <c r="S40" s="1561">
        <f t="shared" si="10"/>
        <v>90</v>
      </c>
      <c r="T40" s="1560" t="s">
        <v>8</v>
      </c>
      <c r="U40" s="1561">
        <f t="shared" si="11"/>
        <v>90</v>
      </c>
      <c r="V40" s="1560" t="s">
        <v>8</v>
      </c>
      <c r="W40" s="1561">
        <f t="shared" si="12"/>
        <v>92</v>
      </c>
      <c r="X40" s="1554"/>
      <c r="Y40" s="3405"/>
      <c r="Z40" s="1562" t="str">
        <f t="shared" si="13"/>
        <v>宗地面积</v>
      </c>
      <c r="AA40" s="1563">
        <f t="shared" si="3"/>
        <v>1.1111111111111112</v>
      </c>
      <c r="AB40" s="1563">
        <f t="shared" si="4"/>
        <v>1.1111111111111112</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05"/>
      <c r="Q41" s="1559" t="str">
        <f t="shared" ref="Q41:Q47" si="14">B41</f>
        <v>宗地形状</v>
      </c>
      <c r="R41" s="1560" t="s">
        <v>8</v>
      </c>
      <c r="S41" s="1561">
        <f t="shared" si="10"/>
        <v>100</v>
      </c>
      <c r="T41" s="1560" t="s">
        <v>8</v>
      </c>
      <c r="U41" s="1561">
        <f t="shared" si="11"/>
        <v>100</v>
      </c>
      <c r="V41" s="1560" t="s">
        <v>8</v>
      </c>
      <c r="W41" s="1561">
        <f t="shared" si="12"/>
        <v>100</v>
      </c>
      <c r="X41" s="1554"/>
      <c r="Y41" s="3405"/>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5"/>
      <c r="Q42" s="1559" t="str">
        <f t="shared" si="14"/>
        <v>临街宽度及深度</v>
      </c>
      <c r="R42" s="1560" t="s">
        <v>8</v>
      </c>
      <c r="S42" s="1561">
        <f t="shared" si="10"/>
        <v>100</v>
      </c>
      <c r="T42" s="1560" t="s">
        <v>8</v>
      </c>
      <c r="U42" s="1561">
        <f t="shared" si="11"/>
        <v>100</v>
      </c>
      <c r="V42" s="1560" t="s">
        <v>8</v>
      </c>
      <c r="W42" s="1561">
        <f t="shared" si="12"/>
        <v>100</v>
      </c>
      <c r="X42" s="1554"/>
      <c r="Y42" s="3405"/>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05"/>
      <c r="Q43" s="1559" t="str">
        <f t="shared" si="14"/>
        <v>宗地开发程度</v>
      </c>
      <c r="R43" s="1555" t="s">
        <v>8</v>
      </c>
      <c r="S43" s="1556">
        <f t="shared" si="10"/>
        <v>100</v>
      </c>
      <c r="T43" s="1555" t="s">
        <v>8</v>
      </c>
      <c r="U43" s="1556">
        <f t="shared" si="11"/>
        <v>100</v>
      </c>
      <c r="V43" s="1555" t="s">
        <v>8</v>
      </c>
      <c r="W43" s="1556">
        <f t="shared" si="12"/>
        <v>100</v>
      </c>
      <c r="X43" s="1557"/>
      <c r="Y43" s="3405"/>
      <c r="Z43" s="1146" t="str">
        <f t="shared" si="13"/>
        <v>宗地开发程度</v>
      </c>
      <c r="AA43" s="1558">
        <f t="shared" si="3"/>
        <v>1</v>
      </c>
      <c r="AB43" s="1558">
        <f t="shared" si="4"/>
        <v>1</v>
      </c>
      <c r="AC43" s="1558">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5" t="s">
        <v>550</v>
      </c>
      <c r="Q44" s="1559" t="str">
        <f t="shared" si="14"/>
        <v>工程地质条件</v>
      </c>
      <c r="R44" s="1560" t="s">
        <v>8</v>
      </c>
      <c r="S44" s="1561">
        <f t="shared" si="10"/>
        <v>100</v>
      </c>
      <c r="T44" s="1560" t="s">
        <v>8</v>
      </c>
      <c r="U44" s="1561">
        <f t="shared" si="11"/>
        <v>100</v>
      </c>
      <c r="V44" s="1560" t="s">
        <v>8</v>
      </c>
      <c r="W44" s="1561">
        <f t="shared" si="12"/>
        <v>100</v>
      </c>
      <c r="X44" s="1554"/>
      <c r="Y44" s="3405"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5"/>
      <c r="Q45" s="1559">
        <f t="shared" si="14"/>
        <v>111</v>
      </c>
      <c r="R45" s="1560" t="s">
        <v>8</v>
      </c>
      <c r="S45" s="1561">
        <f t="shared" si="10"/>
        <v>100</v>
      </c>
      <c r="T45" s="1560" t="s">
        <v>8</v>
      </c>
      <c r="U45" s="1561">
        <f t="shared" si="11"/>
        <v>100</v>
      </c>
      <c r="V45" s="1560" t="s">
        <v>8</v>
      </c>
      <c r="W45" s="1561">
        <f t="shared" si="12"/>
        <v>100</v>
      </c>
      <c r="X45" s="1554"/>
      <c r="Y45" s="3405"/>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5"/>
      <c r="Q46" s="1559">
        <f t="shared" si="14"/>
        <v>111</v>
      </c>
      <c r="R46" s="1560" t="s">
        <v>8</v>
      </c>
      <c r="S46" s="1561">
        <f t="shared" si="10"/>
        <v>100</v>
      </c>
      <c r="T46" s="1560" t="s">
        <v>8</v>
      </c>
      <c r="U46" s="1561">
        <f t="shared" si="11"/>
        <v>100</v>
      </c>
      <c r="V46" s="1560" t="s">
        <v>8</v>
      </c>
      <c r="W46" s="1561">
        <f t="shared" si="12"/>
        <v>100</v>
      </c>
      <c r="X46" s="1554"/>
      <c r="Y46" s="3405"/>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5"/>
      <c r="Q47" s="1559">
        <f t="shared" si="14"/>
        <v>111</v>
      </c>
      <c r="R47" s="1564" t="s">
        <v>8</v>
      </c>
      <c r="S47" s="1565">
        <f t="shared" si="10"/>
        <v>100</v>
      </c>
      <c r="T47" s="1564" t="s">
        <v>8</v>
      </c>
      <c r="U47" s="1565">
        <f t="shared" si="11"/>
        <v>100</v>
      </c>
      <c r="V47" s="1564" t="s">
        <v>8</v>
      </c>
      <c r="W47" s="1565">
        <f t="shared" si="12"/>
        <v>100</v>
      </c>
      <c r="X47" s="1566"/>
      <c r="Y47" s="3405"/>
      <c r="Z47" s="1567">
        <f t="shared" si="13"/>
        <v>111</v>
      </c>
      <c r="AA47" s="1563">
        <f t="shared" si="3"/>
        <v>1</v>
      </c>
      <c r="AB47" s="1563">
        <f t="shared" si="4"/>
        <v>1</v>
      </c>
      <c r="AC47" s="1563">
        <f t="shared" si="5"/>
        <v>1</v>
      </c>
    </row>
    <row r="48" spans="1:29" ht="20.25">
      <c r="A48" s="607" t="s">
        <v>556</v>
      </c>
      <c r="B48" s="608" t="s">
        <v>3038</v>
      </c>
      <c r="C48" s="609" t="s">
        <v>1</v>
      </c>
      <c r="D48" s="610"/>
      <c r="E48" s="611">
        <f>土地案例!L2</f>
        <v>1300</v>
      </c>
      <c r="F48" s="612"/>
      <c r="G48" s="613">
        <f>土地案例!L5</f>
        <v>1313</v>
      </c>
      <c r="H48" s="614"/>
      <c r="I48" s="611">
        <f>土地案例!L8</f>
        <v>1120</v>
      </c>
      <c r="J48" s="614"/>
      <c r="K48" s="1336"/>
      <c r="L48" s="2130"/>
      <c r="M48" s="2118"/>
      <c r="N48" s="2118"/>
      <c r="O48" s="2131"/>
      <c r="P48" s="3368" t="str">
        <f>A48</f>
        <v>成交单价</v>
      </c>
      <c r="Q48" s="3368"/>
      <c r="R48" s="3369">
        <f>E48</f>
        <v>1300</v>
      </c>
      <c r="S48" s="3369"/>
      <c r="T48" s="3369">
        <f>G48</f>
        <v>1313</v>
      </c>
      <c r="U48" s="3369"/>
      <c r="V48" s="3369">
        <f>I48</f>
        <v>1120</v>
      </c>
      <c r="W48" s="3369"/>
      <c r="X48" s="1546"/>
      <c r="Y48" s="1568"/>
      <c r="Z48" s="1546"/>
      <c r="AA48" s="1546"/>
      <c r="AB48" s="1546"/>
      <c r="AC48" s="1546"/>
    </row>
    <row r="49" spans="1:29" ht="21" thickBot="1">
      <c r="A49" s="615" t="s">
        <v>2693</v>
      </c>
      <c r="B49" s="616"/>
      <c r="C49" s="617">
        <f>R50</f>
        <v>1182</v>
      </c>
      <c r="D49" s="618"/>
      <c r="E49" s="617">
        <f>R49</f>
        <v>1227</v>
      </c>
      <c r="F49" s="619"/>
      <c r="G49" s="620">
        <f>T49</f>
        <v>1239</v>
      </c>
      <c r="H49" s="618"/>
      <c r="I49" s="617">
        <f>V49</f>
        <v>1079</v>
      </c>
      <c r="J49" s="618"/>
      <c r="K49" s="1337"/>
      <c r="L49" s="2130"/>
      <c r="M49" s="2118"/>
      <c r="N49" s="2118"/>
      <c r="O49" s="2131"/>
      <c r="P49" s="3368" t="str">
        <f>A49</f>
        <v>比较价格（元/平方米）</v>
      </c>
      <c r="Q49" s="3368"/>
      <c r="R49" s="3370">
        <f>ROUND(PRODUCT(R48,AA9:AA47),0)</f>
        <v>1227</v>
      </c>
      <c r="S49" s="3370"/>
      <c r="T49" s="3370">
        <f>ROUND(PRODUCT(T48,AB9:AB47),0)</f>
        <v>1239</v>
      </c>
      <c r="U49" s="3370"/>
      <c r="V49" s="3370">
        <f>ROUND(PRODUCT(V48,AC9:AC47),0)</f>
        <v>1079</v>
      </c>
      <c r="W49" s="3370"/>
      <c r="X49" s="1546"/>
      <c r="Y49" s="1546"/>
      <c r="Z49" s="1546"/>
      <c r="AA49" s="1546"/>
      <c r="AB49" s="1546"/>
      <c r="AC49" s="1546"/>
    </row>
    <row r="50" spans="1:29" ht="21" thickBot="1">
      <c r="A50" s="621" t="s">
        <v>2933</v>
      </c>
      <c r="B50" s="622"/>
      <c r="C50" s="623">
        <f>R50</f>
        <v>1182</v>
      </c>
      <c r="D50" s="623"/>
      <c r="E50" s="623"/>
      <c r="F50" s="623"/>
      <c r="G50" s="623"/>
      <c r="H50" s="623"/>
      <c r="I50" s="623"/>
      <c r="J50" s="623"/>
      <c r="K50" s="1338"/>
      <c r="L50" s="2130"/>
      <c r="M50" s="2118"/>
      <c r="N50" s="2118"/>
      <c r="O50" s="2131"/>
      <c r="P50" s="3365" t="str">
        <f>A50</f>
        <v>估价对象XX用房的比较价格（楼面单价，元/平方米）</v>
      </c>
      <c r="Q50" s="3366"/>
      <c r="R50" s="3367">
        <f>ROUND(AVERAGE(R49:V49),0)</f>
        <v>1182</v>
      </c>
      <c r="S50" s="3367"/>
      <c r="T50" s="3367"/>
      <c r="U50" s="3367"/>
      <c r="V50" s="3367"/>
      <c r="W50" s="336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5.9494702526487364E-2</v>
      </c>
      <c r="F53" s="627" t="str">
        <f>IF(OR(E53&gt;=0.3,E53&lt;=-0.3),"超过30%","")</f>
        <v/>
      </c>
      <c r="G53" s="626">
        <f>IF(G48&lt;G49,G49/G48-1,G48/G49-1)</f>
        <v>5.972558514931392E-2</v>
      </c>
      <c r="H53" s="627" t="str">
        <f>IF(OR(G53&gt;=0.3,G53&lt;=-0.3),"超过30%","")</f>
        <v/>
      </c>
      <c r="I53" s="626">
        <f>IF(I48&lt;I49,I49/I48-1,I48/I49-1)</f>
        <v>3.7998146431881263E-2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9.7799511002445438E-3</v>
      </c>
      <c r="F54" s="627" t="str">
        <f>IF(OR(E54&gt;=0.2,E54&lt;=-0.2),"超过20%","")</f>
        <v/>
      </c>
      <c r="G54" s="626">
        <f>IF(G49&lt;I49,I49/G49-1,G49/I49-1)</f>
        <v>0.14828544949026878</v>
      </c>
      <c r="H54" s="627" t="str">
        <f>IF(OR(G54&gt;=0.2,G54&lt;=-0.2),"超过20%","")</f>
        <v/>
      </c>
      <c r="I54" s="626">
        <f>IF(I49&lt;E49,E49/I49-1,I49/E49-1)</f>
        <v>0.13716404077849864</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1.0000000000000009E-2</v>
      </c>
      <c r="F55" s="627" t="str">
        <f>IF(OR(E55&gt;=0.3,E55&lt;=-0.3),"超过30%","")</f>
        <v/>
      </c>
      <c r="G55" s="626">
        <f>IF(G48&lt;I48,I48/G48-1,G48/I48-1)</f>
        <v>0.17232142857142851</v>
      </c>
      <c r="H55" s="627" t="str">
        <f>IF(OR(G55&gt;=0.3,G55&lt;=-0.3),"超过30%","")</f>
        <v/>
      </c>
      <c r="I55" s="626">
        <f>IF(I48&lt;E48,E48/I48-1,I48/E48-1)</f>
        <v>0.16071428571428581</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4" t="s">
        <v>2281</v>
      </c>
      <c r="H57" s="3395"/>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1182</v>
      </c>
      <c r="C58" s="635">
        <v>1</v>
      </c>
      <c r="D58" s="2214">
        <v>1</v>
      </c>
      <c r="E58" s="635">
        <f>'数据-汇总表'!E8+'数据-汇总表'!E9</f>
        <v>102255</v>
      </c>
      <c r="F58" s="636">
        <f t="shared" ref="F58:F67" si="15">ROUND(B58*E58/10000,0)</f>
        <v>12087</v>
      </c>
      <c r="G58" s="3396"/>
      <c r="H58" s="339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8"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102255</v>
      </c>
      <c r="F68" s="644">
        <f>IF(B48="楼面地价",SUM(F58:F67),ROUND(C50*E68/10000,0))</f>
        <v>12087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3186">
        <f>C73-$C$74</f>
        <v>99.5</v>
      </c>
      <c r="E73" s="3186">
        <f t="shared" ref="E73:N73" si="20">D73-$C$74</f>
        <v>99</v>
      </c>
      <c r="F73" s="3186">
        <f t="shared" si="20"/>
        <v>98.5</v>
      </c>
      <c r="G73" s="3186">
        <f t="shared" si="20"/>
        <v>98</v>
      </c>
      <c r="H73" s="3186">
        <f t="shared" si="20"/>
        <v>97.5</v>
      </c>
      <c r="I73" s="3186">
        <f t="shared" si="20"/>
        <v>97</v>
      </c>
      <c r="J73" s="3186">
        <f t="shared" si="20"/>
        <v>96.5</v>
      </c>
      <c r="K73" s="3186">
        <f t="shared" si="20"/>
        <v>96</v>
      </c>
      <c r="L73" s="3186">
        <f t="shared" si="20"/>
        <v>95.5</v>
      </c>
      <c r="M73" s="3186">
        <f t="shared" si="20"/>
        <v>95</v>
      </c>
      <c r="N73" s="3186">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v>0.5</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85" t="s">
        <v>3018</v>
      </c>
      <c r="D84" s="1372" t="s">
        <v>3019</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95</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85" t="s">
        <v>3025</v>
      </c>
      <c r="D108" s="3185" t="s">
        <v>3026</v>
      </c>
      <c r="E108" s="3185" t="s">
        <v>3027</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3" t="str">
        <f t="shared" si="26"/>
        <v>(含)-</v>
      </c>
      <c r="K118" s="3043" t="str">
        <f t="shared" si="26"/>
        <v>(含)-</v>
      </c>
      <c r="L118" s="3044" t="str">
        <f t="shared" si="26"/>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0" t="str">
        <f>项目基本情况!B1</f>
        <v>出让国有建设用地使用权预评估</v>
      </c>
      <c r="C37" s="3200"/>
      <c r="D37" s="3200"/>
      <c r="E37" s="3200"/>
      <c r="F37" s="3200"/>
      <c r="G37" s="3200"/>
      <c r="H37" s="3200"/>
      <c r="I37" s="3200"/>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4" sqref="D14"/>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29429</v>
      </c>
      <c r="C2" s="2090"/>
      <c r="D2" s="2090"/>
      <c r="E2" s="2090"/>
      <c r="F2" s="2090"/>
      <c r="G2" s="2090"/>
      <c r="H2" s="2090"/>
      <c r="I2" s="2090"/>
      <c r="J2" s="2090"/>
      <c r="K2" s="2090"/>
    </row>
    <row r="3" spans="1:31" s="2027" customFormat="1" ht="18" customHeight="1">
      <c r="A3" s="2092" t="s">
        <v>1684</v>
      </c>
      <c r="B3" s="2093">
        <f ca="1">ROUND(B2*10000/IF(B1="",'数据-汇总表'!E3,INDIRECT("'数据-取费表'!K"&amp;$K$1)),0)</f>
        <v>2878</v>
      </c>
      <c r="C3" s="2090"/>
      <c r="D3" s="2090"/>
      <c r="E3" s="2090"/>
      <c r="F3" s="2090"/>
      <c r="G3" s="2090"/>
      <c r="H3" s="2090"/>
      <c r="I3" s="2090"/>
      <c r="J3" s="2090"/>
      <c r="K3" s="2090"/>
    </row>
    <row r="4" spans="1:31" s="2027" customFormat="1" ht="18" customHeight="1">
      <c r="A4" s="426" t="s">
        <v>468</v>
      </c>
      <c r="B4" s="427">
        <f ca="1">ROUND(B2*10000/IF(B1="",'数据-汇总表'!D3,INDIRECT("'数据-取费表'!R"&amp;$K$1)),0)</f>
        <v>2446</v>
      </c>
      <c r="C4" s="428"/>
      <c r="D4" s="422"/>
      <c r="E4" s="422"/>
      <c r="F4" s="422"/>
      <c r="G4" s="422"/>
      <c r="H4" s="422"/>
      <c r="I4" s="422"/>
      <c r="J4" s="422"/>
      <c r="K4" s="422"/>
    </row>
    <row r="5" spans="1:31" s="2027" customFormat="1" ht="18" customHeight="1" thickBot="1">
      <c r="A5" s="429"/>
      <c r="B5" s="430">
        <f ca="1">ROUND(B2/(IF(B1="",'数据-汇总表'!D3,INDIRECT("'数据-取费表'!R"&amp;$K$1))/666.67),0)</f>
        <v>163</v>
      </c>
      <c r="C5" s="431" t="s">
        <v>469</v>
      </c>
      <c r="D5" s="422"/>
      <c r="E5" s="422"/>
      <c r="F5" s="422"/>
      <c r="G5" s="422"/>
      <c r="H5" s="422"/>
      <c r="I5" s="422"/>
      <c r="J5" s="422"/>
      <c r="K5" s="422"/>
    </row>
    <row r="6" spans="1:31" s="2097" customFormat="1" ht="16.5" customHeight="1">
      <c r="A6" s="2784" t="s">
        <v>1842</v>
      </c>
      <c r="B6" s="2785"/>
      <c r="C6" s="2786">
        <f ca="1">SUM(C10:K10)</f>
        <v>79793</v>
      </c>
      <c r="D6" s="2785"/>
      <c r="E6" s="2785"/>
      <c r="F6" s="2785"/>
      <c r="G6" s="2785"/>
      <c r="H6" s="2785"/>
      <c r="I6" s="2785"/>
      <c r="J6" s="2785"/>
      <c r="K6" s="2787"/>
    </row>
    <row r="7" spans="1:31" s="2099" customFormat="1" ht="15">
      <c r="A7" s="2788" t="s">
        <v>470</v>
      </c>
      <c r="B7" s="2789" t="s">
        <v>471</v>
      </c>
      <c r="C7" s="436" t="s">
        <v>3022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7803</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102255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79793</v>
      </c>
      <c r="D10" s="2982">
        <f>D9*D8/10000</f>
        <v>0</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22496</v>
      </c>
      <c r="D13" s="2800"/>
      <c r="E13" s="2801"/>
      <c r="F13" s="2802"/>
      <c r="G13" s="2768"/>
      <c r="H13" s="2769"/>
      <c r="I13" s="2769"/>
      <c r="J13" s="2769"/>
      <c r="K13" s="2770"/>
    </row>
    <row r="14" spans="1:31" s="2102" customFormat="1" ht="13.5" customHeight="1">
      <c r="A14" s="2798" t="s">
        <v>1849</v>
      </c>
      <c r="B14" s="2799" t="s">
        <v>480</v>
      </c>
      <c r="C14" s="53">
        <f ca="1">ROUND(C13*F14,0)</f>
        <v>675</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1534</v>
      </c>
      <c r="D16" s="2800">
        <f ca="1">IF(B1="",'数据-汇总表'!E3,INDIRECT("'数据-取费表'!K"&amp;$K$1)+INDIRECT("'数据-取费表'!S"&amp;$K$1))</f>
        <v>102255</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337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25042</v>
      </c>
      <c r="D18" s="2809"/>
      <c r="E18" s="468"/>
      <c r="F18" s="468"/>
      <c r="G18" s="2772" t="s">
        <v>2430</v>
      </c>
      <c r="H18" s="2773"/>
      <c r="I18" s="2773"/>
      <c r="J18" s="2773"/>
      <c r="K18" s="2774"/>
    </row>
    <row r="19" spans="1:14" s="2102" customFormat="1" ht="13.5" customHeight="1">
      <c r="A19" s="2806" t="s">
        <v>1854</v>
      </c>
      <c r="B19" s="2807" t="s">
        <v>488</v>
      </c>
      <c r="C19" s="2764">
        <f ca="1">ROUND(D19*E19/10000,0)</f>
        <v>716</v>
      </c>
      <c r="D19" s="2810">
        <f ca="1">D16</f>
        <v>102255</v>
      </c>
      <c r="E19" s="2764">
        <f>'数据-取费表'!B32</f>
        <v>70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1227</v>
      </c>
      <c r="D20" s="2810"/>
      <c r="E20" s="2764"/>
      <c r="F20" s="2811"/>
      <c r="G20" s="3039"/>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120</v>
      </c>
      <c r="F21" s="2803"/>
      <c r="G21" s="26"/>
      <c r="H21" s="51"/>
      <c r="I21" s="51"/>
      <c r="J21" s="51"/>
      <c r="K21" s="2775"/>
    </row>
    <row r="22" spans="1:14" s="2102" customFormat="1" ht="13.5" customHeight="1">
      <c r="A22" s="2798" t="s">
        <v>1857</v>
      </c>
      <c r="B22" s="2799" t="s">
        <v>492</v>
      </c>
      <c r="C22" s="53">
        <f ca="1">ROUND(D22*E22/10000,0)</f>
        <v>1227</v>
      </c>
      <c r="D22" s="2800">
        <f ca="1">IF(B1="",'数据-汇总表'!E6,IF(INDIRECT("'数据-取费表'!c"&amp;$K$1)="住宅",INDIRECT("'数据-取费表'!s"&amp;$K$1),INDIRECT("'数据-取费表'!k"&amp;$K$1)+INDIRECT("'数据-取费表'!s"&amp;$K$1)))</f>
        <v>102255</v>
      </c>
      <c r="E22" s="53">
        <f>'数据-取费表'!B28</f>
        <v>120</v>
      </c>
      <c r="F22" s="2803"/>
      <c r="G22" s="26"/>
      <c r="H22" s="51"/>
      <c r="I22" s="51"/>
      <c r="J22" s="51"/>
      <c r="K22" s="2775"/>
    </row>
    <row r="23" spans="1:14" s="2102" customFormat="1" ht="13.5" customHeight="1">
      <c r="A23" s="2806" t="s">
        <v>1858</v>
      </c>
      <c r="B23" s="2988" t="s">
        <v>2834</v>
      </c>
      <c r="C23" s="2808">
        <f ca="1">ROUND((C18+C19+C20)*F23,0)</f>
        <v>540</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1596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1383</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1383</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4180</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34684</v>
      </c>
      <c r="D30" s="477">
        <f ca="1">C32</f>
        <v>0.12909999999999999</v>
      </c>
      <c r="E30" s="469" t="s">
        <v>495</v>
      </c>
      <c r="F30" s="471"/>
      <c r="G30" s="2776" t="s">
        <v>2969</v>
      </c>
      <c r="H30" s="2769"/>
      <c r="I30" s="2769"/>
      <c r="J30" s="2769"/>
      <c r="K30" s="2770"/>
    </row>
    <row r="31" spans="1:14" s="2106" customFormat="1" ht="13.5" customHeight="1">
      <c r="A31" s="803" t="s">
        <v>1856</v>
      </c>
      <c r="B31" s="2814"/>
      <c r="C31" s="450">
        <f ca="1">C18+C19+C20+C23+C24+C26+C29</f>
        <v>34684</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5824</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1856</v>
      </c>
      <c r="B34" s="2819" t="s">
        <v>501</v>
      </c>
      <c r="C34" s="472">
        <f ca="1">ROUND((1+C25)*F33,4)</f>
        <v>0.20580000000000001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5824</v>
      </c>
      <c r="D35" s="1615"/>
      <c r="E35" s="2820"/>
      <c r="F35" s="1616"/>
      <c r="G35" s="2778"/>
      <c r="H35" s="2779"/>
      <c r="I35" s="2779"/>
      <c r="J35" s="2779"/>
      <c r="K35" s="2780"/>
    </row>
    <row r="36" spans="1:11" s="2071" customFormat="1" ht="13.5" customHeight="1" thickBot="1">
      <c r="A36" s="284" t="s">
        <v>1844</v>
      </c>
      <c r="B36" s="2782"/>
      <c r="C36" s="2821">
        <f ca="1">ROUND((C6-C30-C33)/(1+D30+D33),0)</f>
        <v>29429</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8"/>
  <sheetViews>
    <sheetView tabSelected="1" zoomScaleNormal="100" workbookViewId="0">
      <selection activeCell="A2" sqref="A2:H4"/>
    </sheetView>
  </sheetViews>
  <sheetFormatPr defaultRowHeight="13.5"/>
  <sheetData>
    <row r="2" spans="1:14">
      <c r="A2" s="3183" t="s">
        <v>2995</v>
      </c>
      <c r="B2" s="3183" t="s">
        <v>2996</v>
      </c>
      <c r="C2" s="3183" t="s">
        <v>2997</v>
      </c>
      <c r="D2" s="3183" t="s">
        <v>2998</v>
      </c>
      <c r="E2" s="3183" t="s">
        <v>3080</v>
      </c>
      <c r="F2" s="3183" t="s">
        <v>3081</v>
      </c>
      <c r="G2" s="3183" t="s">
        <v>3082</v>
      </c>
      <c r="H2" s="3183" t="s">
        <v>3083</v>
      </c>
      <c r="J2" s="3183" t="s">
        <v>3092</v>
      </c>
    </row>
    <row r="3" spans="1:14">
      <c r="A3" s="3183" t="s">
        <v>3078</v>
      </c>
      <c r="B3">
        <v>120300.2</v>
      </c>
      <c r="C3">
        <v>102255</v>
      </c>
      <c r="D3">
        <v>0.85</v>
      </c>
      <c r="E3">
        <f ca="1">结果表!G20</f>
        <v>1860</v>
      </c>
      <c r="F3" s="3183">
        <v>1</v>
      </c>
      <c r="G3">
        <f ca="1">ROUND(E3*F3,0)</f>
        <v>1860</v>
      </c>
      <c r="H3">
        <f ca="1">ROUND(G3*C3/10000,0)</f>
        <v>19019</v>
      </c>
      <c r="J3">
        <f ca="1">ROUND(H3/B3*666.67,0)</f>
        <v>105</v>
      </c>
    </row>
    <row r="4" spans="1:14">
      <c r="A4" s="3183" t="s">
        <v>3079</v>
      </c>
      <c r="B4">
        <v>30000</v>
      </c>
      <c r="C4">
        <v>25500</v>
      </c>
      <c r="D4">
        <v>0.85</v>
      </c>
      <c r="E4">
        <f ca="1">E3</f>
        <v>1860</v>
      </c>
      <c r="F4">
        <v>0.92</v>
      </c>
      <c r="G4">
        <f ca="1">ROUND(E4*F4,0)</f>
        <v>1711</v>
      </c>
      <c r="H4">
        <f ca="1">ROUND(G4*C4/10000,0)</f>
        <v>4363</v>
      </c>
      <c r="J4">
        <f t="shared" ref="J4" ca="1" si="0">ROUND(H4/B4*666.67,0)</f>
        <v>97</v>
      </c>
      <c r="K4">
        <f>C3/3</f>
        <v>34085</v>
      </c>
      <c r="M4">
        <v>12000</v>
      </c>
      <c r="N4">
        <v>1</v>
      </c>
    </row>
    <row r="5" spans="1:14">
      <c r="D5">
        <f>D3/0.6</f>
        <v>1.4166666666666667</v>
      </c>
      <c r="H5">
        <f ca="1">H3+H4</f>
        <v>23382</v>
      </c>
      <c r="M5">
        <f>M4*N5</f>
        <v>7200</v>
      </c>
      <c r="N5">
        <v>0.6</v>
      </c>
    </row>
    <row r="6" spans="1:14">
      <c r="E6">
        <v>3</v>
      </c>
      <c r="M6">
        <f>M4*N6</f>
        <v>6000</v>
      </c>
      <c r="N6">
        <v>0.5</v>
      </c>
    </row>
    <row r="7" spans="1:14">
      <c r="M7">
        <v>8400</v>
      </c>
    </row>
    <row r="39" spans="1:4">
      <c r="B39" s="3183" t="s">
        <v>3084</v>
      </c>
      <c r="C39" s="3183" t="s">
        <v>3085</v>
      </c>
    </row>
    <row r="40" spans="1:4">
      <c r="A40">
        <v>610</v>
      </c>
      <c r="B40">
        <v>78.53</v>
      </c>
      <c r="C40">
        <v>181</v>
      </c>
    </row>
    <row r="41" spans="1:4">
      <c r="A41">
        <v>609</v>
      </c>
      <c r="B41">
        <v>158.38</v>
      </c>
      <c r="C41">
        <v>760.11990000000003</v>
      </c>
    </row>
    <row r="42" spans="1:4">
      <c r="A42">
        <v>608</v>
      </c>
      <c r="B42">
        <v>140.22999999999999</v>
      </c>
      <c r="C42">
        <v>2179.67</v>
      </c>
    </row>
    <row r="43" spans="1:4">
      <c r="A43">
        <v>612</v>
      </c>
      <c r="B43">
        <v>78.53</v>
      </c>
    </row>
    <row r="44" spans="1:4">
      <c r="A44">
        <v>613</v>
      </c>
      <c r="B44">
        <v>158.38</v>
      </c>
    </row>
    <row r="45" spans="1:4">
      <c r="A45">
        <v>615</v>
      </c>
      <c r="B45">
        <v>132.72999999999999</v>
      </c>
    </row>
    <row r="46" spans="1:4">
      <c r="A46">
        <v>611</v>
      </c>
      <c r="B46">
        <v>119.78</v>
      </c>
    </row>
    <row r="47" spans="1:4">
      <c r="B47">
        <f>SUM(B40:B46)</f>
        <v>866.56</v>
      </c>
      <c r="C47">
        <f>SUM(C40:C46)</f>
        <v>3120.7899000000002</v>
      </c>
      <c r="D47">
        <f>ROUND(4*B47,0)</f>
        <v>3466</v>
      </c>
    </row>
    <row r="48" spans="1:4">
      <c r="D48">
        <f>3500/B47</f>
        <v>4.0389586410635161</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topLeftCell="G1" workbookViewId="0">
      <selection activeCell="M13" sqref="M13"/>
    </sheetView>
  </sheetViews>
  <sheetFormatPr defaultRowHeight="13.5"/>
  <cols>
    <col min="1" max="1" width="43.375" style="3184" customWidth="1"/>
    <col min="2" max="2" width="6.25" style="3184" customWidth="1"/>
    <col min="3" max="5" width="13.875" style="3184" customWidth="1"/>
    <col min="6" max="7" width="10.75" style="3184" customWidth="1"/>
    <col min="8" max="8" width="7.5" style="3184" customWidth="1"/>
    <col min="9" max="9" width="7.875" style="3184" customWidth="1"/>
    <col min="10" max="10" width="9" style="3184" customWidth="1"/>
    <col min="11" max="13" width="10.625" style="3184" customWidth="1"/>
    <col min="14" max="14" width="10.625" style="3199" customWidth="1"/>
    <col min="15" max="15" width="8.875" style="3184" customWidth="1"/>
    <col min="16" max="16" width="18.5" style="3184" customWidth="1"/>
    <col min="17" max="17" width="6.25" style="3184" customWidth="1"/>
    <col min="18" max="18" width="32.25" style="3184" customWidth="1"/>
    <col min="19" max="19" width="7.875" style="3184" customWidth="1"/>
    <col min="20" max="261" width="9" style="3184"/>
    <col min="262" max="262" width="73.125" style="3184" customWidth="1"/>
    <col min="263" max="263" width="6.25" style="3184" customWidth="1"/>
    <col min="264" max="266" width="13.875" style="3184" customWidth="1"/>
    <col min="267" max="267" width="131.625" style="3184" customWidth="1"/>
    <col min="268" max="268" width="7.875" style="3184" customWidth="1"/>
    <col min="269" max="269" width="9" style="3184" customWidth="1"/>
    <col min="270" max="271" width="10.625" style="3184" customWidth="1"/>
    <col min="272" max="272" width="14.375" style="3184" customWidth="1"/>
    <col min="273" max="273" width="6.25" style="3184" customWidth="1"/>
    <col min="274" max="274" width="62.25" style="3184" customWidth="1"/>
    <col min="275" max="275" width="7.875" style="3184" customWidth="1"/>
    <col min="276" max="517" width="9" style="3184"/>
    <col min="518" max="518" width="73.125" style="3184" customWidth="1"/>
    <col min="519" max="519" width="6.25" style="3184" customWidth="1"/>
    <col min="520" max="522" width="13.875" style="3184" customWidth="1"/>
    <col min="523" max="523" width="131.625" style="3184" customWidth="1"/>
    <col min="524" max="524" width="7.875" style="3184" customWidth="1"/>
    <col min="525" max="525" width="9" style="3184" customWidth="1"/>
    <col min="526" max="527" width="10.625" style="3184" customWidth="1"/>
    <col min="528" max="528" width="14.375" style="3184" customWidth="1"/>
    <col min="529" max="529" width="6.25" style="3184" customWidth="1"/>
    <col min="530" max="530" width="62.25" style="3184" customWidth="1"/>
    <col min="531" max="531" width="7.875" style="3184" customWidth="1"/>
    <col min="532" max="773" width="9" style="3184"/>
    <col min="774" max="774" width="73.125" style="3184" customWidth="1"/>
    <col min="775" max="775" width="6.25" style="3184" customWidth="1"/>
    <col min="776" max="778" width="13.875" style="3184" customWidth="1"/>
    <col min="779" max="779" width="131.625" style="3184" customWidth="1"/>
    <col min="780" max="780" width="7.875" style="3184" customWidth="1"/>
    <col min="781" max="781" width="9" style="3184" customWidth="1"/>
    <col min="782" max="783" width="10.625" style="3184" customWidth="1"/>
    <col min="784" max="784" width="14.375" style="3184" customWidth="1"/>
    <col min="785" max="785" width="6.25" style="3184" customWidth="1"/>
    <col min="786" max="786" width="62.25" style="3184" customWidth="1"/>
    <col min="787" max="787" width="7.875" style="3184" customWidth="1"/>
    <col min="788" max="1029" width="9" style="3184"/>
    <col min="1030" max="1030" width="73.125" style="3184" customWidth="1"/>
    <col min="1031" max="1031" width="6.25" style="3184" customWidth="1"/>
    <col min="1032" max="1034" width="13.875" style="3184" customWidth="1"/>
    <col min="1035" max="1035" width="131.625" style="3184" customWidth="1"/>
    <col min="1036" max="1036" width="7.875" style="3184" customWidth="1"/>
    <col min="1037" max="1037" width="9" style="3184" customWidth="1"/>
    <col min="1038" max="1039" width="10.625" style="3184" customWidth="1"/>
    <col min="1040" max="1040" width="14.375" style="3184" customWidth="1"/>
    <col min="1041" max="1041" width="6.25" style="3184" customWidth="1"/>
    <col min="1042" max="1042" width="62.25" style="3184" customWidth="1"/>
    <col min="1043" max="1043" width="7.875" style="3184" customWidth="1"/>
    <col min="1044" max="1285" width="9" style="3184"/>
    <col min="1286" max="1286" width="73.125" style="3184" customWidth="1"/>
    <col min="1287" max="1287" width="6.25" style="3184" customWidth="1"/>
    <col min="1288" max="1290" width="13.875" style="3184" customWidth="1"/>
    <col min="1291" max="1291" width="131.625" style="3184" customWidth="1"/>
    <col min="1292" max="1292" width="7.875" style="3184" customWidth="1"/>
    <col min="1293" max="1293" width="9" style="3184" customWidth="1"/>
    <col min="1294" max="1295" width="10.625" style="3184" customWidth="1"/>
    <col min="1296" max="1296" width="14.375" style="3184" customWidth="1"/>
    <col min="1297" max="1297" width="6.25" style="3184" customWidth="1"/>
    <col min="1298" max="1298" width="62.25" style="3184" customWidth="1"/>
    <col min="1299" max="1299" width="7.875" style="3184" customWidth="1"/>
    <col min="1300" max="1541" width="9" style="3184"/>
    <col min="1542" max="1542" width="73.125" style="3184" customWidth="1"/>
    <col min="1543" max="1543" width="6.25" style="3184" customWidth="1"/>
    <col min="1544" max="1546" width="13.875" style="3184" customWidth="1"/>
    <col min="1547" max="1547" width="131.625" style="3184" customWidth="1"/>
    <col min="1548" max="1548" width="7.875" style="3184" customWidth="1"/>
    <col min="1549" max="1549" width="9" style="3184" customWidth="1"/>
    <col min="1550" max="1551" width="10.625" style="3184" customWidth="1"/>
    <col min="1552" max="1552" width="14.375" style="3184" customWidth="1"/>
    <col min="1553" max="1553" width="6.25" style="3184" customWidth="1"/>
    <col min="1554" max="1554" width="62.25" style="3184" customWidth="1"/>
    <col min="1555" max="1555" width="7.875" style="3184" customWidth="1"/>
    <col min="1556" max="1797" width="9" style="3184"/>
    <col min="1798" max="1798" width="73.125" style="3184" customWidth="1"/>
    <col min="1799" max="1799" width="6.25" style="3184" customWidth="1"/>
    <col min="1800" max="1802" width="13.875" style="3184" customWidth="1"/>
    <col min="1803" max="1803" width="131.625" style="3184" customWidth="1"/>
    <col min="1804" max="1804" width="7.875" style="3184" customWidth="1"/>
    <col min="1805" max="1805" width="9" style="3184" customWidth="1"/>
    <col min="1806" max="1807" width="10.625" style="3184" customWidth="1"/>
    <col min="1808" max="1808" width="14.375" style="3184" customWidth="1"/>
    <col min="1809" max="1809" width="6.25" style="3184" customWidth="1"/>
    <col min="1810" max="1810" width="62.25" style="3184" customWidth="1"/>
    <col min="1811" max="1811" width="7.875" style="3184" customWidth="1"/>
    <col min="1812" max="2053" width="9" style="3184"/>
    <col min="2054" max="2054" width="73.125" style="3184" customWidth="1"/>
    <col min="2055" max="2055" width="6.25" style="3184" customWidth="1"/>
    <col min="2056" max="2058" width="13.875" style="3184" customWidth="1"/>
    <col min="2059" max="2059" width="131.625" style="3184" customWidth="1"/>
    <col min="2060" max="2060" width="7.875" style="3184" customWidth="1"/>
    <col min="2061" max="2061" width="9" style="3184" customWidth="1"/>
    <col min="2062" max="2063" width="10.625" style="3184" customWidth="1"/>
    <col min="2064" max="2064" width="14.375" style="3184" customWidth="1"/>
    <col min="2065" max="2065" width="6.25" style="3184" customWidth="1"/>
    <col min="2066" max="2066" width="62.25" style="3184" customWidth="1"/>
    <col min="2067" max="2067" width="7.875" style="3184" customWidth="1"/>
    <col min="2068" max="2309" width="9" style="3184"/>
    <col min="2310" max="2310" width="73.125" style="3184" customWidth="1"/>
    <col min="2311" max="2311" width="6.25" style="3184" customWidth="1"/>
    <col min="2312" max="2314" width="13.875" style="3184" customWidth="1"/>
    <col min="2315" max="2315" width="131.625" style="3184" customWidth="1"/>
    <col min="2316" max="2316" width="7.875" style="3184" customWidth="1"/>
    <col min="2317" max="2317" width="9" style="3184" customWidth="1"/>
    <col min="2318" max="2319" width="10.625" style="3184" customWidth="1"/>
    <col min="2320" max="2320" width="14.375" style="3184" customWidth="1"/>
    <col min="2321" max="2321" width="6.25" style="3184" customWidth="1"/>
    <col min="2322" max="2322" width="62.25" style="3184" customWidth="1"/>
    <col min="2323" max="2323" width="7.875" style="3184" customWidth="1"/>
    <col min="2324" max="2565" width="9" style="3184"/>
    <col min="2566" max="2566" width="73.125" style="3184" customWidth="1"/>
    <col min="2567" max="2567" width="6.25" style="3184" customWidth="1"/>
    <col min="2568" max="2570" width="13.875" style="3184" customWidth="1"/>
    <col min="2571" max="2571" width="131.625" style="3184" customWidth="1"/>
    <col min="2572" max="2572" width="7.875" style="3184" customWidth="1"/>
    <col min="2573" max="2573" width="9" style="3184" customWidth="1"/>
    <col min="2574" max="2575" width="10.625" style="3184" customWidth="1"/>
    <col min="2576" max="2576" width="14.375" style="3184" customWidth="1"/>
    <col min="2577" max="2577" width="6.25" style="3184" customWidth="1"/>
    <col min="2578" max="2578" width="62.25" style="3184" customWidth="1"/>
    <col min="2579" max="2579" width="7.875" style="3184" customWidth="1"/>
    <col min="2580" max="2821" width="9" style="3184"/>
    <col min="2822" max="2822" width="73.125" style="3184" customWidth="1"/>
    <col min="2823" max="2823" width="6.25" style="3184" customWidth="1"/>
    <col min="2824" max="2826" width="13.875" style="3184" customWidth="1"/>
    <col min="2827" max="2827" width="131.625" style="3184" customWidth="1"/>
    <col min="2828" max="2828" width="7.875" style="3184" customWidth="1"/>
    <col min="2829" max="2829" width="9" style="3184" customWidth="1"/>
    <col min="2830" max="2831" width="10.625" style="3184" customWidth="1"/>
    <col min="2832" max="2832" width="14.375" style="3184" customWidth="1"/>
    <col min="2833" max="2833" width="6.25" style="3184" customWidth="1"/>
    <col min="2834" max="2834" width="62.25" style="3184" customWidth="1"/>
    <col min="2835" max="2835" width="7.875" style="3184" customWidth="1"/>
    <col min="2836" max="3077" width="9" style="3184"/>
    <col min="3078" max="3078" width="73.125" style="3184" customWidth="1"/>
    <col min="3079" max="3079" width="6.25" style="3184" customWidth="1"/>
    <col min="3080" max="3082" width="13.875" style="3184" customWidth="1"/>
    <col min="3083" max="3083" width="131.625" style="3184" customWidth="1"/>
    <col min="3084" max="3084" width="7.875" style="3184" customWidth="1"/>
    <col min="3085" max="3085" width="9" style="3184" customWidth="1"/>
    <col min="3086" max="3087" width="10.625" style="3184" customWidth="1"/>
    <col min="3088" max="3088" width="14.375" style="3184" customWidth="1"/>
    <col min="3089" max="3089" width="6.25" style="3184" customWidth="1"/>
    <col min="3090" max="3090" width="62.25" style="3184" customWidth="1"/>
    <col min="3091" max="3091" width="7.875" style="3184" customWidth="1"/>
    <col min="3092" max="3333" width="9" style="3184"/>
    <col min="3334" max="3334" width="73.125" style="3184" customWidth="1"/>
    <col min="3335" max="3335" width="6.25" style="3184" customWidth="1"/>
    <col min="3336" max="3338" width="13.875" style="3184" customWidth="1"/>
    <col min="3339" max="3339" width="131.625" style="3184" customWidth="1"/>
    <col min="3340" max="3340" width="7.875" style="3184" customWidth="1"/>
    <col min="3341" max="3341" width="9" style="3184" customWidth="1"/>
    <col min="3342" max="3343" width="10.625" style="3184" customWidth="1"/>
    <col min="3344" max="3344" width="14.375" style="3184" customWidth="1"/>
    <col min="3345" max="3345" width="6.25" style="3184" customWidth="1"/>
    <col min="3346" max="3346" width="62.25" style="3184" customWidth="1"/>
    <col min="3347" max="3347" width="7.875" style="3184" customWidth="1"/>
    <col min="3348" max="3589" width="9" style="3184"/>
    <col min="3590" max="3590" width="73.125" style="3184" customWidth="1"/>
    <col min="3591" max="3591" width="6.25" style="3184" customWidth="1"/>
    <col min="3592" max="3594" width="13.875" style="3184" customWidth="1"/>
    <col min="3595" max="3595" width="131.625" style="3184" customWidth="1"/>
    <col min="3596" max="3596" width="7.875" style="3184" customWidth="1"/>
    <col min="3597" max="3597" width="9" style="3184" customWidth="1"/>
    <col min="3598" max="3599" width="10.625" style="3184" customWidth="1"/>
    <col min="3600" max="3600" width="14.375" style="3184" customWidth="1"/>
    <col min="3601" max="3601" width="6.25" style="3184" customWidth="1"/>
    <col min="3602" max="3602" width="62.25" style="3184" customWidth="1"/>
    <col min="3603" max="3603" width="7.875" style="3184" customWidth="1"/>
    <col min="3604" max="3845" width="9" style="3184"/>
    <col min="3846" max="3846" width="73.125" style="3184" customWidth="1"/>
    <col min="3847" max="3847" width="6.25" style="3184" customWidth="1"/>
    <col min="3848" max="3850" width="13.875" style="3184" customWidth="1"/>
    <col min="3851" max="3851" width="131.625" style="3184" customWidth="1"/>
    <col min="3852" max="3852" width="7.875" style="3184" customWidth="1"/>
    <col min="3853" max="3853" width="9" style="3184" customWidth="1"/>
    <col min="3854" max="3855" width="10.625" style="3184" customWidth="1"/>
    <col min="3856" max="3856" width="14.375" style="3184" customWidth="1"/>
    <col min="3857" max="3857" width="6.25" style="3184" customWidth="1"/>
    <col min="3858" max="3858" width="62.25" style="3184" customWidth="1"/>
    <col min="3859" max="3859" width="7.875" style="3184" customWidth="1"/>
    <col min="3860" max="4101" width="9" style="3184"/>
    <col min="4102" max="4102" width="73.125" style="3184" customWidth="1"/>
    <col min="4103" max="4103" width="6.25" style="3184" customWidth="1"/>
    <col min="4104" max="4106" width="13.875" style="3184" customWidth="1"/>
    <col min="4107" max="4107" width="131.625" style="3184" customWidth="1"/>
    <col min="4108" max="4108" width="7.875" style="3184" customWidth="1"/>
    <col min="4109" max="4109" width="9" style="3184" customWidth="1"/>
    <col min="4110" max="4111" width="10.625" style="3184" customWidth="1"/>
    <col min="4112" max="4112" width="14.375" style="3184" customWidth="1"/>
    <col min="4113" max="4113" width="6.25" style="3184" customWidth="1"/>
    <col min="4114" max="4114" width="62.25" style="3184" customWidth="1"/>
    <col min="4115" max="4115" width="7.875" style="3184" customWidth="1"/>
    <col min="4116" max="4357" width="9" style="3184"/>
    <col min="4358" max="4358" width="73.125" style="3184" customWidth="1"/>
    <col min="4359" max="4359" width="6.25" style="3184" customWidth="1"/>
    <col min="4360" max="4362" width="13.875" style="3184" customWidth="1"/>
    <col min="4363" max="4363" width="131.625" style="3184" customWidth="1"/>
    <col min="4364" max="4364" width="7.875" style="3184" customWidth="1"/>
    <col min="4365" max="4365" width="9" style="3184" customWidth="1"/>
    <col min="4366" max="4367" width="10.625" style="3184" customWidth="1"/>
    <col min="4368" max="4368" width="14.375" style="3184" customWidth="1"/>
    <col min="4369" max="4369" width="6.25" style="3184" customWidth="1"/>
    <col min="4370" max="4370" width="62.25" style="3184" customWidth="1"/>
    <col min="4371" max="4371" width="7.875" style="3184" customWidth="1"/>
    <col min="4372" max="4613" width="9" style="3184"/>
    <col min="4614" max="4614" width="73.125" style="3184" customWidth="1"/>
    <col min="4615" max="4615" width="6.25" style="3184" customWidth="1"/>
    <col min="4616" max="4618" width="13.875" style="3184" customWidth="1"/>
    <col min="4619" max="4619" width="131.625" style="3184" customWidth="1"/>
    <col min="4620" max="4620" width="7.875" style="3184" customWidth="1"/>
    <col min="4621" max="4621" width="9" style="3184" customWidth="1"/>
    <col min="4622" max="4623" width="10.625" style="3184" customWidth="1"/>
    <col min="4624" max="4624" width="14.375" style="3184" customWidth="1"/>
    <col min="4625" max="4625" width="6.25" style="3184" customWidth="1"/>
    <col min="4626" max="4626" width="62.25" style="3184" customWidth="1"/>
    <col min="4627" max="4627" width="7.875" style="3184" customWidth="1"/>
    <col min="4628" max="4869" width="9" style="3184"/>
    <col min="4870" max="4870" width="73.125" style="3184" customWidth="1"/>
    <col min="4871" max="4871" width="6.25" style="3184" customWidth="1"/>
    <col min="4872" max="4874" width="13.875" style="3184" customWidth="1"/>
    <col min="4875" max="4875" width="131.625" style="3184" customWidth="1"/>
    <col min="4876" max="4876" width="7.875" style="3184" customWidth="1"/>
    <col min="4877" max="4877" width="9" style="3184" customWidth="1"/>
    <col min="4878" max="4879" width="10.625" style="3184" customWidth="1"/>
    <col min="4880" max="4880" width="14.375" style="3184" customWidth="1"/>
    <col min="4881" max="4881" width="6.25" style="3184" customWidth="1"/>
    <col min="4882" max="4882" width="62.25" style="3184" customWidth="1"/>
    <col min="4883" max="4883" width="7.875" style="3184" customWidth="1"/>
    <col min="4884" max="5125" width="9" style="3184"/>
    <col min="5126" max="5126" width="73.125" style="3184" customWidth="1"/>
    <col min="5127" max="5127" width="6.25" style="3184" customWidth="1"/>
    <col min="5128" max="5130" width="13.875" style="3184" customWidth="1"/>
    <col min="5131" max="5131" width="131.625" style="3184" customWidth="1"/>
    <col min="5132" max="5132" width="7.875" style="3184" customWidth="1"/>
    <col min="5133" max="5133" width="9" style="3184" customWidth="1"/>
    <col min="5134" max="5135" width="10.625" style="3184" customWidth="1"/>
    <col min="5136" max="5136" width="14.375" style="3184" customWidth="1"/>
    <col min="5137" max="5137" width="6.25" style="3184" customWidth="1"/>
    <col min="5138" max="5138" width="62.25" style="3184" customWidth="1"/>
    <col min="5139" max="5139" width="7.875" style="3184" customWidth="1"/>
    <col min="5140" max="5381" width="9" style="3184"/>
    <col min="5382" max="5382" width="73.125" style="3184" customWidth="1"/>
    <col min="5383" max="5383" width="6.25" style="3184" customWidth="1"/>
    <col min="5384" max="5386" width="13.875" style="3184" customWidth="1"/>
    <col min="5387" max="5387" width="131.625" style="3184" customWidth="1"/>
    <col min="5388" max="5388" width="7.875" style="3184" customWidth="1"/>
    <col min="5389" max="5389" width="9" style="3184" customWidth="1"/>
    <col min="5390" max="5391" width="10.625" style="3184" customWidth="1"/>
    <col min="5392" max="5392" width="14.375" style="3184" customWidth="1"/>
    <col min="5393" max="5393" width="6.25" style="3184" customWidth="1"/>
    <col min="5394" max="5394" width="62.25" style="3184" customWidth="1"/>
    <col min="5395" max="5395" width="7.875" style="3184" customWidth="1"/>
    <col min="5396" max="5637" width="9" style="3184"/>
    <col min="5638" max="5638" width="73.125" style="3184" customWidth="1"/>
    <col min="5639" max="5639" width="6.25" style="3184" customWidth="1"/>
    <col min="5640" max="5642" width="13.875" style="3184" customWidth="1"/>
    <col min="5643" max="5643" width="131.625" style="3184" customWidth="1"/>
    <col min="5644" max="5644" width="7.875" style="3184" customWidth="1"/>
    <col min="5645" max="5645" width="9" style="3184" customWidth="1"/>
    <col min="5646" max="5647" width="10.625" style="3184" customWidth="1"/>
    <col min="5648" max="5648" width="14.375" style="3184" customWidth="1"/>
    <col min="5649" max="5649" width="6.25" style="3184" customWidth="1"/>
    <col min="5650" max="5650" width="62.25" style="3184" customWidth="1"/>
    <col min="5651" max="5651" width="7.875" style="3184" customWidth="1"/>
    <col min="5652" max="5893" width="9" style="3184"/>
    <col min="5894" max="5894" width="73.125" style="3184" customWidth="1"/>
    <col min="5895" max="5895" width="6.25" style="3184" customWidth="1"/>
    <col min="5896" max="5898" width="13.875" style="3184" customWidth="1"/>
    <col min="5899" max="5899" width="131.625" style="3184" customWidth="1"/>
    <col min="5900" max="5900" width="7.875" style="3184" customWidth="1"/>
    <col min="5901" max="5901" width="9" style="3184" customWidth="1"/>
    <col min="5902" max="5903" width="10.625" style="3184" customWidth="1"/>
    <col min="5904" max="5904" width="14.375" style="3184" customWidth="1"/>
    <col min="5905" max="5905" width="6.25" style="3184" customWidth="1"/>
    <col min="5906" max="5906" width="62.25" style="3184" customWidth="1"/>
    <col min="5907" max="5907" width="7.875" style="3184" customWidth="1"/>
    <col min="5908" max="6149" width="9" style="3184"/>
    <col min="6150" max="6150" width="73.125" style="3184" customWidth="1"/>
    <col min="6151" max="6151" width="6.25" style="3184" customWidth="1"/>
    <col min="6152" max="6154" width="13.875" style="3184" customWidth="1"/>
    <col min="6155" max="6155" width="131.625" style="3184" customWidth="1"/>
    <col min="6156" max="6156" width="7.875" style="3184" customWidth="1"/>
    <col min="6157" max="6157" width="9" style="3184" customWidth="1"/>
    <col min="6158" max="6159" width="10.625" style="3184" customWidth="1"/>
    <col min="6160" max="6160" width="14.375" style="3184" customWidth="1"/>
    <col min="6161" max="6161" width="6.25" style="3184" customWidth="1"/>
    <col min="6162" max="6162" width="62.25" style="3184" customWidth="1"/>
    <col min="6163" max="6163" width="7.875" style="3184" customWidth="1"/>
    <col min="6164" max="6405" width="9" style="3184"/>
    <col min="6406" max="6406" width="73.125" style="3184" customWidth="1"/>
    <col min="6407" max="6407" width="6.25" style="3184" customWidth="1"/>
    <col min="6408" max="6410" width="13.875" style="3184" customWidth="1"/>
    <col min="6411" max="6411" width="131.625" style="3184" customWidth="1"/>
    <col min="6412" max="6412" width="7.875" style="3184" customWidth="1"/>
    <col min="6413" max="6413" width="9" style="3184" customWidth="1"/>
    <col min="6414" max="6415" width="10.625" style="3184" customWidth="1"/>
    <col min="6416" max="6416" width="14.375" style="3184" customWidth="1"/>
    <col min="6417" max="6417" width="6.25" style="3184" customWidth="1"/>
    <col min="6418" max="6418" width="62.25" style="3184" customWidth="1"/>
    <col min="6419" max="6419" width="7.875" style="3184" customWidth="1"/>
    <col min="6420" max="6661" width="9" style="3184"/>
    <col min="6662" max="6662" width="73.125" style="3184" customWidth="1"/>
    <col min="6663" max="6663" width="6.25" style="3184" customWidth="1"/>
    <col min="6664" max="6666" width="13.875" style="3184" customWidth="1"/>
    <col min="6667" max="6667" width="131.625" style="3184" customWidth="1"/>
    <col min="6668" max="6668" width="7.875" style="3184" customWidth="1"/>
    <col min="6669" max="6669" width="9" style="3184" customWidth="1"/>
    <col min="6670" max="6671" width="10.625" style="3184" customWidth="1"/>
    <col min="6672" max="6672" width="14.375" style="3184" customWidth="1"/>
    <col min="6673" max="6673" width="6.25" style="3184" customWidth="1"/>
    <col min="6674" max="6674" width="62.25" style="3184" customWidth="1"/>
    <col min="6675" max="6675" width="7.875" style="3184" customWidth="1"/>
    <col min="6676" max="6917" width="9" style="3184"/>
    <col min="6918" max="6918" width="73.125" style="3184" customWidth="1"/>
    <col min="6919" max="6919" width="6.25" style="3184" customWidth="1"/>
    <col min="6920" max="6922" width="13.875" style="3184" customWidth="1"/>
    <col min="6923" max="6923" width="131.625" style="3184" customWidth="1"/>
    <col min="6924" max="6924" width="7.875" style="3184" customWidth="1"/>
    <col min="6925" max="6925" width="9" style="3184" customWidth="1"/>
    <col min="6926" max="6927" width="10.625" style="3184" customWidth="1"/>
    <col min="6928" max="6928" width="14.375" style="3184" customWidth="1"/>
    <col min="6929" max="6929" width="6.25" style="3184" customWidth="1"/>
    <col min="6930" max="6930" width="62.25" style="3184" customWidth="1"/>
    <col min="6931" max="6931" width="7.875" style="3184" customWidth="1"/>
    <col min="6932" max="7173" width="9" style="3184"/>
    <col min="7174" max="7174" width="73.125" style="3184" customWidth="1"/>
    <col min="7175" max="7175" width="6.25" style="3184" customWidth="1"/>
    <col min="7176" max="7178" width="13.875" style="3184" customWidth="1"/>
    <col min="7179" max="7179" width="131.625" style="3184" customWidth="1"/>
    <col min="7180" max="7180" width="7.875" style="3184" customWidth="1"/>
    <col min="7181" max="7181" width="9" style="3184" customWidth="1"/>
    <col min="7182" max="7183" width="10.625" style="3184" customWidth="1"/>
    <col min="7184" max="7184" width="14.375" style="3184" customWidth="1"/>
    <col min="7185" max="7185" width="6.25" style="3184" customWidth="1"/>
    <col min="7186" max="7186" width="62.25" style="3184" customWidth="1"/>
    <col min="7187" max="7187" width="7.875" style="3184" customWidth="1"/>
    <col min="7188" max="7429" width="9" style="3184"/>
    <col min="7430" max="7430" width="73.125" style="3184" customWidth="1"/>
    <col min="7431" max="7431" width="6.25" style="3184" customWidth="1"/>
    <col min="7432" max="7434" width="13.875" style="3184" customWidth="1"/>
    <col min="7435" max="7435" width="131.625" style="3184" customWidth="1"/>
    <col min="7436" max="7436" width="7.875" style="3184" customWidth="1"/>
    <col min="7437" max="7437" width="9" style="3184" customWidth="1"/>
    <col min="7438" max="7439" width="10.625" style="3184" customWidth="1"/>
    <col min="7440" max="7440" width="14.375" style="3184" customWidth="1"/>
    <col min="7441" max="7441" width="6.25" style="3184" customWidth="1"/>
    <col min="7442" max="7442" width="62.25" style="3184" customWidth="1"/>
    <col min="7443" max="7443" width="7.875" style="3184" customWidth="1"/>
    <col min="7444" max="7685" width="9" style="3184"/>
    <col min="7686" max="7686" width="73.125" style="3184" customWidth="1"/>
    <col min="7687" max="7687" width="6.25" style="3184" customWidth="1"/>
    <col min="7688" max="7690" width="13.875" style="3184" customWidth="1"/>
    <col min="7691" max="7691" width="131.625" style="3184" customWidth="1"/>
    <col min="7692" max="7692" width="7.875" style="3184" customWidth="1"/>
    <col min="7693" max="7693" width="9" style="3184" customWidth="1"/>
    <col min="7694" max="7695" width="10.625" style="3184" customWidth="1"/>
    <col min="7696" max="7696" width="14.375" style="3184" customWidth="1"/>
    <col min="7697" max="7697" width="6.25" style="3184" customWidth="1"/>
    <col min="7698" max="7698" width="62.25" style="3184" customWidth="1"/>
    <col min="7699" max="7699" width="7.875" style="3184" customWidth="1"/>
    <col min="7700" max="7941" width="9" style="3184"/>
    <col min="7942" max="7942" width="73.125" style="3184" customWidth="1"/>
    <col min="7943" max="7943" width="6.25" style="3184" customWidth="1"/>
    <col min="7944" max="7946" width="13.875" style="3184" customWidth="1"/>
    <col min="7947" max="7947" width="131.625" style="3184" customWidth="1"/>
    <col min="7948" max="7948" width="7.875" style="3184" customWidth="1"/>
    <col min="7949" max="7949" width="9" style="3184" customWidth="1"/>
    <col min="7950" max="7951" width="10.625" style="3184" customWidth="1"/>
    <col min="7952" max="7952" width="14.375" style="3184" customWidth="1"/>
    <col min="7953" max="7953" width="6.25" style="3184" customWidth="1"/>
    <col min="7954" max="7954" width="62.25" style="3184" customWidth="1"/>
    <col min="7955" max="7955" width="7.875" style="3184" customWidth="1"/>
    <col min="7956" max="8197" width="9" style="3184"/>
    <col min="8198" max="8198" width="73.125" style="3184" customWidth="1"/>
    <col min="8199" max="8199" width="6.25" style="3184" customWidth="1"/>
    <col min="8200" max="8202" width="13.875" style="3184" customWidth="1"/>
    <col min="8203" max="8203" width="131.625" style="3184" customWidth="1"/>
    <col min="8204" max="8204" width="7.875" style="3184" customWidth="1"/>
    <col min="8205" max="8205" width="9" style="3184" customWidth="1"/>
    <col min="8206" max="8207" width="10.625" style="3184" customWidth="1"/>
    <col min="8208" max="8208" width="14.375" style="3184" customWidth="1"/>
    <col min="8209" max="8209" width="6.25" style="3184" customWidth="1"/>
    <col min="8210" max="8210" width="62.25" style="3184" customWidth="1"/>
    <col min="8211" max="8211" width="7.875" style="3184" customWidth="1"/>
    <col min="8212" max="8453" width="9" style="3184"/>
    <col min="8454" max="8454" width="73.125" style="3184" customWidth="1"/>
    <col min="8455" max="8455" width="6.25" style="3184" customWidth="1"/>
    <col min="8456" max="8458" width="13.875" style="3184" customWidth="1"/>
    <col min="8459" max="8459" width="131.625" style="3184" customWidth="1"/>
    <col min="8460" max="8460" width="7.875" style="3184" customWidth="1"/>
    <col min="8461" max="8461" width="9" style="3184" customWidth="1"/>
    <col min="8462" max="8463" width="10.625" style="3184" customWidth="1"/>
    <col min="8464" max="8464" width="14.375" style="3184" customWidth="1"/>
    <col min="8465" max="8465" width="6.25" style="3184" customWidth="1"/>
    <col min="8466" max="8466" width="62.25" style="3184" customWidth="1"/>
    <col min="8467" max="8467" width="7.875" style="3184" customWidth="1"/>
    <col min="8468" max="8709" width="9" style="3184"/>
    <col min="8710" max="8710" width="73.125" style="3184" customWidth="1"/>
    <col min="8711" max="8711" width="6.25" style="3184" customWidth="1"/>
    <col min="8712" max="8714" width="13.875" style="3184" customWidth="1"/>
    <col min="8715" max="8715" width="131.625" style="3184" customWidth="1"/>
    <col min="8716" max="8716" width="7.875" style="3184" customWidth="1"/>
    <col min="8717" max="8717" width="9" style="3184" customWidth="1"/>
    <col min="8718" max="8719" width="10.625" style="3184" customWidth="1"/>
    <col min="8720" max="8720" width="14.375" style="3184" customWidth="1"/>
    <col min="8721" max="8721" width="6.25" style="3184" customWidth="1"/>
    <col min="8722" max="8722" width="62.25" style="3184" customWidth="1"/>
    <col min="8723" max="8723" width="7.875" style="3184" customWidth="1"/>
    <col min="8724" max="8965" width="9" style="3184"/>
    <col min="8966" max="8966" width="73.125" style="3184" customWidth="1"/>
    <col min="8967" max="8967" width="6.25" style="3184" customWidth="1"/>
    <col min="8968" max="8970" width="13.875" style="3184" customWidth="1"/>
    <col min="8971" max="8971" width="131.625" style="3184" customWidth="1"/>
    <col min="8972" max="8972" width="7.875" style="3184" customWidth="1"/>
    <col min="8973" max="8973" width="9" style="3184" customWidth="1"/>
    <col min="8974" max="8975" width="10.625" style="3184" customWidth="1"/>
    <col min="8976" max="8976" width="14.375" style="3184" customWidth="1"/>
    <col min="8977" max="8977" width="6.25" style="3184" customWidth="1"/>
    <col min="8978" max="8978" width="62.25" style="3184" customWidth="1"/>
    <col min="8979" max="8979" width="7.875" style="3184" customWidth="1"/>
    <col min="8980" max="9221" width="9" style="3184"/>
    <col min="9222" max="9222" width="73.125" style="3184" customWidth="1"/>
    <col min="9223" max="9223" width="6.25" style="3184" customWidth="1"/>
    <col min="9224" max="9226" width="13.875" style="3184" customWidth="1"/>
    <col min="9227" max="9227" width="131.625" style="3184" customWidth="1"/>
    <col min="9228" max="9228" width="7.875" style="3184" customWidth="1"/>
    <col min="9229" max="9229" width="9" style="3184" customWidth="1"/>
    <col min="9230" max="9231" width="10.625" style="3184" customWidth="1"/>
    <col min="9232" max="9232" width="14.375" style="3184" customWidth="1"/>
    <col min="9233" max="9233" width="6.25" style="3184" customWidth="1"/>
    <col min="9234" max="9234" width="62.25" style="3184" customWidth="1"/>
    <col min="9235" max="9235" width="7.875" style="3184" customWidth="1"/>
    <col min="9236" max="9477" width="9" style="3184"/>
    <col min="9478" max="9478" width="73.125" style="3184" customWidth="1"/>
    <col min="9479" max="9479" width="6.25" style="3184" customWidth="1"/>
    <col min="9480" max="9482" width="13.875" style="3184" customWidth="1"/>
    <col min="9483" max="9483" width="131.625" style="3184" customWidth="1"/>
    <col min="9484" max="9484" width="7.875" style="3184" customWidth="1"/>
    <col min="9485" max="9485" width="9" style="3184" customWidth="1"/>
    <col min="9486" max="9487" width="10.625" style="3184" customWidth="1"/>
    <col min="9488" max="9488" width="14.375" style="3184" customWidth="1"/>
    <col min="9489" max="9489" width="6.25" style="3184" customWidth="1"/>
    <col min="9490" max="9490" width="62.25" style="3184" customWidth="1"/>
    <col min="9491" max="9491" width="7.875" style="3184" customWidth="1"/>
    <col min="9492" max="9733" width="9" style="3184"/>
    <col min="9734" max="9734" width="73.125" style="3184" customWidth="1"/>
    <col min="9735" max="9735" width="6.25" style="3184" customWidth="1"/>
    <col min="9736" max="9738" width="13.875" style="3184" customWidth="1"/>
    <col min="9739" max="9739" width="131.625" style="3184" customWidth="1"/>
    <col min="9740" max="9740" width="7.875" style="3184" customWidth="1"/>
    <col min="9741" max="9741" width="9" style="3184" customWidth="1"/>
    <col min="9742" max="9743" width="10.625" style="3184" customWidth="1"/>
    <col min="9744" max="9744" width="14.375" style="3184" customWidth="1"/>
    <col min="9745" max="9745" width="6.25" style="3184" customWidth="1"/>
    <col min="9746" max="9746" width="62.25" style="3184" customWidth="1"/>
    <col min="9747" max="9747" width="7.875" style="3184" customWidth="1"/>
    <col min="9748" max="9989" width="9" style="3184"/>
    <col min="9990" max="9990" width="73.125" style="3184" customWidth="1"/>
    <col min="9991" max="9991" width="6.25" style="3184" customWidth="1"/>
    <col min="9992" max="9994" width="13.875" style="3184" customWidth="1"/>
    <col min="9995" max="9995" width="131.625" style="3184" customWidth="1"/>
    <col min="9996" max="9996" width="7.875" style="3184" customWidth="1"/>
    <col min="9997" max="9997" width="9" style="3184" customWidth="1"/>
    <col min="9998" max="9999" width="10.625" style="3184" customWidth="1"/>
    <col min="10000" max="10000" width="14.375" style="3184" customWidth="1"/>
    <col min="10001" max="10001" width="6.25" style="3184" customWidth="1"/>
    <col min="10002" max="10002" width="62.25" style="3184" customWidth="1"/>
    <col min="10003" max="10003" width="7.875" style="3184" customWidth="1"/>
    <col min="10004" max="10245" width="9" style="3184"/>
    <col min="10246" max="10246" width="73.125" style="3184" customWidth="1"/>
    <col min="10247" max="10247" width="6.25" style="3184" customWidth="1"/>
    <col min="10248" max="10250" width="13.875" style="3184" customWidth="1"/>
    <col min="10251" max="10251" width="131.625" style="3184" customWidth="1"/>
    <col min="10252" max="10252" width="7.875" style="3184" customWidth="1"/>
    <col min="10253" max="10253" width="9" style="3184" customWidth="1"/>
    <col min="10254" max="10255" width="10.625" style="3184" customWidth="1"/>
    <col min="10256" max="10256" width="14.375" style="3184" customWidth="1"/>
    <col min="10257" max="10257" width="6.25" style="3184" customWidth="1"/>
    <col min="10258" max="10258" width="62.25" style="3184" customWidth="1"/>
    <col min="10259" max="10259" width="7.875" style="3184" customWidth="1"/>
    <col min="10260" max="10501" width="9" style="3184"/>
    <col min="10502" max="10502" width="73.125" style="3184" customWidth="1"/>
    <col min="10503" max="10503" width="6.25" style="3184" customWidth="1"/>
    <col min="10504" max="10506" width="13.875" style="3184" customWidth="1"/>
    <col min="10507" max="10507" width="131.625" style="3184" customWidth="1"/>
    <col min="10508" max="10508" width="7.875" style="3184" customWidth="1"/>
    <col min="10509" max="10509" width="9" style="3184" customWidth="1"/>
    <col min="10510" max="10511" width="10.625" style="3184" customWidth="1"/>
    <col min="10512" max="10512" width="14.375" style="3184" customWidth="1"/>
    <col min="10513" max="10513" width="6.25" style="3184" customWidth="1"/>
    <col min="10514" max="10514" width="62.25" style="3184" customWidth="1"/>
    <col min="10515" max="10515" width="7.875" style="3184" customWidth="1"/>
    <col min="10516" max="10757" width="9" style="3184"/>
    <col min="10758" max="10758" width="73.125" style="3184" customWidth="1"/>
    <col min="10759" max="10759" width="6.25" style="3184" customWidth="1"/>
    <col min="10760" max="10762" width="13.875" style="3184" customWidth="1"/>
    <col min="10763" max="10763" width="131.625" style="3184" customWidth="1"/>
    <col min="10764" max="10764" width="7.875" style="3184" customWidth="1"/>
    <col min="10765" max="10765" width="9" style="3184" customWidth="1"/>
    <col min="10766" max="10767" width="10.625" style="3184" customWidth="1"/>
    <col min="10768" max="10768" width="14.375" style="3184" customWidth="1"/>
    <col min="10769" max="10769" width="6.25" style="3184" customWidth="1"/>
    <col min="10770" max="10770" width="62.25" style="3184" customWidth="1"/>
    <col min="10771" max="10771" width="7.875" style="3184" customWidth="1"/>
    <col min="10772" max="11013" width="9" style="3184"/>
    <col min="11014" max="11014" width="73.125" style="3184" customWidth="1"/>
    <col min="11015" max="11015" width="6.25" style="3184" customWidth="1"/>
    <col min="11016" max="11018" width="13.875" style="3184" customWidth="1"/>
    <col min="11019" max="11019" width="131.625" style="3184" customWidth="1"/>
    <col min="11020" max="11020" width="7.875" style="3184" customWidth="1"/>
    <col min="11021" max="11021" width="9" style="3184" customWidth="1"/>
    <col min="11022" max="11023" width="10.625" style="3184" customWidth="1"/>
    <col min="11024" max="11024" width="14.375" style="3184" customWidth="1"/>
    <col min="11025" max="11025" width="6.25" style="3184" customWidth="1"/>
    <col min="11026" max="11026" width="62.25" style="3184" customWidth="1"/>
    <col min="11027" max="11027" width="7.875" style="3184" customWidth="1"/>
    <col min="11028" max="11269" width="9" style="3184"/>
    <col min="11270" max="11270" width="73.125" style="3184" customWidth="1"/>
    <col min="11271" max="11271" width="6.25" style="3184" customWidth="1"/>
    <col min="11272" max="11274" width="13.875" style="3184" customWidth="1"/>
    <col min="11275" max="11275" width="131.625" style="3184" customWidth="1"/>
    <col min="11276" max="11276" width="7.875" style="3184" customWidth="1"/>
    <col min="11277" max="11277" width="9" style="3184" customWidth="1"/>
    <col min="11278" max="11279" width="10.625" style="3184" customWidth="1"/>
    <col min="11280" max="11280" width="14.375" style="3184" customWidth="1"/>
    <col min="11281" max="11281" width="6.25" style="3184" customWidth="1"/>
    <col min="11282" max="11282" width="62.25" style="3184" customWidth="1"/>
    <col min="11283" max="11283" width="7.875" style="3184" customWidth="1"/>
    <col min="11284" max="11525" width="9" style="3184"/>
    <col min="11526" max="11526" width="73.125" style="3184" customWidth="1"/>
    <col min="11527" max="11527" width="6.25" style="3184" customWidth="1"/>
    <col min="11528" max="11530" width="13.875" style="3184" customWidth="1"/>
    <col min="11531" max="11531" width="131.625" style="3184" customWidth="1"/>
    <col min="11532" max="11532" width="7.875" style="3184" customWidth="1"/>
    <col min="11533" max="11533" width="9" style="3184" customWidth="1"/>
    <col min="11534" max="11535" width="10.625" style="3184" customWidth="1"/>
    <col min="11536" max="11536" width="14.375" style="3184" customWidth="1"/>
    <col min="11537" max="11537" width="6.25" style="3184" customWidth="1"/>
    <col min="11538" max="11538" width="62.25" style="3184" customWidth="1"/>
    <col min="11539" max="11539" width="7.875" style="3184" customWidth="1"/>
    <col min="11540" max="11781" width="9" style="3184"/>
    <col min="11782" max="11782" width="73.125" style="3184" customWidth="1"/>
    <col min="11783" max="11783" width="6.25" style="3184" customWidth="1"/>
    <col min="11784" max="11786" width="13.875" style="3184" customWidth="1"/>
    <col min="11787" max="11787" width="131.625" style="3184" customWidth="1"/>
    <col min="11788" max="11788" width="7.875" style="3184" customWidth="1"/>
    <col min="11789" max="11789" width="9" style="3184" customWidth="1"/>
    <col min="11790" max="11791" width="10.625" style="3184" customWidth="1"/>
    <col min="11792" max="11792" width="14.375" style="3184" customWidth="1"/>
    <col min="11793" max="11793" width="6.25" style="3184" customWidth="1"/>
    <col min="11794" max="11794" width="62.25" style="3184" customWidth="1"/>
    <col min="11795" max="11795" width="7.875" style="3184" customWidth="1"/>
    <col min="11796" max="12037" width="9" style="3184"/>
    <col min="12038" max="12038" width="73.125" style="3184" customWidth="1"/>
    <col min="12039" max="12039" width="6.25" style="3184" customWidth="1"/>
    <col min="12040" max="12042" width="13.875" style="3184" customWidth="1"/>
    <col min="12043" max="12043" width="131.625" style="3184" customWidth="1"/>
    <col min="12044" max="12044" width="7.875" style="3184" customWidth="1"/>
    <col min="12045" max="12045" width="9" style="3184" customWidth="1"/>
    <col min="12046" max="12047" width="10.625" style="3184" customWidth="1"/>
    <col min="12048" max="12048" width="14.375" style="3184" customWidth="1"/>
    <col min="12049" max="12049" width="6.25" style="3184" customWidth="1"/>
    <col min="12050" max="12050" width="62.25" style="3184" customWidth="1"/>
    <col min="12051" max="12051" width="7.875" style="3184" customWidth="1"/>
    <col min="12052" max="12293" width="9" style="3184"/>
    <col min="12294" max="12294" width="73.125" style="3184" customWidth="1"/>
    <col min="12295" max="12295" width="6.25" style="3184" customWidth="1"/>
    <col min="12296" max="12298" width="13.875" style="3184" customWidth="1"/>
    <col min="12299" max="12299" width="131.625" style="3184" customWidth="1"/>
    <col min="12300" max="12300" width="7.875" style="3184" customWidth="1"/>
    <col min="12301" max="12301" width="9" style="3184" customWidth="1"/>
    <col min="12302" max="12303" width="10.625" style="3184" customWidth="1"/>
    <col min="12304" max="12304" width="14.375" style="3184" customWidth="1"/>
    <col min="12305" max="12305" width="6.25" style="3184" customWidth="1"/>
    <col min="12306" max="12306" width="62.25" style="3184" customWidth="1"/>
    <col min="12307" max="12307" width="7.875" style="3184" customWidth="1"/>
    <col min="12308" max="12549" width="9" style="3184"/>
    <col min="12550" max="12550" width="73.125" style="3184" customWidth="1"/>
    <col min="12551" max="12551" width="6.25" style="3184" customWidth="1"/>
    <col min="12552" max="12554" width="13.875" style="3184" customWidth="1"/>
    <col min="12555" max="12555" width="131.625" style="3184" customWidth="1"/>
    <col min="12556" max="12556" width="7.875" style="3184" customWidth="1"/>
    <col min="12557" max="12557" width="9" style="3184" customWidth="1"/>
    <col min="12558" max="12559" width="10.625" style="3184" customWidth="1"/>
    <col min="12560" max="12560" width="14.375" style="3184" customWidth="1"/>
    <col min="12561" max="12561" width="6.25" style="3184" customWidth="1"/>
    <col min="12562" max="12562" width="62.25" style="3184" customWidth="1"/>
    <col min="12563" max="12563" width="7.875" style="3184" customWidth="1"/>
    <col min="12564" max="12805" width="9" style="3184"/>
    <col min="12806" max="12806" width="73.125" style="3184" customWidth="1"/>
    <col min="12807" max="12807" width="6.25" style="3184" customWidth="1"/>
    <col min="12808" max="12810" width="13.875" style="3184" customWidth="1"/>
    <col min="12811" max="12811" width="131.625" style="3184" customWidth="1"/>
    <col min="12812" max="12812" width="7.875" style="3184" customWidth="1"/>
    <col min="12813" max="12813" width="9" style="3184" customWidth="1"/>
    <col min="12814" max="12815" width="10.625" style="3184" customWidth="1"/>
    <col min="12816" max="12816" width="14.375" style="3184" customWidth="1"/>
    <col min="12817" max="12817" width="6.25" style="3184" customWidth="1"/>
    <col min="12818" max="12818" width="62.25" style="3184" customWidth="1"/>
    <col min="12819" max="12819" width="7.875" style="3184" customWidth="1"/>
    <col min="12820" max="13061" width="9" style="3184"/>
    <col min="13062" max="13062" width="73.125" style="3184" customWidth="1"/>
    <col min="13063" max="13063" width="6.25" style="3184" customWidth="1"/>
    <col min="13064" max="13066" width="13.875" style="3184" customWidth="1"/>
    <col min="13067" max="13067" width="131.625" style="3184" customWidth="1"/>
    <col min="13068" max="13068" width="7.875" style="3184" customWidth="1"/>
    <col min="13069" max="13069" width="9" style="3184" customWidth="1"/>
    <col min="13070" max="13071" width="10.625" style="3184" customWidth="1"/>
    <col min="13072" max="13072" width="14.375" style="3184" customWidth="1"/>
    <col min="13073" max="13073" width="6.25" style="3184" customWidth="1"/>
    <col min="13074" max="13074" width="62.25" style="3184" customWidth="1"/>
    <col min="13075" max="13075" width="7.875" style="3184" customWidth="1"/>
    <col min="13076" max="13317" width="9" style="3184"/>
    <col min="13318" max="13318" width="73.125" style="3184" customWidth="1"/>
    <col min="13319" max="13319" width="6.25" style="3184" customWidth="1"/>
    <col min="13320" max="13322" width="13.875" style="3184" customWidth="1"/>
    <col min="13323" max="13323" width="131.625" style="3184" customWidth="1"/>
    <col min="13324" max="13324" width="7.875" style="3184" customWidth="1"/>
    <col min="13325" max="13325" width="9" style="3184" customWidth="1"/>
    <col min="13326" max="13327" width="10.625" style="3184" customWidth="1"/>
    <col min="13328" max="13328" width="14.375" style="3184" customWidth="1"/>
    <col min="13329" max="13329" width="6.25" style="3184" customWidth="1"/>
    <col min="13330" max="13330" width="62.25" style="3184" customWidth="1"/>
    <col min="13331" max="13331" width="7.875" style="3184" customWidth="1"/>
    <col min="13332" max="13573" width="9" style="3184"/>
    <col min="13574" max="13574" width="73.125" style="3184" customWidth="1"/>
    <col min="13575" max="13575" width="6.25" style="3184" customWidth="1"/>
    <col min="13576" max="13578" width="13.875" style="3184" customWidth="1"/>
    <col min="13579" max="13579" width="131.625" style="3184" customWidth="1"/>
    <col min="13580" max="13580" width="7.875" style="3184" customWidth="1"/>
    <col min="13581" max="13581" width="9" style="3184" customWidth="1"/>
    <col min="13582" max="13583" width="10.625" style="3184" customWidth="1"/>
    <col min="13584" max="13584" width="14.375" style="3184" customWidth="1"/>
    <col min="13585" max="13585" width="6.25" style="3184" customWidth="1"/>
    <col min="13586" max="13586" width="62.25" style="3184" customWidth="1"/>
    <col min="13587" max="13587" width="7.875" style="3184" customWidth="1"/>
    <col min="13588" max="13829" width="9" style="3184"/>
    <col min="13830" max="13830" width="73.125" style="3184" customWidth="1"/>
    <col min="13831" max="13831" width="6.25" style="3184" customWidth="1"/>
    <col min="13832" max="13834" width="13.875" style="3184" customWidth="1"/>
    <col min="13835" max="13835" width="131.625" style="3184" customWidth="1"/>
    <col min="13836" max="13836" width="7.875" style="3184" customWidth="1"/>
    <col min="13837" max="13837" width="9" style="3184" customWidth="1"/>
    <col min="13838" max="13839" width="10.625" style="3184" customWidth="1"/>
    <col min="13840" max="13840" width="14.375" style="3184" customWidth="1"/>
    <col min="13841" max="13841" width="6.25" style="3184" customWidth="1"/>
    <col min="13842" max="13842" width="62.25" style="3184" customWidth="1"/>
    <col min="13843" max="13843" width="7.875" style="3184" customWidth="1"/>
    <col min="13844" max="14085" width="9" style="3184"/>
    <col min="14086" max="14086" width="73.125" style="3184" customWidth="1"/>
    <col min="14087" max="14087" width="6.25" style="3184" customWidth="1"/>
    <col min="14088" max="14090" width="13.875" style="3184" customWidth="1"/>
    <col min="14091" max="14091" width="131.625" style="3184" customWidth="1"/>
    <col min="14092" max="14092" width="7.875" style="3184" customWidth="1"/>
    <col min="14093" max="14093" width="9" style="3184" customWidth="1"/>
    <col min="14094" max="14095" width="10.625" style="3184" customWidth="1"/>
    <col min="14096" max="14096" width="14.375" style="3184" customWidth="1"/>
    <col min="14097" max="14097" width="6.25" style="3184" customWidth="1"/>
    <col min="14098" max="14098" width="62.25" style="3184" customWidth="1"/>
    <col min="14099" max="14099" width="7.875" style="3184" customWidth="1"/>
    <col min="14100" max="14341" width="9" style="3184"/>
    <col min="14342" max="14342" width="73.125" style="3184" customWidth="1"/>
    <col min="14343" max="14343" width="6.25" style="3184" customWidth="1"/>
    <col min="14344" max="14346" width="13.875" style="3184" customWidth="1"/>
    <col min="14347" max="14347" width="131.625" style="3184" customWidth="1"/>
    <col min="14348" max="14348" width="7.875" style="3184" customWidth="1"/>
    <col min="14349" max="14349" width="9" style="3184" customWidth="1"/>
    <col min="14350" max="14351" width="10.625" style="3184" customWidth="1"/>
    <col min="14352" max="14352" width="14.375" style="3184" customWidth="1"/>
    <col min="14353" max="14353" width="6.25" style="3184" customWidth="1"/>
    <col min="14354" max="14354" width="62.25" style="3184" customWidth="1"/>
    <col min="14355" max="14355" width="7.875" style="3184" customWidth="1"/>
    <col min="14356" max="14597" width="9" style="3184"/>
    <col min="14598" max="14598" width="73.125" style="3184" customWidth="1"/>
    <col min="14599" max="14599" width="6.25" style="3184" customWidth="1"/>
    <col min="14600" max="14602" width="13.875" style="3184" customWidth="1"/>
    <col min="14603" max="14603" width="131.625" style="3184" customWidth="1"/>
    <col min="14604" max="14604" width="7.875" style="3184" customWidth="1"/>
    <col min="14605" max="14605" width="9" style="3184" customWidth="1"/>
    <col min="14606" max="14607" width="10.625" style="3184" customWidth="1"/>
    <col min="14608" max="14608" width="14.375" style="3184" customWidth="1"/>
    <col min="14609" max="14609" width="6.25" style="3184" customWidth="1"/>
    <col min="14610" max="14610" width="62.25" style="3184" customWidth="1"/>
    <col min="14611" max="14611" width="7.875" style="3184" customWidth="1"/>
    <col min="14612" max="14853" width="9" style="3184"/>
    <col min="14854" max="14854" width="73.125" style="3184" customWidth="1"/>
    <col min="14855" max="14855" width="6.25" style="3184" customWidth="1"/>
    <col min="14856" max="14858" width="13.875" style="3184" customWidth="1"/>
    <col min="14859" max="14859" width="131.625" style="3184" customWidth="1"/>
    <col min="14860" max="14860" width="7.875" style="3184" customWidth="1"/>
    <col min="14861" max="14861" width="9" style="3184" customWidth="1"/>
    <col min="14862" max="14863" width="10.625" style="3184" customWidth="1"/>
    <col min="14864" max="14864" width="14.375" style="3184" customWidth="1"/>
    <col min="14865" max="14865" width="6.25" style="3184" customWidth="1"/>
    <col min="14866" max="14866" width="62.25" style="3184" customWidth="1"/>
    <col min="14867" max="14867" width="7.875" style="3184" customWidth="1"/>
    <col min="14868" max="15109" width="9" style="3184"/>
    <col min="15110" max="15110" width="73.125" style="3184" customWidth="1"/>
    <col min="15111" max="15111" width="6.25" style="3184" customWidth="1"/>
    <col min="15112" max="15114" width="13.875" style="3184" customWidth="1"/>
    <col min="15115" max="15115" width="131.625" style="3184" customWidth="1"/>
    <col min="15116" max="15116" width="7.875" style="3184" customWidth="1"/>
    <col min="15117" max="15117" width="9" style="3184" customWidth="1"/>
    <col min="15118" max="15119" width="10.625" style="3184" customWidth="1"/>
    <col min="15120" max="15120" width="14.375" style="3184" customWidth="1"/>
    <col min="15121" max="15121" width="6.25" style="3184" customWidth="1"/>
    <col min="15122" max="15122" width="62.25" style="3184" customWidth="1"/>
    <col min="15123" max="15123" width="7.875" style="3184" customWidth="1"/>
    <col min="15124" max="15365" width="9" style="3184"/>
    <col min="15366" max="15366" width="73.125" style="3184" customWidth="1"/>
    <col min="15367" max="15367" width="6.25" style="3184" customWidth="1"/>
    <col min="15368" max="15370" width="13.875" style="3184" customWidth="1"/>
    <col min="15371" max="15371" width="131.625" style="3184" customWidth="1"/>
    <col min="15372" max="15372" width="7.875" style="3184" customWidth="1"/>
    <col min="15373" max="15373" width="9" style="3184" customWidth="1"/>
    <col min="15374" max="15375" width="10.625" style="3184" customWidth="1"/>
    <col min="15376" max="15376" width="14.375" style="3184" customWidth="1"/>
    <col min="15377" max="15377" width="6.25" style="3184" customWidth="1"/>
    <col min="15378" max="15378" width="62.25" style="3184" customWidth="1"/>
    <col min="15379" max="15379" width="7.875" style="3184" customWidth="1"/>
    <col min="15380" max="15621" width="9" style="3184"/>
    <col min="15622" max="15622" width="73.125" style="3184" customWidth="1"/>
    <col min="15623" max="15623" width="6.25" style="3184" customWidth="1"/>
    <col min="15624" max="15626" width="13.875" style="3184" customWidth="1"/>
    <col min="15627" max="15627" width="131.625" style="3184" customWidth="1"/>
    <col min="15628" max="15628" width="7.875" style="3184" customWidth="1"/>
    <col min="15629" max="15629" width="9" style="3184" customWidth="1"/>
    <col min="15630" max="15631" width="10.625" style="3184" customWidth="1"/>
    <col min="15632" max="15632" width="14.375" style="3184" customWidth="1"/>
    <col min="15633" max="15633" width="6.25" style="3184" customWidth="1"/>
    <col min="15634" max="15634" width="62.25" style="3184" customWidth="1"/>
    <col min="15635" max="15635" width="7.875" style="3184" customWidth="1"/>
    <col min="15636" max="15877" width="9" style="3184"/>
    <col min="15878" max="15878" width="73.125" style="3184" customWidth="1"/>
    <col min="15879" max="15879" width="6.25" style="3184" customWidth="1"/>
    <col min="15880" max="15882" width="13.875" style="3184" customWidth="1"/>
    <col min="15883" max="15883" width="131.625" style="3184" customWidth="1"/>
    <col min="15884" max="15884" width="7.875" style="3184" customWidth="1"/>
    <col min="15885" max="15885" width="9" style="3184" customWidth="1"/>
    <col min="15886" max="15887" width="10.625" style="3184" customWidth="1"/>
    <col min="15888" max="15888" width="14.375" style="3184" customWidth="1"/>
    <col min="15889" max="15889" width="6.25" style="3184" customWidth="1"/>
    <col min="15890" max="15890" width="62.25" style="3184" customWidth="1"/>
    <col min="15891" max="15891" width="7.875" style="3184" customWidth="1"/>
    <col min="15892" max="16133" width="9" style="3184"/>
    <col min="16134" max="16134" width="73.125" style="3184" customWidth="1"/>
    <col min="16135" max="16135" width="6.25" style="3184" customWidth="1"/>
    <col min="16136" max="16138" width="13.875" style="3184" customWidth="1"/>
    <col min="16139" max="16139" width="131.625" style="3184" customWidth="1"/>
    <col min="16140" max="16140" width="7.875" style="3184" customWidth="1"/>
    <col min="16141" max="16141" width="9" style="3184" customWidth="1"/>
    <col min="16142" max="16143" width="10.625" style="3184" customWidth="1"/>
    <col min="16144" max="16144" width="14.375" style="3184" customWidth="1"/>
    <col min="16145" max="16145" width="6.25" style="3184" customWidth="1"/>
    <col min="16146" max="16146" width="62.25" style="3184" customWidth="1"/>
    <col min="16147" max="16147" width="7.875" style="3184" customWidth="1"/>
    <col min="16148" max="16384" width="9" style="3184"/>
  </cols>
  <sheetData>
    <row r="1" spans="1:17" ht="27">
      <c r="A1" s="3193" t="s">
        <v>2999</v>
      </c>
      <c r="B1" s="3193" t="s">
        <v>3000</v>
      </c>
      <c r="C1" s="3193" t="s">
        <v>3001</v>
      </c>
      <c r="D1" s="3193" t="s">
        <v>3002</v>
      </c>
      <c r="E1" s="3193" t="s">
        <v>3003</v>
      </c>
      <c r="F1" s="3193" t="s">
        <v>2032</v>
      </c>
      <c r="G1" s="3194" t="s">
        <v>3077</v>
      </c>
      <c r="H1" s="3193" t="s">
        <v>3004</v>
      </c>
      <c r="I1" s="3193" t="s">
        <v>3005</v>
      </c>
      <c r="J1" s="3193" t="s">
        <v>3006</v>
      </c>
      <c r="K1" s="3193" t="s">
        <v>3007</v>
      </c>
      <c r="L1" s="3193" t="s">
        <v>3008</v>
      </c>
      <c r="M1" s="3194" t="s">
        <v>3090</v>
      </c>
      <c r="N1" s="3197" t="s">
        <v>3091</v>
      </c>
      <c r="O1" s="3193" t="s">
        <v>3009</v>
      </c>
      <c r="P1" s="3193" t="s">
        <v>3010</v>
      </c>
      <c r="Q1" s="3193" t="s">
        <v>3011</v>
      </c>
    </row>
    <row r="2" spans="1:17" s="3196" customFormat="1" ht="27">
      <c r="A2" s="3195" t="s">
        <v>3040</v>
      </c>
      <c r="B2" s="3195" t="s">
        <v>3012</v>
      </c>
      <c r="C2" s="3195" t="s">
        <v>3041</v>
      </c>
      <c r="D2" s="3195">
        <v>4798.2</v>
      </c>
      <c r="E2" s="3195">
        <v>11515</v>
      </c>
      <c r="F2" s="3195" t="s">
        <v>3042</v>
      </c>
      <c r="G2" s="3195">
        <f>ROUND(E2/D2,2)</f>
        <v>2.4</v>
      </c>
      <c r="H2" s="3195" t="s">
        <v>3043</v>
      </c>
      <c r="I2" s="3195" t="s">
        <v>3044</v>
      </c>
      <c r="J2" s="3195">
        <v>499.77</v>
      </c>
      <c r="K2" s="3195">
        <v>1497.03</v>
      </c>
      <c r="L2" s="3195">
        <v>1300</v>
      </c>
      <c r="M2" s="3195">
        <f>ROUND(L2*G2,0)</f>
        <v>3120</v>
      </c>
      <c r="N2" s="3198">
        <f>ROUND(M2*666.67/10000,0)</f>
        <v>208</v>
      </c>
      <c r="O2" s="3195">
        <v>199.54</v>
      </c>
      <c r="P2" s="3195" t="s">
        <v>3045</v>
      </c>
      <c r="Q2" s="3195" t="s">
        <v>3015</v>
      </c>
    </row>
    <row r="3" spans="1:17" ht="27">
      <c r="A3" s="3193" t="s">
        <v>3046</v>
      </c>
      <c r="B3" s="3193" t="s">
        <v>3012</v>
      </c>
      <c r="C3" s="3193" t="s">
        <v>3041</v>
      </c>
      <c r="D3" s="3193">
        <v>5454.47</v>
      </c>
      <c r="E3" s="3193">
        <v>13090</v>
      </c>
      <c r="F3" s="3193" t="s">
        <v>3017</v>
      </c>
      <c r="G3" s="3193">
        <f t="shared" ref="G3:G11" si="0">ROUND(E3/D3,2)</f>
        <v>2.4</v>
      </c>
      <c r="H3" s="3193" t="s">
        <v>3043</v>
      </c>
      <c r="I3" s="3193" t="s">
        <v>3044</v>
      </c>
      <c r="J3" s="3193">
        <v>502.26</v>
      </c>
      <c r="K3" s="3193">
        <v>539.99</v>
      </c>
      <c r="L3" s="3193">
        <v>412.51</v>
      </c>
      <c r="M3" s="3198">
        <f t="shared" ref="M3:M8" si="1">ROUND(L3*G3,0)</f>
        <v>990</v>
      </c>
      <c r="N3" s="3198">
        <f>ROUND(M3*666.67/10000,0)</f>
        <v>66</v>
      </c>
      <c r="O3" s="3193">
        <v>7.51</v>
      </c>
      <c r="P3" s="3193" t="s">
        <v>3047</v>
      </c>
      <c r="Q3" s="3193" t="s">
        <v>3016</v>
      </c>
    </row>
    <row r="4" spans="1:17" ht="27">
      <c r="A4" s="3193" t="s">
        <v>3048</v>
      </c>
      <c r="B4" s="3193" t="s">
        <v>3012</v>
      </c>
      <c r="C4" s="3193" t="s">
        <v>3041</v>
      </c>
      <c r="D4" s="3193">
        <v>5215.5</v>
      </c>
      <c r="E4" s="3193">
        <v>7823.25</v>
      </c>
      <c r="F4" s="3193" t="s">
        <v>3049</v>
      </c>
      <c r="G4" s="3193">
        <f t="shared" si="0"/>
        <v>1.5</v>
      </c>
      <c r="H4" s="3193" t="s">
        <v>3043</v>
      </c>
      <c r="I4" s="3193" t="s">
        <v>3044</v>
      </c>
      <c r="J4" s="3193">
        <v>743.2</v>
      </c>
      <c r="K4" s="3193">
        <v>743.2</v>
      </c>
      <c r="L4" s="3193">
        <v>949.99</v>
      </c>
      <c r="M4" s="3198">
        <f t="shared" si="1"/>
        <v>1425</v>
      </c>
      <c r="N4" s="3198">
        <f t="shared" ref="N4:N11" si="2">ROUND(M4*666.67/10000,0)</f>
        <v>95</v>
      </c>
      <c r="O4" s="3193">
        <v>0</v>
      </c>
      <c r="P4" s="3193" t="s">
        <v>3050</v>
      </c>
      <c r="Q4" s="3193" t="s">
        <v>3015</v>
      </c>
    </row>
    <row r="5" spans="1:17" s="3196" customFormat="1" ht="40.5">
      <c r="A5" s="3195" t="s">
        <v>3051</v>
      </c>
      <c r="B5" s="3195" t="s">
        <v>3012</v>
      </c>
      <c r="C5" s="3195" t="s">
        <v>3041</v>
      </c>
      <c r="D5" s="3195">
        <v>13087.83</v>
      </c>
      <c r="E5" s="3195">
        <v>31410</v>
      </c>
      <c r="F5" s="3195" t="s">
        <v>3017</v>
      </c>
      <c r="G5" s="3195">
        <f t="shared" si="0"/>
        <v>2.4</v>
      </c>
      <c r="H5" s="3195" t="s">
        <v>3043</v>
      </c>
      <c r="I5" s="3195" t="s">
        <v>3044</v>
      </c>
      <c r="J5" s="3195">
        <v>4124.42</v>
      </c>
      <c r="K5" s="3195">
        <v>4124.42</v>
      </c>
      <c r="L5" s="3195">
        <v>1313</v>
      </c>
      <c r="M5" s="3195">
        <f t="shared" si="1"/>
        <v>3151</v>
      </c>
      <c r="N5" s="3198">
        <f t="shared" si="2"/>
        <v>210</v>
      </c>
      <c r="O5" s="3195">
        <v>0</v>
      </c>
      <c r="P5" s="3195" t="s">
        <v>3052</v>
      </c>
      <c r="Q5" s="3195" t="s">
        <v>3014</v>
      </c>
    </row>
    <row r="6" spans="1:17" ht="27">
      <c r="A6" s="3193" t="s">
        <v>3053</v>
      </c>
      <c r="B6" s="3193" t="s">
        <v>3012</v>
      </c>
      <c r="C6" s="3193" t="s">
        <v>3041</v>
      </c>
      <c r="D6" s="3193">
        <v>30233.02</v>
      </c>
      <c r="E6" s="3193">
        <v>60466.04</v>
      </c>
      <c r="F6" s="3193" t="s">
        <v>3054</v>
      </c>
      <c r="G6" s="3193">
        <f t="shared" si="0"/>
        <v>2</v>
      </c>
      <c r="H6" s="3193" t="s">
        <v>3043</v>
      </c>
      <c r="I6" s="3193" t="s">
        <v>3055</v>
      </c>
      <c r="J6" s="3193">
        <v>2857.01</v>
      </c>
      <c r="K6" s="3193">
        <v>2857.01</v>
      </c>
      <c r="L6" s="3193">
        <v>472.5</v>
      </c>
      <c r="M6" s="3198">
        <f t="shared" si="1"/>
        <v>945</v>
      </c>
      <c r="N6" s="3198">
        <f t="shared" si="2"/>
        <v>63</v>
      </c>
      <c r="O6" s="3193">
        <v>0</v>
      </c>
      <c r="P6" s="3193" t="s">
        <v>3056</v>
      </c>
      <c r="Q6" s="3193" t="s">
        <v>3014</v>
      </c>
    </row>
    <row r="7" spans="1:17" ht="40.5">
      <c r="A7" s="3193" t="s">
        <v>3057</v>
      </c>
      <c r="B7" s="3193" t="s">
        <v>3012</v>
      </c>
      <c r="C7" s="3193" t="s">
        <v>3041</v>
      </c>
      <c r="D7" s="3193">
        <v>23797.14</v>
      </c>
      <c r="E7" s="3193">
        <v>71391.42</v>
      </c>
      <c r="F7" s="3193" t="s">
        <v>3058</v>
      </c>
      <c r="G7" s="3193">
        <f t="shared" si="0"/>
        <v>3</v>
      </c>
      <c r="H7" s="3193" t="s">
        <v>3043</v>
      </c>
      <c r="I7" s="3193" t="s">
        <v>3059</v>
      </c>
      <c r="J7" s="3193">
        <v>7139.14</v>
      </c>
      <c r="K7" s="3193">
        <v>7139.14</v>
      </c>
      <c r="L7" s="3193">
        <v>1000</v>
      </c>
      <c r="M7" s="3198">
        <f t="shared" si="1"/>
        <v>3000</v>
      </c>
      <c r="N7" s="3198">
        <f t="shared" si="2"/>
        <v>200</v>
      </c>
      <c r="O7" s="3193">
        <v>0</v>
      </c>
      <c r="P7" s="3193" t="s">
        <v>3060</v>
      </c>
      <c r="Q7" s="3193" t="s">
        <v>3014</v>
      </c>
    </row>
    <row r="8" spans="1:17" s="3196" customFormat="1" ht="27">
      <c r="A8" s="3195" t="s">
        <v>3061</v>
      </c>
      <c r="B8" s="3195" t="s">
        <v>3012</v>
      </c>
      <c r="C8" s="3195" t="s">
        <v>3041</v>
      </c>
      <c r="D8" s="3195">
        <v>23192.06</v>
      </c>
      <c r="E8" s="3195">
        <v>69576</v>
      </c>
      <c r="F8" s="3195" t="s">
        <v>3058</v>
      </c>
      <c r="G8" s="3195">
        <f t="shared" si="0"/>
        <v>3</v>
      </c>
      <c r="H8" s="3195" t="s">
        <v>3043</v>
      </c>
      <c r="I8" s="3195" t="s">
        <v>3062</v>
      </c>
      <c r="J8" s="3195">
        <v>7792.52</v>
      </c>
      <c r="K8" s="3195">
        <v>7792.52</v>
      </c>
      <c r="L8" s="3195">
        <v>1120</v>
      </c>
      <c r="M8" s="3195">
        <f t="shared" si="1"/>
        <v>3360</v>
      </c>
      <c r="N8" s="3198">
        <f t="shared" si="2"/>
        <v>224</v>
      </c>
      <c r="O8" s="3195">
        <v>0</v>
      </c>
      <c r="P8" s="3195" t="s">
        <v>3063</v>
      </c>
      <c r="Q8" s="3195" t="s">
        <v>3014</v>
      </c>
    </row>
    <row r="9" spans="1:17" ht="67.5">
      <c r="A9" s="3193" t="s">
        <v>3064</v>
      </c>
      <c r="B9" s="3193" t="s">
        <v>3012</v>
      </c>
      <c r="C9" s="3193" t="s">
        <v>3041</v>
      </c>
      <c r="D9" s="3193">
        <v>75836.149999999994</v>
      </c>
      <c r="E9" s="3193">
        <v>75836.149999999994</v>
      </c>
      <c r="F9" s="3193" t="s">
        <v>3065</v>
      </c>
      <c r="G9" s="3193">
        <f t="shared" si="0"/>
        <v>1</v>
      </c>
      <c r="H9" s="3193" t="s">
        <v>3013</v>
      </c>
      <c r="I9" s="3193" t="s">
        <v>3066</v>
      </c>
      <c r="J9" s="3193">
        <v>14087.31</v>
      </c>
      <c r="K9" s="3193">
        <v>14087.31</v>
      </c>
      <c r="L9" s="3193">
        <v>1857.59</v>
      </c>
      <c r="M9" s="3198">
        <f t="shared" ref="M9:M11" si="3">L9*G9</f>
        <v>1857.59</v>
      </c>
      <c r="N9" s="3198">
        <f t="shared" si="2"/>
        <v>124</v>
      </c>
      <c r="O9" s="3193">
        <v>0</v>
      </c>
      <c r="P9" s="3193" t="s">
        <v>3067</v>
      </c>
      <c r="Q9" s="3193" t="s">
        <v>3068</v>
      </c>
    </row>
    <row r="10" spans="1:17" ht="40.5">
      <c r="A10" s="3193" t="s">
        <v>3069</v>
      </c>
      <c r="B10" s="3193" t="s">
        <v>3012</v>
      </c>
      <c r="C10" s="3193" t="s">
        <v>3041</v>
      </c>
      <c r="D10" s="3193">
        <v>14063.38</v>
      </c>
      <c r="E10" s="3193">
        <v>63285</v>
      </c>
      <c r="F10" s="3193" t="s">
        <v>3070</v>
      </c>
      <c r="G10" s="3193">
        <f t="shared" si="0"/>
        <v>4.5</v>
      </c>
      <c r="H10" s="3193" t="s">
        <v>3013</v>
      </c>
      <c r="I10" s="3193" t="s">
        <v>3071</v>
      </c>
      <c r="J10" s="3193">
        <v>3438.5</v>
      </c>
      <c r="K10" s="3193">
        <v>3438.5</v>
      </c>
      <c r="L10" s="3193">
        <v>543.34</v>
      </c>
      <c r="M10" s="3198">
        <f t="shared" si="3"/>
        <v>2445.0300000000002</v>
      </c>
      <c r="N10" s="3198">
        <f t="shared" si="2"/>
        <v>163</v>
      </c>
      <c r="O10" s="3193">
        <v>0</v>
      </c>
      <c r="P10" s="3193" t="s">
        <v>3072</v>
      </c>
      <c r="Q10" s="3193" t="s">
        <v>3014</v>
      </c>
    </row>
    <row r="11" spans="1:17" ht="27">
      <c r="A11" s="3193" t="s">
        <v>3073</v>
      </c>
      <c r="B11" s="3193" t="s">
        <v>3012</v>
      </c>
      <c r="C11" s="3193" t="s">
        <v>3041</v>
      </c>
      <c r="D11" s="3193">
        <v>39618.71</v>
      </c>
      <c r="E11" s="3193">
        <v>79237</v>
      </c>
      <c r="F11" s="3193" t="s">
        <v>3074</v>
      </c>
      <c r="G11" s="3193">
        <f t="shared" si="0"/>
        <v>2</v>
      </c>
      <c r="H11" s="3193" t="s">
        <v>3013</v>
      </c>
      <c r="I11" s="3193" t="s">
        <v>3075</v>
      </c>
      <c r="J11" s="3193">
        <v>3268.55</v>
      </c>
      <c r="K11" s="3193">
        <v>3268.55</v>
      </c>
      <c r="L11" s="3193">
        <v>412.5</v>
      </c>
      <c r="M11" s="3198">
        <f t="shared" si="3"/>
        <v>825</v>
      </c>
      <c r="N11" s="3198">
        <f t="shared" si="2"/>
        <v>55</v>
      </c>
      <c r="O11" s="3193">
        <v>0</v>
      </c>
      <c r="P11" s="3193" t="s">
        <v>3076</v>
      </c>
      <c r="Q11" s="3193" t="s">
        <v>3016</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4" t="s">
        <v>522</v>
      </c>
      <c r="D6" s="3375"/>
      <c r="E6" s="3408" t="s">
        <v>523</v>
      </c>
      <c r="F6" s="3409"/>
      <c r="G6" s="3374" t="s">
        <v>524</v>
      </c>
      <c r="H6" s="3375"/>
      <c r="I6" s="3374" t="s">
        <v>525</v>
      </c>
      <c r="J6" s="3375"/>
      <c r="K6" s="514" t="s">
        <v>526</v>
      </c>
      <c r="L6" s="2119"/>
      <c r="M6" s="2120"/>
      <c r="N6" s="2120"/>
      <c r="O6" s="2120"/>
      <c r="P6" s="3376" t="s">
        <v>527</v>
      </c>
      <c r="Q6" s="3377"/>
      <c r="R6" s="3382" t="s">
        <v>523</v>
      </c>
      <c r="S6" s="3383"/>
      <c r="T6" s="3382" t="s">
        <v>524</v>
      </c>
      <c r="U6" s="3383"/>
      <c r="V6" s="3369" t="s">
        <v>525</v>
      </c>
      <c r="W6" s="3369"/>
      <c r="X6" s="1554"/>
      <c r="Y6" s="3382" t="s">
        <v>527</v>
      </c>
      <c r="Z6" s="3383"/>
      <c r="AA6" s="3371" t="s">
        <v>523</v>
      </c>
      <c r="AB6" s="3372" t="s">
        <v>524</v>
      </c>
      <c r="AC6" s="3371" t="s">
        <v>525</v>
      </c>
    </row>
    <row r="7" spans="1:29" ht="15">
      <c r="A7" s="515"/>
      <c r="B7" s="516"/>
      <c r="C7" s="3390" t="s">
        <v>2927</v>
      </c>
      <c r="D7" s="3391"/>
      <c r="E7" s="3410" t="s">
        <v>2928</v>
      </c>
      <c r="F7" s="3411"/>
      <c r="G7" s="3390" t="s">
        <v>2929</v>
      </c>
      <c r="H7" s="3391"/>
      <c r="I7" s="3390" t="s">
        <v>2930</v>
      </c>
      <c r="J7" s="3391"/>
      <c r="K7" s="514"/>
      <c r="L7" s="2119"/>
      <c r="M7" s="2120"/>
      <c r="N7" s="2120"/>
      <c r="O7" s="2120"/>
      <c r="P7" s="3378"/>
      <c r="Q7" s="3379"/>
      <c r="R7" s="3384"/>
      <c r="S7" s="3385"/>
      <c r="T7" s="3384"/>
      <c r="U7" s="3385"/>
      <c r="V7" s="3369"/>
      <c r="W7" s="3369"/>
      <c r="X7" s="1554"/>
      <c r="Y7" s="3384"/>
      <c r="Z7" s="3385"/>
      <c r="AA7" s="3372"/>
      <c r="AB7" s="3372"/>
      <c r="AC7" s="3372"/>
    </row>
    <row r="8" spans="1:29" ht="15.75" thickBot="1">
      <c r="A8" s="517"/>
      <c r="B8" s="518"/>
      <c r="C8" s="3388" t="s">
        <v>2931</v>
      </c>
      <c r="D8" s="3389"/>
      <c r="E8" s="3406" t="s">
        <v>2931</v>
      </c>
      <c r="F8" s="3407"/>
      <c r="G8" s="3388" t="s">
        <v>2931</v>
      </c>
      <c r="H8" s="3389"/>
      <c r="I8" s="3388" t="s">
        <v>2931</v>
      </c>
      <c r="J8" s="3389"/>
      <c r="K8" s="514" t="s">
        <v>528</v>
      </c>
      <c r="L8" s="2119"/>
      <c r="M8" s="2120"/>
      <c r="N8" s="2120"/>
      <c r="O8" s="2120"/>
      <c r="P8" s="3380"/>
      <c r="Q8" s="3381"/>
      <c r="R8" s="3384"/>
      <c r="S8" s="3385"/>
      <c r="T8" s="3386"/>
      <c r="U8" s="3387"/>
      <c r="V8" s="3369"/>
      <c r="W8" s="3369"/>
      <c r="X8" s="1554"/>
      <c r="Y8" s="3386"/>
      <c r="Z8" s="3387"/>
      <c r="AA8" s="3373"/>
      <c r="AB8" s="3373"/>
      <c r="AC8" s="3373"/>
    </row>
    <row r="9" spans="1:29" s="1216" customFormat="1" ht="15.75" thickBot="1">
      <c r="A9" s="2868"/>
      <c r="B9" s="2875" t="s">
        <v>529</v>
      </c>
      <c r="C9" s="519">
        <f>'数据-取费表'!B2</f>
        <v>43700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9" t="s">
        <v>530</v>
      </c>
      <c r="Q9" s="3401"/>
      <c r="R9" s="1555" t="s">
        <v>8</v>
      </c>
      <c r="S9" s="1556">
        <f t="shared" ref="S9:S17" si="0">F9</f>
        <v>0</v>
      </c>
      <c r="T9" s="1555" t="s">
        <v>8</v>
      </c>
      <c r="U9" s="1556">
        <f t="shared" ref="U9:U17" si="1">H9</f>
        <v>0</v>
      </c>
      <c r="V9" s="1555" t="s">
        <v>8</v>
      </c>
      <c r="W9" s="1556">
        <f t="shared" ref="W9:W17" si="2">J9</f>
        <v>0</v>
      </c>
      <c r="X9" s="1557"/>
      <c r="Y9" s="3399" t="s">
        <v>530</v>
      </c>
      <c r="Z9" s="3400"/>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9" t="s">
        <v>533</v>
      </c>
      <c r="Q10" s="3400"/>
      <c r="R10" s="1555" t="s">
        <v>8</v>
      </c>
      <c r="S10" s="1556">
        <f t="shared" si="0"/>
        <v>0</v>
      </c>
      <c r="T10" s="1555" t="s">
        <v>8</v>
      </c>
      <c r="U10" s="1556">
        <f t="shared" si="1"/>
        <v>0</v>
      </c>
      <c r="V10" s="1555" t="s">
        <v>8</v>
      </c>
      <c r="W10" s="1556">
        <f t="shared" si="2"/>
        <v>0</v>
      </c>
      <c r="X10" s="1557"/>
      <c r="Y10" s="3399" t="s">
        <v>533</v>
      </c>
      <c r="Z10" s="3400"/>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8" t="s">
        <v>535</v>
      </c>
      <c r="Q11" s="1147" t="str">
        <f t="shared" ref="Q11:Q17" si="6">B11</f>
        <v>用途</v>
      </c>
      <c r="R11" s="1555" t="s">
        <v>8</v>
      </c>
      <c r="S11" s="1556">
        <f t="shared" si="0"/>
        <v>100</v>
      </c>
      <c r="T11" s="1555" t="s">
        <v>8</v>
      </c>
      <c r="U11" s="1556">
        <f t="shared" si="1"/>
        <v>100</v>
      </c>
      <c r="V11" s="1555" t="s">
        <v>8</v>
      </c>
      <c r="W11" s="1556">
        <f t="shared" si="2"/>
        <v>100</v>
      </c>
      <c r="X11" s="1557"/>
      <c r="Y11" s="3314"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113</v>
      </c>
      <c r="G12" s="528"/>
      <c r="H12" s="255">
        <f>ROUND(100/'数据-取费表'!G16,0)</f>
        <v>113</v>
      </c>
      <c r="I12" s="528"/>
      <c r="J12" s="255">
        <f>ROUND(100/'数据-取费表'!G16,0)</f>
        <v>113</v>
      </c>
      <c r="K12" s="531"/>
      <c r="L12" s="2124"/>
      <c r="M12" s="2164"/>
      <c r="N12" s="2164"/>
      <c r="O12" s="2125"/>
      <c r="P12" s="3368"/>
      <c r="Q12" s="1147" t="str">
        <f t="shared" si="6"/>
        <v>土地使用年限（年）</v>
      </c>
      <c r="R12" s="1555" t="s">
        <v>8</v>
      </c>
      <c r="S12" s="1556">
        <f t="shared" si="0"/>
        <v>113</v>
      </c>
      <c r="T12" s="1555" t="s">
        <v>8</v>
      </c>
      <c r="U12" s="1556">
        <f t="shared" si="1"/>
        <v>113</v>
      </c>
      <c r="V12" s="1555" t="s">
        <v>8</v>
      </c>
      <c r="W12" s="1556">
        <f t="shared" si="2"/>
        <v>113</v>
      </c>
      <c r="X12" s="1557"/>
      <c r="Y12" s="3314"/>
      <c r="Z12" s="1146" t="str">
        <f t="shared" si="7"/>
        <v>土地使用年限（年）</v>
      </c>
      <c r="AA12" s="1558">
        <f t="shared" si="3"/>
        <v>0.88495575221238942</v>
      </c>
      <c r="AB12" s="1558">
        <f t="shared" si="4"/>
        <v>0.88495575221238942</v>
      </c>
      <c r="AC12" s="1558">
        <f t="shared" si="5"/>
        <v>0.88495575221238942</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8"/>
      <c r="Q13" s="1147" t="str">
        <f t="shared" si="6"/>
        <v>容积率</v>
      </c>
      <c r="R13" s="1555" t="s">
        <v>8</v>
      </c>
      <c r="S13" s="1556" t="e">
        <f t="shared" si="0"/>
        <v>#N/A</v>
      </c>
      <c r="T13" s="1555" t="s">
        <v>8</v>
      </c>
      <c r="U13" s="1556" t="e">
        <f t="shared" si="1"/>
        <v>#N/A</v>
      </c>
      <c r="V13" s="1555" t="s">
        <v>8</v>
      </c>
      <c r="W13" s="1556" t="e">
        <f t="shared" si="2"/>
        <v>#N/A</v>
      </c>
      <c r="X13" s="1557"/>
      <c r="Y13" s="3314"/>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8"/>
      <c r="Q14" s="1147">
        <f t="shared" si="6"/>
        <v>111</v>
      </c>
      <c r="R14" s="1555" t="s">
        <v>8</v>
      </c>
      <c r="S14" s="1556">
        <f t="shared" si="0"/>
        <v>100</v>
      </c>
      <c r="T14" s="1555" t="s">
        <v>8</v>
      </c>
      <c r="U14" s="1556">
        <f t="shared" si="1"/>
        <v>100</v>
      </c>
      <c r="V14" s="1555" t="s">
        <v>8</v>
      </c>
      <c r="W14" s="1556">
        <f t="shared" si="2"/>
        <v>100</v>
      </c>
      <c r="X14" s="1557"/>
      <c r="Y14" s="3314"/>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8"/>
      <c r="Q15" s="1147">
        <f t="shared" si="6"/>
        <v>111</v>
      </c>
      <c r="R15" s="1555" t="s">
        <v>8</v>
      </c>
      <c r="S15" s="1556">
        <f t="shared" si="0"/>
        <v>100</v>
      </c>
      <c r="T15" s="1555" t="s">
        <v>8</v>
      </c>
      <c r="U15" s="1556">
        <f t="shared" si="1"/>
        <v>100</v>
      </c>
      <c r="V15" s="1555" t="s">
        <v>8</v>
      </c>
      <c r="W15" s="1556">
        <f t="shared" si="2"/>
        <v>100</v>
      </c>
      <c r="X15" s="1557"/>
      <c r="Y15" s="3314"/>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8"/>
      <c r="Q16" s="1147">
        <f t="shared" si="6"/>
        <v>111</v>
      </c>
      <c r="R16" s="1555" t="s">
        <v>8</v>
      </c>
      <c r="S16" s="1556">
        <f t="shared" si="0"/>
        <v>100</v>
      </c>
      <c r="T16" s="1555" t="s">
        <v>8</v>
      </c>
      <c r="U16" s="1556">
        <f t="shared" si="1"/>
        <v>100</v>
      </c>
      <c r="V16" s="1555" t="s">
        <v>8</v>
      </c>
      <c r="W16" s="1556">
        <f t="shared" si="2"/>
        <v>100</v>
      </c>
      <c r="X16" s="1557"/>
      <c r="Y16" s="3314"/>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2" t="s">
        <v>540</v>
      </c>
      <c r="Q17" s="1559" t="str">
        <f t="shared" si="6"/>
        <v>产业集聚程度</v>
      </c>
      <c r="R17" s="1560" t="s">
        <v>8</v>
      </c>
      <c r="S17" s="1561">
        <f t="shared" si="0"/>
        <v>100</v>
      </c>
      <c r="T17" s="1560" t="s">
        <v>8</v>
      </c>
      <c r="U17" s="1561">
        <f t="shared" si="1"/>
        <v>100</v>
      </c>
      <c r="V17" s="1560" t="s">
        <v>8</v>
      </c>
      <c r="W17" s="1561">
        <f t="shared" si="2"/>
        <v>100</v>
      </c>
      <c r="X17" s="1554"/>
      <c r="Y17" s="340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3"/>
      <c r="Q18" s="1559"/>
      <c r="R18" s="1560"/>
      <c r="S18" s="1561"/>
      <c r="T18" s="1560"/>
      <c r="U18" s="1561"/>
      <c r="V18" s="1560"/>
      <c r="W18" s="1561"/>
      <c r="X18" s="1554"/>
      <c r="Y18" s="3403"/>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3"/>
      <c r="Q19" s="1559" t="str">
        <f>B19</f>
        <v>交通便捷度</v>
      </c>
      <c r="R19" s="1560" t="s">
        <v>8</v>
      </c>
      <c r="S19" s="1561">
        <f>F19</f>
        <v>100</v>
      </c>
      <c r="T19" s="1560" t="s">
        <v>8</v>
      </c>
      <c r="U19" s="1561">
        <f>H19</f>
        <v>100</v>
      </c>
      <c r="V19" s="1560" t="s">
        <v>8</v>
      </c>
      <c r="W19" s="1561">
        <f>J19</f>
        <v>100</v>
      </c>
      <c r="X19" s="1554"/>
      <c r="Y19" s="340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3"/>
      <c r="Q20" s="1559"/>
      <c r="R20" s="1560"/>
      <c r="S20" s="1561"/>
      <c r="T20" s="1560"/>
      <c r="U20" s="1561"/>
      <c r="V20" s="1560"/>
      <c r="W20" s="1561"/>
      <c r="X20" s="1554"/>
      <c r="Y20" s="3403"/>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3"/>
      <c r="Q21" s="1559" t="str">
        <f t="shared" ref="Q21:Q35" si="8">B21</f>
        <v>区域土地利用方向</v>
      </c>
      <c r="R21" s="1560" t="s">
        <v>8</v>
      </c>
      <c r="S21" s="1561">
        <f>F21</f>
        <v>100</v>
      </c>
      <c r="T21" s="1560" t="s">
        <v>8</v>
      </c>
      <c r="U21" s="1561">
        <f>H21</f>
        <v>100</v>
      </c>
      <c r="V21" s="1560" t="s">
        <v>8</v>
      </c>
      <c r="W21" s="1561">
        <f>J21</f>
        <v>100</v>
      </c>
      <c r="X21" s="1554"/>
      <c r="Y21" s="340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3"/>
      <c r="Q22" s="1559"/>
      <c r="R22" s="1560"/>
      <c r="S22" s="1561"/>
      <c r="T22" s="1560"/>
      <c r="U22" s="1561"/>
      <c r="V22" s="1560"/>
      <c r="W22" s="1561"/>
      <c r="X22" s="1554"/>
      <c r="Y22" s="3403"/>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3"/>
      <c r="Q23" s="1559" t="str">
        <f t="shared" si="8"/>
        <v>环境状况</v>
      </c>
      <c r="R23" s="1560" t="s">
        <v>8</v>
      </c>
      <c r="S23" s="1561">
        <f>F23</f>
        <v>100</v>
      </c>
      <c r="T23" s="1560" t="s">
        <v>8</v>
      </c>
      <c r="U23" s="1561">
        <f>H23</f>
        <v>100</v>
      </c>
      <c r="V23" s="1560" t="s">
        <v>8</v>
      </c>
      <c r="W23" s="1561">
        <f>J23</f>
        <v>100</v>
      </c>
      <c r="X23" s="1554"/>
      <c r="Y23" s="340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3"/>
      <c r="Q24" s="1559"/>
      <c r="R24" s="1560"/>
      <c r="S24" s="1561"/>
      <c r="T24" s="1560"/>
      <c r="U24" s="1561"/>
      <c r="V24" s="1560"/>
      <c r="W24" s="1561"/>
      <c r="X24" s="1554"/>
      <c r="Y24" s="3403"/>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3"/>
      <c r="Q25" s="1147" t="str">
        <f t="shared" si="8"/>
        <v>公共配套设施</v>
      </c>
      <c r="R25" s="1555" t="s">
        <v>8</v>
      </c>
      <c r="S25" s="1556">
        <f>F25</f>
        <v>100</v>
      </c>
      <c r="T25" s="1555" t="s">
        <v>8</v>
      </c>
      <c r="U25" s="1556">
        <f>H25</f>
        <v>100</v>
      </c>
      <c r="V25" s="1555" t="s">
        <v>8</v>
      </c>
      <c r="W25" s="1556">
        <f>J25</f>
        <v>100</v>
      </c>
      <c r="X25" s="1557"/>
      <c r="Y25" s="3403"/>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3"/>
      <c r="Q26" s="1147"/>
      <c r="R26" s="1555"/>
      <c r="S26" s="1556"/>
      <c r="T26" s="1555"/>
      <c r="U26" s="1556"/>
      <c r="V26" s="1555"/>
      <c r="W26" s="1556"/>
      <c r="X26" s="1557"/>
      <c r="Y26" s="3403"/>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3"/>
      <c r="Q27" s="2543" t="str">
        <f t="shared" ref="Q27" si="9">B27</f>
        <v>基础设施水平</v>
      </c>
      <c r="R27" s="1555" t="s">
        <v>8</v>
      </c>
      <c r="S27" s="1556">
        <f>F27</f>
        <v>100</v>
      </c>
      <c r="T27" s="1555" t="s">
        <v>8</v>
      </c>
      <c r="U27" s="1556">
        <f>H27</f>
        <v>100</v>
      </c>
      <c r="V27" s="1555" t="s">
        <v>8</v>
      </c>
      <c r="W27" s="1556">
        <f>J27</f>
        <v>100</v>
      </c>
      <c r="X27" s="1557"/>
      <c r="Y27" s="3403"/>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3"/>
      <c r="Q28" s="2543"/>
      <c r="R28" s="1555"/>
      <c r="S28" s="1556"/>
      <c r="T28" s="1555"/>
      <c r="U28" s="1556"/>
      <c r="V28" s="1555"/>
      <c r="W28" s="1556"/>
      <c r="X28" s="1557"/>
      <c r="Y28" s="3403"/>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3"/>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3"/>
      <c r="Q30" s="1559" t="str">
        <f t="shared" si="8"/>
        <v>毗邻道路的类型与等级</v>
      </c>
      <c r="R30" s="1560" t="s">
        <v>8</v>
      </c>
      <c r="S30" s="1561">
        <f t="shared" si="10"/>
        <v>100</v>
      </c>
      <c r="T30" s="1560" t="s">
        <v>8</v>
      </c>
      <c r="U30" s="1561">
        <f t="shared" si="11"/>
        <v>100</v>
      </c>
      <c r="V30" s="1560" t="s">
        <v>8</v>
      </c>
      <c r="W30" s="1561">
        <f t="shared" si="12"/>
        <v>100</v>
      </c>
      <c r="X30" s="1554"/>
      <c r="Y30" s="340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3"/>
      <c r="Q31" s="1559"/>
      <c r="R31" s="1560"/>
      <c r="S31" s="1561"/>
      <c r="T31" s="1560"/>
      <c r="U31" s="1561"/>
      <c r="V31" s="1560"/>
      <c r="W31" s="1561"/>
      <c r="X31" s="1554"/>
      <c r="Y31" s="3403"/>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3"/>
      <c r="Q32" s="1559" t="str">
        <f t="shared" si="8"/>
        <v>土地级别</v>
      </c>
      <c r="R32" s="1560" t="s">
        <v>8</v>
      </c>
      <c r="S32" s="1561">
        <f t="shared" si="10"/>
        <v>100</v>
      </c>
      <c r="T32" s="1560" t="s">
        <v>8</v>
      </c>
      <c r="U32" s="1561">
        <f t="shared" si="11"/>
        <v>100</v>
      </c>
      <c r="V32" s="1560" t="s">
        <v>8</v>
      </c>
      <c r="W32" s="1561">
        <f t="shared" si="12"/>
        <v>100</v>
      </c>
      <c r="X32" s="1554"/>
      <c r="Y32" s="340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3"/>
      <c r="Q33" s="1559">
        <f t="shared" si="8"/>
        <v>111</v>
      </c>
      <c r="R33" s="1560" t="s">
        <v>8</v>
      </c>
      <c r="S33" s="1561">
        <f t="shared" si="10"/>
        <v>100</v>
      </c>
      <c r="T33" s="1560" t="s">
        <v>8</v>
      </c>
      <c r="U33" s="1561">
        <f t="shared" si="11"/>
        <v>100</v>
      </c>
      <c r="V33" s="1560" t="s">
        <v>8</v>
      </c>
      <c r="W33" s="1561">
        <f t="shared" si="12"/>
        <v>100</v>
      </c>
      <c r="X33" s="1554"/>
      <c r="Y33" s="340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4" t="s">
        <v>550</v>
      </c>
      <c r="Q34" s="1559">
        <f t="shared" si="8"/>
        <v>111</v>
      </c>
      <c r="R34" s="1560" t="s">
        <v>8</v>
      </c>
      <c r="S34" s="1561">
        <f t="shared" si="10"/>
        <v>100</v>
      </c>
      <c r="T34" s="1560" t="s">
        <v>8</v>
      </c>
      <c r="U34" s="1561">
        <f t="shared" si="11"/>
        <v>100</v>
      </c>
      <c r="V34" s="1560" t="s">
        <v>8</v>
      </c>
      <c r="W34" s="1561">
        <f t="shared" si="12"/>
        <v>100</v>
      </c>
      <c r="X34" s="1554"/>
      <c r="Y34" s="3405"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5"/>
      <c r="Q35" s="1559">
        <f t="shared" si="8"/>
        <v>111</v>
      </c>
      <c r="R35" s="1564" t="s">
        <v>8</v>
      </c>
      <c r="S35" s="1565">
        <f t="shared" si="10"/>
        <v>100</v>
      </c>
      <c r="T35" s="1564" t="s">
        <v>8</v>
      </c>
      <c r="U35" s="1565">
        <f t="shared" si="11"/>
        <v>100</v>
      </c>
      <c r="V35" s="1564" t="s">
        <v>8</v>
      </c>
      <c r="W35" s="1565">
        <f t="shared" si="12"/>
        <v>100</v>
      </c>
      <c r="X35" s="1566"/>
      <c r="Y35" s="3405"/>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5"/>
      <c r="Q36" s="1559" t="str">
        <f>B36</f>
        <v>宗地面积</v>
      </c>
      <c r="R36" s="1560" t="s">
        <v>8</v>
      </c>
      <c r="S36" s="1561" t="e">
        <f t="shared" si="10"/>
        <v>#N/A</v>
      </c>
      <c r="T36" s="1560" t="s">
        <v>8</v>
      </c>
      <c r="U36" s="1561" t="e">
        <f t="shared" si="11"/>
        <v>#N/A</v>
      </c>
      <c r="V36" s="1560" t="s">
        <v>8</v>
      </c>
      <c r="W36" s="1561" t="e">
        <f t="shared" si="12"/>
        <v>#N/A</v>
      </c>
      <c r="X36" s="1554"/>
      <c r="Y36" s="340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5"/>
      <c r="Q37" s="1559" t="str">
        <f t="shared" ref="Q37:Q42" si="14">B37</f>
        <v>宗地形状</v>
      </c>
      <c r="R37" s="1560" t="s">
        <v>8</v>
      </c>
      <c r="S37" s="1561">
        <f t="shared" si="10"/>
        <v>100</v>
      </c>
      <c r="T37" s="1560" t="s">
        <v>8</v>
      </c>
      <c r="U37" s="1561">
        <f t="shared" si="11"/>
        <v>100</v>
      </c>
      <c r="V37" s="1560" t="s">
        <v>8</v>
      </c>
      <c r="W37" s="1561">
        <f t="shared" si="12"/>
        <v>100</v>
      </c>
      <c r="X37" s="1554"/>
      <c r="Y37" s="3405"/>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5"/>
      <c r="Q38" s="1559" t="str">
        <f t="shared" si="14"/>
        <v>宗地开发程度</v>
      </c>
      <c r="R38" s="1555" t="s">
        <v>8</v>
      </c>
      <c r="S38" s="1556">
        <f t="shared" si="10"/>
        <v>100</v>
      </c>
      <c r="T38" s="1555" t="s">
        <v>8</v>
      </c>
      <c r="U38" s="1556">
        <f t="shared" si="11"/>
        <v>100</v>
      </c>
      <c r="V38" s="1555" t="s">
        <v>8</v>
      </c>
      <c r="W38" s="1556">
        <f t="shared" si="12"/>
        <v>100</v>
      </c>
      <c r="X38" s="1557"/>
      <c r="Y38" s="340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5" t="s">
        <v>601</v>
      </c>
      <c r="Q39" s="1559" t="str">
        <f t="shared" si="14"/>
        <v>工程地质条件</v>
      </c>
      <c r="R39" s="1560" t="s">
        <v>8</v>
      </c>
      <c r="S39" s="1561">
        <f t="shared" si="10"/>
        <v>100</v>
      </c>
      <c r="T39" s="1560" t="s">
        <v>8</v>
      </c>
      <c r="U39" s="1561">
        <f t="shared" si="11"/>
        <v>100</v>
      </c>
      <c r="V39" s="1560" t="s">
        <v>8</v>
      </c>
      <c r="W39" s="1561">
        <f t="shared" si="12"/>
        <v>100</v>
      </c>
      <c r="X39" s="1554"/>
      <c r="Y39" s="340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5"/>
      <c r="Q40" s="1559">
        <f t="shared" si="14"/>
        <v>111</v>
      </c>
      <c r="R40" s="1560" t="s">
        <v>8</v>
      </c>
      <c r="S40" s="1561">
        <f t="shared" si="10"/>
        <v>100</v>
      </c>
      <c r="T40" s="1560" t="s">
        <v>8</v>
      </c>
      <c r="U40" s="1561">
        <f t="shared" si="11"/>
        <v>100</v>
      </c>
      <c r="V40" s="1560" t="s">
        <v>8</v>
      </c>
      <c r="W40" s="1561">
        <f t="shared" si="12"/>
        <v>100</v>
      </c>
      <c r="X40" s="1554"/>
      <c r="Y40" s="340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5"/>
      <c r="Q41" s="1559">
        <f t="shared" si="14"/>
        <v>111</v>
      </c>
      <c r="R41" s="1560" t="s">
        <v>8</v>
      </c>
      <c r="S41" s="1561">
        <f t="shared" si="10"/>
        <v>100</v>
      </c>
      <c r="T41" s="1560" t="s">
        <v>8</v>
      </c>
      <c r="U41" s="1561">
        <f t="shared" si="11"/>
        <v>100</v>
      </c>
      <c r="V41" s="1560" t="s">
        <v>8</v>
      </c>
      <c r="W41" s="1561">
        <f t="shared" si="12"/>
        <v>100</v>
      </c>
      <c r="X41" s="1554"/>
      <c r="Y41" s="340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5"/>
      <c r="Q42" s="1559">
        <f t="shared" si="14"/>
        <v>111</v>
      </c>
      <c r="R42" s="1564" t="s">
        <v>8</v>
      </c>
      <c r="S42" s="1565">
        <f t="shared" si="10"/>
        <v>100</v>
      </c>
      <c r="T42" s="1564" t="s">
        <v>8</v>
      </c>
      <c r="U42" s="1565">
        <f t="shared" si="11"/>
        <v>100</v>
      </c>
      <c r="V42" s="1564" t="s">
        <v>8</v>
      </c>
      <c r="W42" s="1565">
        <f t="shared" si="12"/>
        <v>100</v>
      </c>
      <c r="X42" s="1566"/>
      <c r="Y42" s="3405"/>
      <c r="Z42" s="1567">
        <f t="shared" si="13"/>
        <v>111</v>
      </c>
      <c r="AA42" s="1563">
        <f t="shared" si="3"/>
        <v>1</v>
      </c>
      <c r="AB42" s="1563">
        <f t="shared" si="4"/>
        <v>1</v>
      </c>
      <c r="AC42" s="1563">
        <f t="shared" si="5"/>
        <v>1</v>
      </c>
    </row>
    <row r="43" spans="1:29" ht="15">
      <c r="A43" s="607" t="s">
        <v>556</v>
      </c>
      <c r="B43" s="608" t="s">
        <v>2932</v>
      </c>
      <c r="C43" s="609" t="s">
        <v>1</v>
      </c>
      <c r="D43" s="610"/>
      <c r="E43" s="611"/>
      <c r="F43" s="612"/>
      <c r="G43" s="613"/>
      <c r="H43" s="614"/>
      <c r="I43" s="611"/>
      <c r="J43" s="614"/>
      <c r="K43" s="1336"/>
      <c r="L43" s="2130"/>
      <c r="M43" s="2120"/>
      <c r="N43" s="2120"/>
      <c r="O43" s="2131"/>
      <c r="P43" s="3368" t="str">
        <f>A43</f>
        <v>成交单价</v>
      </c>
      <c r="Q43" s="3368"/>
      <c r="R43" s="3369">
        <f>E43</f>
        <v>0</v>
      </c>
      <c r="S43" s="3369"/>
      <c r="T43" s="3369">
        <f>G43</f>
        <v>0</v>
      </c>
      <c r="U43" s="3369"/>
      <c r="V43" s="3369">
        <f>I43</f>
        <v>0</v>
      </c>
      <c r="W43" s="3369"/>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68" t="str">
        <f>A44</f>
        <v>比较价格（元/平方米）</v>
      </c>
      <c r="Q44" s="3368"/>
      <c r="R44" s="3370" t="e">
        <f>ROUND(PRODUCT(R43,AA9:AA42),0)</f>
        <v>#DIV/0!</v>
      </c>
      <c r="S44" s="3370"/>
      <c r="T44" s="3370" t="e">
        <f>ROUND(PRODUCT(T43,AB9:AB42),0)</f>
        <v>#DIV/0!</v>
      </c>
      <c r="U44" s="3370"/>
      <c r="V44" s="3370" t="e">
        <f>ROUND(PRODUCT(V43,AC9:AC42),0)</f>
        <v>#DIV/0!</v>
      </c>
      <c r="W44" s="3370"/>
      <c r="X44" s="1546"/>
      <c r="Y44" s="1546"/>
      <c r="Z44" s="1546"/>
      <c r="AA44" s="1546"/>
      <c r="AB44" s="1546"/>
      <c r="AC44" s="1546"/>
    </row>
    <row r="45" spans="1:29" ht="15.75" thickBot="1">
      <c r="A45" s="621" t="s">
        <v>2933</v>
      </c>
      <c r="B45" s="622"/>
      <c r="C45" s="623" t="e">
        <f>R45</f>
        <v>#DIV/0!</v>
      </c>
      <c r="D45" s="623"/>
      <c r="E45" s="623"/>
      <c r="F45" s="623"/>
      <c r="G45" s="623"/>
      <c r="H45" s="623"/>
      <c r="I45" s="623"/>
      <c r="J45" s="623"/>
      <c r="K45" s="1338"/>
      <c r="L45" s="2130"/>
      <c r="M45" s="2120"/>
      <c r="N45" s="2120"/>
      <c r="O45" s="2131"/>
      <c r="P45" s="3365" t="str">
        <f>A45</f>
        <v>估价对象XX用房的比较价格（楼面单价，元/平方米）</v>
      </c>
      <c r="Q45" s="3366"/>
      <c r="R45" s="3367" t="e">
        <f>ROUND(AVERAGE(R44:V44),0)</f>
        <v>#DIV/0!</v>
      </c>
      <c r="S45" s="3367"/>
      <c r="T45" s="3367"/>
      <c r="U45" s="3367"/>
      <c r="V45" s="3367"/>
      <c r="W45" s="336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12" t="s">
        <v>2284</v>
      </c>
      <c r="H52" s="3413"/>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102255</v>
      </c>
      <c r="F53" s="1936" t="e">
        <f t="shared" ref="F53:F62" si="15">ROUND(B53*E53/10000,0)</f>
        <v>#DIV/0!</v>
      </c>
      <c r="G53" s="3414"/>
      <c r="H53" s="3415"/>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6"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6"/>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6"/>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6"/>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120300.2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7"/>
      <c r="L4" s="1871" t="s">
        <v>2241</v>
      </c>
      <c r="M4" s="1872">
        <f>SUMPRODUCT((区片价!B49:B75=I2)*(区片价!C3:F3=E2)*(区片价!C49:F75))</f>
        <v>0</v>
      </c>
      <c r="N4" s="1873">
        <f>SUMPRODUCT((因素修正幅度!B49:B75=I2)*(因素修正幅度!C3:F3=E2)*(因素修正幅度!C49:F75))</f>
        <v>0</v>
      </c>
      <c r="O4" s="3147"/>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1" t="e">
        <f>ROUND(C6+C16,0)</f>
        <v>#DIV/0!</v>
      </c>
      <c r="E5" s="3071"/>
      <c r="F5" s="1413"/>
      <c r="G5" s="1414"/>
      <c r="H5" s="1414"/>
      <c r="I5" s="1414"/>
      <c r="J5" s="1415"/>
      <c r="K5" s="3148"/>
      <c r="L5" s="1871" t="s">
        <v>2242</v>
      </c>
      <c r="M5" s="1872">
        <f>SUMPRODUCT((区片价!B76:B109=I2)*(区片价!C3:F3=E2)*(区片价!C76:F109))</f>
        <v>0</v>
      </c>
      <c r="N5" s="1873">
        <f>SUMPRODUCT((因素修正幅度!B76:B109=I2)*(因素修正幅度!C3:F3=E2)*(因素修正幅度!C76:F109))</f>
        <v>0</v>
      </c>
      <c r="O5" s="3148"/>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8"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29"/>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8" t="s">
        <v>2783</v>
      </c>
      <c r="X8" s="3419"/>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29"/>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7" t="s">
        <v>2779</v>
      </c>
      <c r="X9" s="2887" t="s">
        <v>2780</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9"/>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7"/>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9"/>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7"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8"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7"/>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0"/>
      <c r="B13" s="1441" t="s">
        <v>1696</v>
      </c>
      <c r="C13" s="1442" t="s">
        <v>1697</v>
      </c>
      <c r="D13" s="1085" t="s">
        <v>1698</v>
      </c>
      <c r="E13" s="1085" t="s">
        <v>1699</v>
      </c>
      <c r="F13" s="1443" t="s">
        <v>948</v>
      </c>
      <c r="G13" s="1444" t="s">
        <v>1642</v>
      </c>
      <c r="H13" s="1445" t="s">
        <v>1642</v>
      </c>
      <c r="I13" s="1446" t="s">
        <v>1642</v>
      </c>
      <c r="J13" s="1447" t="s">
        <v>1642</v>
      </c>
      <c r="K13" s="3163"/>
      <c r="L13" s="3163"/>
      <c r="M13" s="3163"/>
      <c r="N13" s="3163"/>
      <c r="O13" s="3163"/>
      <c r="P13" s="1398"/>
      <c r="Q13" s="2175"/>
      <c r="R13" s="2893">
        <v>12</v>
      </c>
      <c r="S13" s="2882"/>
      <c r="T13" s="2893" t="e">
        <f t="shared" si="0"/>
        <v>#DIV/0!</v>
      </c>
      <c r="U13" s="2882"/>
      <c r="V13" s="2893" t="e">
        <f t="shared" si="1"/>
        <v>#DIV/0!</v>
      </c>
      <c r="W13" s="3417"/>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0"/>
      <c r="B14" s="1448"/>
      <c r="C14" s="1449"/>
      <c r="D14" s="1450"/>
      <c r="E14" s="1450"/>
      <c r="F14" s="1451"/>
      <c r="G14" s="1452" t="s">
        <v>949</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1"/>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8" t="s">
        <v>1838</v>
      </c>
      <c r="B16" s="1424" t="s">
        <v>950</v>
      </c>
      <c r="C16" s="1052" t="e">
        <f>ROUND(IF(F17="与级别开发程度一致",0,(G17-E17)/C17),0)</f>
        <v>#DIV/0!</v>
      </c>
      <c r="D16" s="3425" t="s">
        <v>954</v>
      </c>
      <c r="E16" s="3426"/>
      <c r="F16" s="3425" t="s">
        <v>951</v>
      </c>
      <c r="G16" s="3426"/>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2"/>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69" t="s">
        <v>955</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43700</v>
      </c>
      <c r="H19" s="1464" t="s">
        <v>2993</v>
      </c>
      <c r="I19" s="2741" t="str">
        <f>IF(H19="季度增幅（自定义）",SUMIF(N21:N24,E2,O21:O24),"")</f>
        <v/>
      </c>
      <c r="J19" s="1460"/>
      <c r="K19" s="3148"/>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6">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0"/>
      <c r="L20" s="2995" t="s">
        <v>2842</v>
      </c>
      <c r="M20" s="3157">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8"/>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2"/>
      <c r="L24" s="1470"/>
      <c r="M24" s="1470"/>
      <c r="N24" s="1467" t="s">
        <v>981</v>
      </c>
      <c r="O24" s="3156"/>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8" t="s">
        <v>2648</v>
      </c>
      <c r="O25" s="3159"/>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5" t="s">
        <v>2958</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6"/>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6"/>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7"/>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2985</v>
      </c>
      <c r="C41" s="839" t="e">
        <f>ROUND(POWER(1+E41,H41-G41)*(POWER(1+E41,G41)-1)/(POWER(1+E41,H41)-1),4)</f>
        <v>#DIV/0!</v>
      </c>
      <c r="D41" s="378" t="s">
        <v>2983</v>
      </c>
      <c r="E41" s="3145">
        <f>G20</f>
        <v>0</v>
      </c>
      <c r="F41" s="378" t="s">
        <v>2984</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1021</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8" t="s">
        <v>2935</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t="str">
        <f>估价对象房地状况!C24</f>
        <v>支路</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7" t="s">
        <v>2934</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1021</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8" t="s">
        <v>2936</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t="str">
        <f>估价对象房地状况!C24</f>
        <v>支路</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7" t="s">
        <v>2934</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1033</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t="str">
        <f>估价对象房地状况!C24</f>
        <v>支路</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7" t="s">
        <v>2934</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7" t="s">
        <v>2934</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3" t="s">
        <v>1633</v>
      </c>
      <c r="B90" s="3433"/>
      <c r="C90" s="3433"/>
      <c r="D90" s="3433"/>
      <c r="E90" s="3433"/>
      <c r="F90" s="3433"/>
      <c r="G90" s="3433"/>
      <c r="H90" s="3433"/>
      <c r="I90" s="3433"/>
      <c r="J90" s="3433"/>
      <c r="K90" s="2415"/>
      <c r="L90" s="2415"/>
      <c r="M90" s="2415"/>
      <c r="N90" s="2415"/>
    </row>
    <row r="91" spans="1:40">
      <c r="A91" s="3434" t="s">
        <v>1443</v>
      </c>
      <c r="B91" s="3434" t="s">
        <v>1634</v>
      </c>
      <c r="C91" s="1136" t="s">
        <v>1635</v>
      </c>
      <c r="D91" s="1137"/>
      <c r="E91" s="1137"/>
      <c r="F91" s="1137"/>
      <c r="G91" s="1137"/>
      <c r="H91" s="1137"/>
      <c r="I91" s="1137"/>
      <c r="J91" s="1138"/>
      <c r="K91" s="1130"/>
      <c r="L91" s="1130"/>
      <c r="M91" s="1130"/>
      <c r="N91" s="1130"/>
    </row>
    <row r="92" spans="1:40">
      <c r="A92" s="3434"/>
      <c r="B92" s="3434"/>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0"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0"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1"/>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1"/>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1"/>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1"/>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1"/>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1"/>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1"/>
      <c r="B108" s="342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2"/>
      <c r="B109" s="3424"/>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7" t="s">
        <v>1639</v>
      </c>
      <c r="B110" s="3427"/>
      <c r="C110" s="3427"/>
      <c r="D110" s="3427"/>
      <c r="E110" s="3427"/>
      <c r="F110" s="3427"/>
      <c r="G110" s="3427"/>
      <c r="H110" s="3427"/>
      <c r="I110" s="3427"/>
      <c r="J110" s="3427"/>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4" t="s">
        <v>1007</v>
      </c>
      <c r="B18" s="1150" t="s">
        <v>1446</v>
      </c>
      <c r="C18" s="1127" t="s">
        <v>1447</v>
      </c>
      <c r="D18" s="1128"/>
      <c r="E18" s="1150">
        <v>1</v>
      </c>
      <c r="F18" s="1129" t="s">
        <v>1448</v>
      </c>
      <c r="G18" s="1130"/>
      <c r="H18" s="1101"/>
      <c r="I18" s="1101"/>
    </row>
    <row r="19" spans="1:9" s="1585" customFormat="1" ht="19.5" customHeight="1">
      <c r="A19" s="3434"/>
      <c r="B19" s="3434" t="s">
        <v>1449</v>
      </c>
      <c r="C19" s="1127" t="s">
        <v>1450</v>
      </c>
      <c r="D19" s="1128"/>
      <c r="E19" s="1150">
        <v>0.9</v>
      </c>
      <c r="F19" s="1129" t="s">
        <v>1451</v>
      </c>
      <c r="G19" s="1130"/>
      <c r="H19" s="1101"/>
      <c r="I19" s="1101"/>
    </row>
    <row r="20" spans="1:9" s="1585" customFormat="1" ht="19.5" customHeight="1">
      <c r="A20" s="3434"/>
      <c r="B20" s="3434"/>
      <c r="C20" s="1127" t="s">
        <v>1452</v>
      </c>
      <c r="D20" s="1128"/>
      <c r="E20" s="1150">
        <v>1.1000000000000001</v>
      </c>
      <c r="F20" s="1129" t="s">
        <v>1453</v>
      </c>
      <c r="G20" s="1130"/>
      <c r="H20" s="1101"/>
      <c r="I20" s="1101"/>
    </row>
    <row r="21" spans="1:9" s="1585" customFormat="1" ht="19.5" customHeight="1">
      <c r="A21" s="3434"/>
      <c r="B21" s="3434"/>
      <c r="C21" s="1127" t="s">
        <v>1454</v>
      </c>
      <c r="D21" s="1128"/>
      <c r="E21" s="1150">
        <v>0.8</v>
      </c>
      <c r="F21" s="1129" t="s">
        <v>1455</v>
      </c>
      <c r="G21" s="1130"/>
      <c r="H21" s="1101"/>
      <c r="I21" s="1101"/>
    </row>
    <row r="22" spans="1:9" s="1585" customFormat="1" ht="19.5" customHeight="1">
      <c r="A22" s="3434"/>
      <c r="B22" s="3434"/>
      <c r="C22" s="1127" t="s">
        <v>1456</v>
      </c>
      <c r="D22" s="1128"/>
      <c r="E22" s="1150">
        <v>0.5</v>
      </c>
      <c r="F22" s="1129"/>
      <c r="G22" s="1130"/>
      <c r="H22" s="1101"/>
      <c r="I22" s="1101"/>
    </row>
    <row r="23" spans="1:9" s="1585" customFormat="1" ht="19.5" customHeight="1">
      <c r="A23" s="3434" t="s">
        <v>1029</v>
      </c>
      <c r="B23" s="1150" t="s">
        <v>1446</v>
      </c>
      <c r="C23" s="1127" t="s">
        <v>1457</v>
      </c>
      <c r="D23" s="1128"/>
      <c r="E23" s="1150">
        <v>1</v>
      </c>
      <c r="F23" s="1129" t="s">
        <v>1458</v>
      </c>
      <c r="G23" s="1130"/>
      <c r="H23" s="1101"/>
      <c r="I23" s="1101"/>
    </row>
    <row r="24" spans="1:9" s="1585" customFormat="1" ht="19.5" customHeight="1">
      <c r="A24" s="3434"/>
      <c r="B24" s="3434" t="s">
        <v>1449</v>
      </c>
      <c r="C24" s="1127" t="s">
        <v>1459</v>
      </c>
      <c r="D24" s="1128"/>
      <c r="E24" s="1150">
        <v>0.5</v>
      </c>
      <c r="F24" s="1129"/>
      <c r="G24" s="1130"/>
      <c r="H24" s="1101"/>
      <c r="I24" s="1101"/>
    </row>
    <row r="25" spans="1:9" s="1585" customFormat="1" ht="19.5" customHeight="1">
      <c r="A25" s="3434"/>
      <c r="B25" s="3434"/>
      <c r="C25" s="1127" t="s">
        <v>1460</v>
      </c>
      <c r="D25" s="1128"/>
      <c r="E25" s="1150">
        <v>1.1000000000000001</v>
      </c>
      <c r="F25" s="1129"/>
      <c r="G25" s="1130"/>
      <c r="H25" s="1101"/>
      <c r="I25" s="1101"/>
    </row>
    <row r="26" spans="1:9" s="1585" customFormat="1" ht="19.5" customHeight="1">
      <c r="A26" s="3434"/>
      <c r="B26" s="3434"/>
      <c r="C26" s="1127" t="s">
        <v>1461</v>
      </c>
      <c r="D26" s="1128"/>
      <c r="E26" s="1150">
        <v>1.1000000000000001</v>
      </c>
      <c r="F26" s="1129"/>
      <c r="G26" s="1130"/>
      <c r="H26" s="1101"/>
      <c r="I26" s="1101"/>
    </row>
    <row r="27" spans="1:9" s="1585" customFormat="1" ht="19.5" customHeight="1">
      <c r="A27" s="3434"/>
      <c r="B27" s="3434"/>
      <c r="C27" s="1127" t="s">
        <v>1462</v>
      </c>
      <c r="D27" s="1128"/>
      <c r="E27" s="1150">
        <v>0.9</v>
      </c>
      <c r="F27" s="1129" t="s">
        <v>1463</v>
      </c>
      <c r="G27" s="1130"/>
      <c r="H27" s="1101"/>
      <c r="I27" s="1101"/>
    </row>
    <row r="28" spans="1:9" s="1585" customFormat="1" ht="19.5" customHeight="1">
      <c r="A28" s="3434"/>
      <c r="B28" s="3434"/>
      <c r="C28" s="1127" t="s">
        <v>1464</v>
      </c>
      <c r="D28" s="1128"/>
      <c r="E28" s="1150">
        <v>0.9</v>
      </c>
      <c r="F28" s="1129" t="s">
        <v>1465</v>
      </c>
      <c r="G28" s="1130"/>
      <c r="H28" s="1101"/>
      <c r="I28" s="1101"/>
    </row>
    <row r="29" spans="1:9" s="1585" customFormat="1" ht="19.5" customHeight="1">
      <c r="A29" s="3434"/>
      <c r="B29" s="3434"/>
      <c r="C29" s="1127" t="s">
        <v>1466</v>
      </c>
      <c r="D29" s="1128"/>
      <c r="E29" s="1150">
        <v>0.9</v>
      </c>
      <c r="F29" s="1129" t="s">
        <v>1467</v>
      </c>
      <c r="G29" s="1130"/>
      <c r="H29" s="1101"/>
      <c r="I29" s="1101"/>
    </row>
    <row r="30" spans="1:9" s="1585" customFormat="1" ht="19.5" customHeight="1">
      <c r="A30" s="3434"/>
      <c r="B30" s="3434"/>
      <c r="C30" s="1127" t="s">
        <v>1468</v>
      </c>
      <c r="D30" s="1128"/>
      <c r="E30" s="1150">
        <v>0.9</v>
      </c>
      <c r="F30" s="1129" t="s">
        <v>1469</v>
      </c>
      <c r="G30" s="1130"/>
      <c r="H30" s="1101"/>
      <c r="I30" s="1101"/>
    </row>
    <row r="31" spans="1:9" s="1585" customFormat="1" ht="19.5" customHeight="1">
      <c r="A31" s="3434"/>
      <c r="B31" s="3434"/>
      <c r="C31" s="1127" t="s">
        <v>1470</v>
      </c>
      <c r="D31" s="1128"/>
      <c r="E31" s="1150">
        <v>0.8</v>
      </c>
      <c r="F31" s="1129" t="s">
        <v>1471</v>
      </c>
      <c r="G31" s="1130"/>
      <c r="H31" s="1101"/>
      <c r="I31" s="1101"/>
    </row>
    <row r="32" spans="1:9" s="1585" customFormat="1" ht="19.5" customHeight="1">
      <c r="A32" s="3434"/>
      <c r="B32" s="3434"/>
      <c r="C32" s="1127" t="s">
        <v>1472</v>
      </c>
      <c r="D32" s="1128"/>
      <c r="E32" s="1150">
        <v>0.8</v>
      </c>
      <c r="F32" s="1129" t="s">
        <v>1473</v>
      </c>
      <c r="G32" s="1130"/>
      <c r="H32" s="1101"/>
      <c r="I32" s="1101"/>
    </row>
    <row r="33" spans="1:9" s="1585" customFormat="1" ht="19.5" customHeight="1">
      <c r="A33" s="3434" t="s">
        <v>1474</v>
      </c>
      <c r="B33" s="1150" t="s">
        <v>1446</v>
      </c>
      <c r="C33" s="1127" t="s">
        <v>1475</v>
      </c>
      <c r="D33" s="1128"/>
      <c r="E33" s="1150">
        <v>1</v>
      </c>
      <c r="F33" s="1129" t="s">
        <v>1476</v>
      </c>
      <c r="G33" s="1130"/>
      <c r="H33" s="1101"/>
      <c r="I33" s="1101"/>
    </row>
    <row r="34" spans="1:9" s="1585" customFormat="1" ht="19.5" customHeight="1">
      <c r="A34" s="3434"/>
      <c r="B34" s="1150" t="s">
        <v>1449</v>
      </c>
      <c r="C34" s="1127" t="s">
        <v>1477</v>
      </c>
      <c r="D34" s="1128"/>
      <c r="E34" s="1150">
        <v>1.5</v>
      </c>
      <c r="F34" s="1129" t="s">
        <v>1478</v>
      </c>
      <c r="G34" s="1130"/>
      <c r="H34" s="1101"/>
      <c r="I34" s="1101"/>
    </row>
    <row r="35" spans="1:9" s="1585" customFormat="1" ht="19.5" customHeight="1">
      <c r="A35" s="3434" t="s">
        <v>1432</v>
      </c>
      <c r="B35" s="1150" t="s">
        <v>1446</v>
      </c>
      <c r="C35" s="1127" t="s">
        <v>1479</v>
      </c>
      <c r="D35" s="1128"/>
      <c r="E35" s="1150">
        <v>1</v>
      </c>
      <c r="F35" s="1129" t="s">
        <v>1480</v>
      </c>
      <c r="G35" s="1130"/>
      <c r="H35" s="1101"/>
      <c r="I35" s="1101"/>
    </row>
    <row r="36" spans="1:9" s="1585" customFormat="1" ht="19.5" customHeight="1">
      <c r="A36" s="3434"/>
      <c r="B36" s="3434" t="s">
        <v>1449</v>
      </c>
      <c r="C36" s="1127" t="s">
        <v>1481</v>
      </c>
      <c r="D36" s="1128"/>
      <c r="E36" s="1150">
        <v>1</v>
      </c>
      <c r="F36" s="1129" t="s">
        <v>1482</v>
      </c>
      <c r="G36" s="1130"/>
      <c r="H36" s="1101"/>
      <c r="I36" s="1101"/>
    </row>
    <row r="37" spans="1:9" s="1585" customFormat="1" ht="19.5" customHeight="1">
      <c r="A37" s="3434"/>
      <c r="B37" s="3434"/>
      <c r="C37" s="1127" t="s">
        <v>1483</v>
      </c>
      <c r="D37" s="1128"/>
      <c r="E37" s="1150">
        <v>1.5</v>
      </c>
      <c r="F37" s="1129" t="s">
        <v>1484</v>
      </c>
      <c r="G37" s="1130"/>
      <c r="H37" s="1101"/>
      <c r="I37" s="1101"/>
    </row>
    <row r="38" spans="1:9" s="1585" customFormat="1" ht="19.5" customHeight="1">
      <c r="A38" s="3434"/>
      <c r="B38" s="3434"/>
      <c r="C38" s="1127" t="s">
        <v>1485</v>
      </c>
      <c r="D38" s="1128"/>
      <c r="E38" s="1150">
        <v>1</v>
      </c>
      <c r="F38" s="1129" t="s">
        <v>1486</v>
      </c>
      <c r="G38" s="1130"/>
      <c r="H38" s="1101"/>
      <c r="I38" s="1101"/>
    </row>
    <row r="39" spans="1:9" s="1585" customFormat="1" ht="19.5" customHeight="1">
      <c r="A39" s="3434"/>
      <c r="B39" s="343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4" t="s">
        <v>1501</v>
      </c>
      <c r="C61" s="1064" t="s">
        <v>1502</v>
      </c>
      <c r="D61" s="1064" t="s">
        <v>1503</v>
      </c>
      <c r="E61" s="1135">
        <v>0.5</v>
      </c>
      <c r="F61" s="1150">
        <v>80</v>
      </c>
      <c r="H61" s="1101">
        <f>SUMIF(C59:C119,基准地价!C8,E59:E119)</f>
        <v>0</v>
      </c>
    </row>
    <row r="62" spans="1:8" s="1101" customFormat="1" ht="24">
      <c r="A62" s="1150">
        <v>2</v>
      </c>
      <c r="B62" s="3434"/>
      <c r="C62" s="1064" t="s">
        <v>1504</v>
      </c>
      <c r="D62" s="1064" t="s">
        <v>1505</v>
      </c>
      <c r="E62" s="1135">
        <v>0.5</v>
      </c>
      <c r="F62" s="1150">
        <v>80</v>
      </c>
    </row>
    <row r="63" spans="1:8" s="1101" customFormat="1" ht="36">
      <c r="A63" s="1150">
        <v>3</v>
      </c>
      <c r="B63" s="3434"/>
      <c r="C63" s="1064" t="s">
        <v>1506</v>
      </c>
      <c r="D63" s="1064" t="s">
        <v>1507</v>
      </c>
      <c r="E63" s="1135">
        <v>0.5</v>
      </c>
      <c r="F63" s="1150">
        <v>80</v>
      </c>
    </row>
    <row r="64" spans="1:8" s="1101" customFormat="1" ht="36">
      <c r="A64" s="1150">
        <v>4</v>
      </c>
      <c r="B64" s="3434"/>
      <c r="C64" s="1064" t="s">
        <v>1508</v>
      </c>
      <c r="D64" s="1064" t="s">
        <v>1509</v>
      </c>
      <c r="E64" s="1135">
        <v>0.4</v>
      </c>
      <c r="F64" s="1150">
        <v>60</v>
      </c>
    </row>
    <row r="65" spans="1:6" s="1101" customFormat="1" ht="36">
      <c r="A65" s="1150">
        <v>5</v>
      </c>
      <c r="B65" s="3434"/>
      <c r="C65" s="1064" t="s">
        <v>1510</v>
      </c>
      <c r="D65" s="1064" t="s">
        <v>1511</v>
      </c>
      <c r="E65" s="1135">
        <v>0.2</v>
      </c>
      <c r="F65" s="1150">
        <v>30</v>
      </c>
    </row>
    <row r="66" spans="1:6" s="1101" customFormat="1" ht="36">
      <c r="A66" s="1150">
        <v>6</v>
      </c>
      <c r="B66" s="3434"/>
      <c r="C66" s="1064" t="s">
        <v>1512</v>
      </c>
      <c r="D66" s="1064" t="s">
        <v>1513</v>
      </c>
      <c r="E66" s="1135">
        <v>0.3</v>
      </c>
      <c r="F66" s="1150">
        <v>50</v>
      </c>
    </row>
    <row r="67" spans="1:6" s="1101" customFormat="1" ht="36">
      <c r="A67" s="1150">
        <v>7</v>
      </c>
      <c r="B67" s="3434"/>
      <c r="C67" s="1064" t="s">
        <v>1514</v>
      </c>
      <c r="D67" s="1064" t="s">
        <v>1515</v>
      </c>
      <c r="E67" s="1135">
        <v>0.2</v>
      </c>
      <c r="F67" s="1150">
        <v>30</v>
      </c>
    </row>
    <row r="68" spans="1:6" s="1101" customFormat="1" ht="36">
      <c r="A68" s="1150">
        <v>8</v>
      </c>
      <c r="B68" s="3434"/>
      <c r="C68" s="1064" t="s">
        <v>1516</v>
      </c>
      <c r="D68" s="1064" t="s">
        <v>1517</v>
      </c>
      <c r="E68" s="1135">
        <v>0.2</v>
      </c>
      <c r="F68" s="1150">
        <v>30</v>
      </c>
    </row>
    <row r="69" spans="1:6" s="1101" customFormat="1" ht="36">
      <c r="A69" s="1150">
        <v>9</v>
      </c>
      <c r="B69" s="3434"/>
      <c r="C69" s="1064" t="s">
        <v>1518</v>
      </c>
      <c r="D69" s="1064" t="s">
        <v>1519</v>
      </c>
      <c r="E69" s="1135">
        <v>0.2</v>
      </c>
      <c r="F69" s="1150">
        <v>30</v>
      </c>
    </row>
    <row r="70" spans="1:6" s="1101" customFormat="1" ht="48">
      <c r="A70" s="1150">
        <v>10</v>
      </c>
      <c r="B70" s="3434"/>
      <c r="C70" s="1064" t="s">
        <v>1520</v>
      </c>
      <c r="D70" s="1064" t="s">
        <v>1521</v>
      </c>
      <c r="E70" s="1135">
        <v>0.2</v>
      </c>
      <c r="F70" s="1150">
        <v>30</v>
      </c>
    </row>
    <row r="71" spans="1:6" s="1101" customFormat="1" ht="48">
      <c r="A71" s="1150">
        <v>11</v>
      </c>
      <c r="B71" s="3434"/>
      <c r="C71" s="1064" t="s">
        <v>1522</v>
      </c>
      <c r="D71" s="1064" t="s">
        <v>1523</v>
      </c>
      <c r="E71" s="1135">
        <v>0.2</v>
      </c>
      <c r="F71" s="1150">
        <v>30</v>
      </c>
    </row>
    <row r="72" spans="1:6" s="1101" customFormat="1" ht="36">
      <c r="A72" s="1150">
        <v>12</v>
      </c>
      <c r="B72" s="3434"/>
      <c r="C72" s="1064" t="s">
        <v>1524</v>
      </c>
      <c r="D72" s="1064" t="s">
        <v>1525</v>
      </c>
      <c r="E72" s="1135">
        <v>0.5</v>
      </c>
      <c r="F72" s="1150">
        <v>80</v>
      </c>
    </row>
    <row r="73" spans="1:6" s="1101" customFormat="1" ht="24">
      <c r="A73" s="1150">
        <v>13</v>
      </c>
      <c r="B73" s="3434"/>
      <c r="C73" s="1064" t="s">
        <v>1526</v>
      </c>
      <c r="D73" s="1064" t="s">
        <v>1527</v>
      </c>
      <c r="E73" s="1135">
        <v>0.4</v>
      </c>
      <c r="F73" s="1150">
        <v>60</v>
      </c>
    </row>
    <row r="74" spans="1:6" s="1101" customFormat="1" ht="24">
      <c r="A74" s="1150">
        <v>14</v>
      </c>
      <c r="B74" s="3434"/>
      <c r="C74" s="1064" t="s">
        <v>1528</v>
      </c>
      <c r="D74" s="1064" t="s">
        <v>1529</v>
      </c>
      <c r="E74" s="1135">
        <v>0.2</v>
      </c>
      <c r="F74" s="1150">
        <v>30</v>
      </c>
    </row>
    <row r="75" spans="1:6" s="1101" customFormat="1" ht="24">
      <c r="A75" s="1150">
        <v>15</v>
      </c>
      <c r="B75" s="3434"/>
      <c r="C75" s="1064" t="s">
        <v>1530</v>
      </c>
      <c r="D75" s="1064" t="s">
        <v>1531</v>
      </c>
      <c r="E75" s="1135">
        <v>0.2</v>
      </c>
      <c r="F75" s="1150">
        <v>30</v>
      </c>
    </row>
    <row r="76" spans="1:6" s="1101" customFormat="1" ht="24">
      <c r="A76" s="1150">
        <v>16</v>
      </c>
      <c r="B76" s="3434" t="s">
        <v>1532</v>
      </c>
      <c r="C76" s="1064" t="s">
        <v>1533</v>
      </c>
      <c r="D76" s="1064" t="s">
        <v>1534</v>
      </c>
      <c r="E76" s="1135">
        <v>0.5</v>
      </c>
      <c r="F76" s="1150">
        <v>80</v>
      </c>
    </row>
    <row r="77" spans="1:6" s="1101" customFormat="1" ht="24">
      <c r="A77" s="1150">
        <v>17</v>
      </c>
      <c r="B77" s="3434"/>
      <c r="C77" s="1064" t="s">
        <v>1535</v>
      </c>
      <c r="D77" s="1064" t="s">
        <v>1536</v>
      </c>
      <c r="E77" s="1135">
        <v>0.5</v>
      </c>
      <c r="F77" s="1150">
        <v>80</v>
      </c>
    </row>
    <row r="78" spans="1:6" s="1101" customFormat="1" ht="24">
      <c r="A78" s="1150">
        <v>18</v>
      </c>
      <c r="B78" s="3434"/>
      <c r="C78" s="1064" t="s">
        <v>1537</v>
      </c>
      <c r="D78" s="1064" t="s">
        <v>1538</v>
      </c>
      <c r="E78" s="1135">
        <v>0.2</v>
      </c>
      <c r="F78" s="1150">
        <v>30</v>
      </c>
    </row>
    <row r="79" spans="1:6" s="1101" customFormat="1" ht="24">
      <c r="A79" s="1150">
        <v>19</v>
      </c>
      <c r="B79" s="3434"/>
      <c r="C79" s="1064" t="s">
        <v>1539</v>
      </c>
      <c r="D79" s="1064" t="s">
        <v>1540</v>
      </c>
      <c r="E79" s="1135">
        <v>0.5</v>
      </c>
      <c r="F79" s="1150">
        <v>80</v>
      </c>
    </row>
    <row r="80" spans="1:6" s="1101" customFormat="1" ht="36">
      <c r="A80" s="1150">
        <v>20</v>
      </c>
      <c r="B80" s="3434"/>
      <c r="C80" s="1064" t="s">
        <v>1541</v>
      </c>
      <c r="D80" s="1064" t="s">
        <v>1542</v>
      </c>
      <c r="E80" s="1135">
        <v>0.2</v>
      </c>
      <c r="F80" s="1150">
        <v>30</v>
      </c>
    </row>
    <row r="81" spans="1:6" s="1101" customFormat="1" ht="36">
      <c r="A81" s="1150">
        <v>21</v>
      </c>
      <c r="B81" s="3434"/>
      <c r="C81" s="1064" t="s">
        <v>1543</v>
      </c>
      <c r="D81" s="1064" t="s">
        <v>1544</v>
      </c>
      <c r="E81" s="1135">
        <v>0.2</v>
      </c>
      <c r="F81" s="1150">
        <v>30</v>
      </c>
    </row>
    <row r="82" spans="1:6" s="1101" customFormat="1" ht="48">
      <c r="A82" s="1150">
        <v>22</v>
      </c>
      <c r="B82" s="3434"/>
      <c r="C82" s="1064" t="s">
        <v>1545</v>
      </c>
      <c r="D82" s="1064" t="s">
        <v>1546</v>
      </c>
      <c r="E82" s="1135">
        <v>0.2</v>
      </c>
      <c r="F82" s="1150">
        <v>30</v>
      </c>
    </row>
    <row r="83" spans="1:6" s="1101" customFormat="1" ht="48">
      <c r="A83" s="1150">
        <v>23</v>
      </c>
      <c r="B83" s="3434"/>
      <c r="C83" s="1064" t="s">
        <v>1547</v>
      </c>
      <c r="D83" s="1064" t="s">
        <v>1548</v>
      </c>
      <c r="E83" s="1135">
        <v>0.2</v>
      </c>
      <c r="F83" s="1150">
        <v>30</v>
      </c>
    </row>
    <row r="84" spans="1:6" s="1101" customFormat="1" ht="36">
      <c r="A84" s="1150">
        <v>24</v>
      </c>
      <c r="B84" s="3434"/>
      <c r="C84" s="1064" t="s">
        <v>1549</v>
      </c>
      <c r="D84" s="1064" t="s">
        <v>1550</v>
      </c>
      <c r="E84" s="1135">
        <v>0.2</v>
      </c>
      <c r="F84" s="1150">
        <v>30</v>
      </c>
    </row>
    <row r="85" spans="1:6" s="1101" customFormat="1" ht="36">
      <c r="A85" s="1150">
        <v>25</v>
      </c>
      <c r="B85" s="3434"/>
      <c r="C85" s="1064" t="s">
        <v>1551</v>
      </c>
      <c r="D85" s="1064" t="s">
        <v>1552</v>
      </c>
      <c r="E85" s="1135">
        <v>0.5</v>
      </c>
      <c r="F85" s="1150">
        <v>80</v>
      </c>
    </row>
    <row r="86" spans="1:6" s="1101" customFormat="1" ht="36">
      <c r="A86" s="1150">
        <v>26</v>
      </c>
      <c r="B86" s="3434"/>
      <c r="C86" s="1064" t="s">
        <v>1553</v>
      </c>
      <c r="D86" s="1064" t="s">
        <v>1554</v>
      </c>
      <c r="E86" s="1135">
        <v>0.2</v>
      </c>
      <c r="F86" s="1150">
        <v>30</v>
      </c>
    </row>
    <row r="87" spans="1:6" s="1101" customFormat="1" ht="36">
      <c r="A87" s="1150">
        <v>27</v>
      </c>
      <c r="B87" s="3434"/>
      <c r="C87" s="1064" t="s">
        <v>1555</v>
      </c>
      <c r="D87" s="1064" t="s">
        <v>1556</v>
      </c>
      <c r="E87" s="1135">
        <v>0.2</v>
      </c>
      <c r="F87" s="1150">
        <v>30</v>
      </c>
    </row>
    <row r="88" spans="1:6" s="1101" customFormat="1" ht="36">
      <c r="A88" s="1150">
        <v>28</v>
      </c>
      <c r="B88" s="3434"/>
      <c r="C88" s="1064" t="s">
        <v>1557</v>
      </c>
      <c r="D88" s="1064" t="s">
        <v>1558</v>
      </c>
      <c r="E88" s="1135">
        <v>0.2</v>
      </c>
      <c r="F88" s="1150">
        <v>30</v>
      </c>
    </row>
    <row r="89" spans="1:6" s="1101" customFormat="1" ht="24">
      <c r="A89" s="1150">
        <v>29</v>
      </c>
      <c r="B89" s="3434"/>
      <c r="C89" s="1064" t="s">
        <v>1559</v>
      </c>
      <c r="D89" s="1064" t="s">
        <v>1560</v>
      </c>
      <c r="E89" s="1135">
        <v>0.2</v>
      </c>
      <c r="F89" s="1150">
        <v>30</v>
      </c>
    </row>
    <row r="90" spans="1:6" s="1101" customFormat="1" ht="24">
      <c r="A90" s="1150">
        <v>30</v>
      </c>
      <c r="B90" s="3434"/>
      <c r="C90" s="1064" t="s">
        <v>1561</v>
      </c>
      <c r="D90" s="1064" t="s">
        <v>1562</v>
      </c>
      <c r="E90" s="1135">
        <v>0.2</v>
      </c>
      <c r="F90" s="1150">
        <v>30</v>
      </c>
    </row>
    <row r="91" spans="1:6" s="1101" customFormat="1" ht="36">
      <c r="A91" s="1150">
        <v>31</v>
      </c>
      <c r="B91" s="3434"/>
      <c r="C91" s="1064" t="s">
        <v>1563</v>
      </c>
      <c r="D91" s="1064" t="s">
        <v>1564</v>
      </c>
      <c r="E91" s="1135">
        <v>0.2</v>
      </c>
      <c r="F91" s="1150">
        <v>30</v>
      </c>
    </row>
    <row r="92" spans="1:6" s="1101" customFormat="1" ht="24">
      <c r="A92" s="1150">
        <v>32</v>
      </c>
      <c r="B92" s="3434" t="s">
        <v>1565</v>
      </c>
      <c r="C92" s="1150" t="s">
        <v>1566</v>
      </c>
      <c r="D92" s="1064" t="s">
        <v>1567</v>
      </c>
      <c r="E92" s="1135">
        <v>0.2</v>
      </c>
      <c r="F92" s="1150">
        <v>30</v>
      </c>
    </row>
    <row r="93" spans="1:6" s="1101" customFormat="1" ht="36">
      <c r="A93" s="1150">
        <v>33</v>
      </c>
      <c r="B93" s="3434"/>
      <c r="C93" s="1150" t="s">
        <v>1568</v>
      </c>
      <c r="D93" s="1064" t="s">
        <v>1569</v>
      </c>
      <c r="E93" s="1135">
        <v>0.2</v>
      </c>
      <c r="F93" s="1150">
        <v>30</v>
      </c>
    </row>
    <row r="94" spans="1:6" s="1101" customFormat="1" ht="48">
      <c r="A94" s="1150">
        <v>34</v>
      </c>
      <c r="B94" s="3434"/>
      <c r="C94" s="1150" t="s">
        <v>1570</v>
      </c>
      <c r="D94" s="1064" t="s">
        <v>1571</v>
      </c>
      <c r="E94" s="1135">
        <v>0.2</v>
      </c>
      <c r="F94" s="1150">
        <v>30</v>
      </c>
    </row>
    <row r="95" spans="1:6" s="1101" customFormat="1" ht="36">
      <c r="A95" s="1150">
        <v>35</v>
      </c>
      <c r="B95" s="3434"/>
      <c r="C95" s="1150" t="s">
        <v>1572</v>
      </c>
      <c r="D95" s="1064" t="s">
        <v>1573</v>
      </c>
      <c r="E95" s="1135">
        <v>0.2</v>
      </c>
      <c r="F95" s="1150">
        <v>30</v>
      </c>
    </row>
    <row r="96" spans="1:6" s="1101" customFormat="1" ht="48">
      <c r="A96" s="1150">
        <v>36</v>
      </c>
      <c r="B96" s="3434"/>
      <c r="C96" s="1064" t="s">
        <v>1574</v>
      </c>
      <c r="D96" s="1064" t="s">
        <v>1575</v>
      </c>
      <c r="E96" s="1135">
        <v>0.2</v>
      </c>
      <c r="F96" s="1150">
        <v>30</v>
      </c>
    </row>
    <row r="97" spans="1:6" s="1101" customFormat="1" ht="36">
      <c r="A97" s="1150">
        <v>37</v>
      </c>
      <c r="B97" s="3434"/>
      <c r="C97" s="1150" t="s">
        <v>1576</v>
      </c>
      <c r="D97" s="1064" t="s">
        <v>1577</v>
      </c>
      <c r="E97" s="1135">
        <v>0.2</v>
      </c>
      <c r="F97" s="1150">
        <v>30</v>
      </c>
    </row>
    <row r="98" spans="1:6" s="1101" customFormat="1" ht="36">
      <c r="A98" s="1150">
        <v>38</v>
      </c>
      <c r="B98" s="3434"/>
      <c r="C98" s="1150" t="s">
        <v>1578</v>
      </c>
      <c r="D98" s="1064" t="s">
        <v>1579</v>
      </c>
      <c r="E98" s="1135">
        <v>0.2</v>
      </c>
      <c r="F98" s="1150">
        <v>30</v>
      </c>
    </row>
    <row r="99" spans="1:6" s="1101" customFormat="1" ht="36">
      <c r="A99" s="1150">
        <v>39</v>
      </c>
      <c r="B99" s="3434" t="s">
        <v>1580</v>
      </c>
      <c r="C99" s="1150" t="s">
        <v>1581</v>
      </c>
      <c r="D99" s="1064" t="s">
        <v>1582</v>
      </c>
      <c r="E99" s="1135">
        <v>0.3</v>
      </c>
      <c r="F99" s="1150">
        <v>50</v>
      </c>
    </row>
    <row r="100" spans="1:6" s="1101" customFormat="1" ht="24">
      <c r="A100" s="1150">
        <v>40</v>
      </c>
      <c r="B100" s="3434"/>
      <c r="C100" s="1150" t="s">
        <v>1583</v>
      </c>
      <c r="D100" s="1064" t="s">
        <v>1584</v>
      </c>
      <c r="E100" s="1135">
        <v>0.2</v>
      </c>
      <c r="F100" s="1150">
        <v>30</v>
      </c>
    </row>
    <row r="101" spans="1:6" s="1101" customFormat="1" ht="36">
      <c r="A101" s="1150">
        <v>41</v>
      </c>
      <c r="B101" s="343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4" t="s">
        <v>1595</v>
      </c>
      <c r="C105" s="1150" t="s">
        <v>1596</v>
      </c>
      <c r="D105" s="1064" t="s">
        <v>1597</v>
      </c>
      <c r="E105" s="1135">
        <v>0.2</v>
      </c>
      <c r="F105" s="1150">
        <v>30</v>
      </c>
    </row>
    <row r="106" spans="1:6" s="1101" customFormat="1" ht="36">
      <c r="A106" s="1150">
        <v>46</v>
      </c>
      <c r="B106" s="3434"/>
      <c r="C106" s="1150" t="s">
        <v>1598</v>
      </c>
      <c r="D106" s="1064" t="s">
        <v>1599</v>
      </c>
      <c r="E106" s="1135">
        <v>0.2</v>
      </c>
      <c r="F106" s="1150">
        <v>30</v>
      </c>
    </row>
    <row r="107" spans="1:6" s="1101" customFormat="1" ht="36">
      <c r="A107" s="1150">
        <v>47</v>
      </c>
      <c r="B107" s="3434" t="s">
        <v>1600</v>
      </c>
      <c r="C107" s="1150" t="s">
        <v>1601</v>
      </c>
      <c r="D107" s="1064" t="s">
        <v>1602</v>
      </c>
      <c r="E107" s="1135">
        <v>0.3</v>
      </c>
      <c r="F107" s="1150">
        <v>50</v>
      </c>
    </row>
    <row r="108" spans="1:6" s="1101" customFormat="1" ht="36">
      <c r="A108" s="1150">
        <v>48</v>
      </c>
      <c r="B108" s="343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4" t="s">
        <v>1611</v>
      </c>
      <c r="C111" s="1150" t="s">
        <v>1612</v>
      </c>
      <c r="D111" s="1064" t="s">
        <v>1613</v>
      </c>
      <c r="E111" s="1135">
        <v>0.2</v>
      </c>
      <c r="F111" s="1150">
        <v>30</v>
      </c>
    </row>
    <row r="112" spans="1:6" s="1101" customFormat="1" ht="24">
      <c r="A112" s="1150">
        <v>52</v>
      </c>
      <c r="B112" s="3434"/>
      <c r="C112" s="1150" t="s">
        <v>1614</v>
      </c>
      <c r="D112" s="1064" t="s">
        <v>1615</v>
      </c>
      <c r="E112" s="1135">
        <v>0.2</v>
      </c>
      <c r="F112" s="1150">
        <v>30</v>
      </c>
    </row>
    <row r="113" spans="1:14" s="1101" customFormat="1" ht="24">
      <c r="A113" s="1150">
        <v>53</v>
      </c>
      <c r="B113" s="343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4" t="s">
        <v>1624</v>
      </c>
      <c r="C116" s="1150" t="s">
        <v>1625</v>
      </c>
      <c r="D116" s="1064" t="s">
        <v>1626</v>
      </c>
      <c r="E116" s="1135">
        <v>0.2</v>
      </c>
      <c r="F116" s="1150">
        <v>30</v>
      </c>
    </row>
    <row r="117" spans="1:14" ht="36">
      <c r="A117" s="1150">
        <v>57</v>
      </c>
      <c r="B117" s="343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3" t="s">
        <v>1633</v>
      </c>
      <c r="B121" s="3433"/>
      <c r="C121" s="3433"/>
      <c r="D121" s="3433"/>
      <c r="E121" s="3433"/>
      <c r="F121" s="3433"/>
      <c r="G121" s="3433"/>
      <c r="H121" s="3433"/>
      <c r="I121" s="3433"/>
      <c r="J121" s="343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8" t="s">
        <v>1039</v>
      </c>
      <c r="B1" s="3438"/>
      <c r="C1" s="3438"/>
      <c r="D1" s="3438"/>
      <c r="E1" s="3438"/>
      <c r="F1" s="343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9" t="s">
        <v>1052</v>
      </c>
      <c r="B2" s="3439"/>
      <c r="C2" s="3439"/>
      <c r="D2" s="3439"/>
      <c r="E2" s="3439"/>
      <c r="F2" s="343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2" t="s">
        <v>2079</v>
      </c>
      <c r="B1" s="3442"/>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D38" sqref="D38"/>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0" t="s">
        <v>2576</v>
      </c>
      <c r="C1" s="3450"/>
      <c r="D1" s="3450"/>
      <c r="E1" s="3450"/>
      <c r="F1" s="3450"/>
      <c r="G1" s="3449" t="s">
        <v>2577</v>
      </c>
      <c r="H1" s="3449"/>
      <c r="I1" s="3449"/>
      <c r="J1" s="3449"/>
      <c r="K1" s="3449"/>
      <c r="L1" s="3449"/>
      <c r="N1" s="3449" t="s">
        <v>2578</v>
      </c>
      <c r="O1" s="3449"/>
      <c r="P1" s="3449"/>
      <c r="Q1" s="3449"/>
      <c r="R1" s="2619"/>
      <c r="S1" s="3449" t="s">
        <v>2579</v>
      </c>
      <c r="T1" s="3449"/>
      <c r="U1" s="3449"/>
      <c r="V1" s="3449"/>
      <c r="X1" s="3448" t="s">
        <v>2639</v>
      </c>
      <c r="Y1" s="3449"/>
      <c r="Z1" s="3449"/>
      <c r="AA1" s="3449"/>
      <c r="AB1" s="3449"/>
      <c r="AD1" s="3448" t="s">
        <v>2643</v>
      </c>
      <c r="AE1" s="3449"/>
      <c r="AF1" s="3449"/>
      <c r="AG1" s="3449"/>
      <c r="AH1" s="3449"/>
    </row>
    <row r="2" spans="1:34" s="2720" customFormat="1" ht="14.25" thickBot="1">
      <c r="B2" s="2728" t="s">
        <v>2580</v>
      </c>
      <c r="C2" s="2728" t="s">
        <v>2641</v>
      </c>
      <c r="D2" s="2721" t="s">
        <v>1644</v>
      </c>
      <c r="E2" s="2721" t="s">
        <v>1949</v>
      </c>
      <c r="F2" s="2728" t="s">
        <v>2642</v>
      </c>
      <c r="G2" s="2724"/>
      <c r="H2" s="2723"/>
      <c r="I2" s="2728" t="s">
        <v>2953</v>
      </c>
      <c r="J2" s="2721" t="s">
        <v>2955</v>
      </c>
      <c r="K2" s="2721" t="s">
        <v>2956</v>
      </c>
      <c r="L2" s="2728" t="s">
        <v>2957</v>
      </c>
      <c r="N2" s="2728" t="s">
        <v>2580</v>
      </c>
      <c r="O2" s="2721" t="s">
        <v>2954</v>
      </c>
      <c r="P2" s="2721" t="s">
        <v>1949</v>
      </c>
      <c r="Q2" s="2728" t="s">
        <v>2642</v>
      </c>
      <c r="R2" s="2722"/>
      <c r="S2" s="2728" t="s">
        <v>2580</v>
      </c>
      <c r="T2" s="2721" t="s">
        <v>2954</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2" customFormat="1" ht="14.25">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5" thickBot="1">
      <c r="A5" s="3064" t="s">
        <v>2992</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2991</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2989</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44">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2976</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44"/>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2977</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44"/>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2973</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5"/>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2964</v>
      </c>
      <c r="B12" s="3096">
        <v>439</v>
      </c>
      <c r="C12" s="3096">
        <v>327</v>
      </c>
      <c r="D12" s="3096">
        <f t="shared" si="65"/>
        <v>327</v>
      </c>
      <c r="E12" s="3096">
        <v>627</v>
      </c>
      <c r="F12" s="3097">
        <v>283</v>
      </c>
      <c r="G12" s="3443">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2968</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44"/>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44"/>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45"/>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43">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44"/>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44"/>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47"/>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46">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44"/>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44"/>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47"/>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46">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44"/>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44"/>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47"/>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51">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52"/>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52"/>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53"/>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46">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44"/>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44"/>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47"/>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46">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44">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44">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47">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46">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44">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44">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47">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46">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44">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44">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47">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46">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44">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44">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47">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46">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44">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44">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47">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46">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44">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44">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47">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46">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44">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44">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47">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46">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44">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44">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47">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46">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44">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44">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47">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46">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44">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44">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47">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120300.2平方米。根据《建设工程规划许可证》[]、《出让合同》[]，估价对象规划建筑面积为102255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2019年8月23日（评估专业人员勘察现场之日）</v>
      </c>
    </row>
    <row r="12" spans="1:4" ht="18.75">
      <c r="A12" s="1783" t="s">
        <v>2025</v>
      </c>
    </row>
    <row r="13" spans="1:4" ht="18.75">
      <c r="A13" s="1777" t="s">
        <v>2939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根据《国有土地使用证》[]，估价对象（分摊）出让国有建设用地使用权面积为120300.2平方米。根据《建设工程规划许可证》[]、《出让合同》[]，估价对象规划建筑面积为102255平方米。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2048年9月1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2078</v>
      </c>
      <c r="D3" s="3057" t="s">
        <v>2943</v>
      </c>
      <c r="E3" s="3058">
        <f ca="1">SUMIF(E7:E14,"&lt;&gt;#ref!",E7:E14)</f>
        <v>0</v>
      </c>
      <c r="F3" s="3056"/>
    </row>
    <row r="4" spans="1:6" ht="14.25">
      <c r="A4" s="3057" t="s">
        <v>2950</v>
      </c>
      <c r="B4" s="3058" t="e">
        <f ca="1">ROUND(B2*10000/E4,0)</f>
        <v>#DIV/0!</v>
      </c>
      <c r="C4" s="3057" t="s">
        <v>2078</v>
      </c>
      <c r="D4" s="3057" t="s">
        <v>2951</v>
      </c>
      <c r="E4" s="3058">
        <f ca="1">SUMIF(F7:F14,"&lt;&gt;#ref!",F7:F14)</f>
        <v>0</v>
      </c>
      <c r="F4" s="3056"/>
    </row>
    <row r="5" spans="1:6" ht="14.25">
      <c r="A5" s="3059"/>
      <c r="B5" s="1867"/>
      <c r="C5" s="1867"/>
      <c r="D5" s="1867"/>
      <c r="E5" s="1867"/>
      <c r="F5" s="3056"/>
    </row>
    <row r="6" spans="1:6" ht="28.5">
      <c r="A6" s="3060" t="s">
        <v>2947</v>
      </c>
      <c r="B6" s="3057" t="s">
        <v>2944</v>
      </c>
      <c r="C6" s="3058"/>
      <c r="D6" s="1867"/>
      <c r="E6" s="3057" t="s">
        <v>2945</v>
      </c>
      <c r="F6" s="3057" t="s">
        <v>2949</v>
      </c>
    </row>
    <row r="7" spans="1:6" ht="14.25">
      <c r="A7" s="260" t="s">
        <v>2948</v>
      </c>
      <c r="B7" s="3061" t="e">
        <f ca="1">SUMIF(INDIRECT("'"&amp;A7&amp;"'"&amp;"!A:A"),"总价",INDIRECT("'"&amp;A7&amp;"'"&amp;"!B:B"))</f>
        <v>#DIV/0!</v>
      </c>
      <c r="C7" s="3057" t="s">
        <v>2942</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2942</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2942</v>
      </c>
      <c r="D9" s="1867"/>
      <c r="E9" s="3062" t="e">
        <f t="shared" ca="1" si="1"/>
        <v>#REF!</v>
      </c>
      <c r="F9" s="3062" t="e">
        <f t="shared" ca="1" si="2"/>
        <v>#REF!</v>
      </c>
    </row>
    <row r="10" spans="1:6" ht="14.25">
      <c r="A10" s="260"/>
      <c r="B10" s="3061" t="e">
        <f t="shared" ca="1" si="0"/>
        <v>#REF!</v>
      </c>
      <c r="C10" s="3057" t="s">
        <v>2942</v>
      </c>
      <c r="D10" s="1867"/>
      <c r="E10" s="3062" t="e">
        <f t="shared" ca="1" si="1"/>
        <v>#REF!</v>
      </c>
      <c r="F10" s="3062" t="e">
        <f t="shared" ca="1" si="2"/>
        <v>#REF!</v>
      </c>
    </row>
    <row r="11" spans="1:6" ht="14.25">
      <c r="A11" s="260"/>
      <c r="B11" s="3061" t="e">
        <f t="shared" ca="1" si="0"/>
        <v>#REF!</v>
      </c>
      <c r="C11" s="3057" t="s">
        <v>2942</v>
      </c>
      <c r="D11" s="1867"/>
      <c r="E11" s="3062" t="e">
        <f t="shared" ca="1" si="1"/>
        <v>#REF!</v>
      </c>
      <c r="F11" s="3062" t="e">
        <f t="shared" ca="1" si="2"/>
        <v>#REF!</v>
      </c>
    </row>
    <row r="12" spans="1:6" ht="14.25">
      <c r="A12" s="260"/>
      <c r="B12" s="3061" t="e">
        <f t="shared" ca="1" si="0"/>
        <v>#REF!</v>
      </c>
      <c r="C12" s="3057" t="s">
        <v>2942</v>
      </c>
      <c r="D12" s="1867"/>
      <c r="E12" s="3062" t="e">
        <f t="shared" ca="1" si="1"/>
        <v>#REF!</v>
      </c>
      <c r="F12" s="3062" t="e">
        <f t="shared" ca="1" si="2"/>
        <v>#REF!</v>
      </c>
    </row>
    <row r="13" spans="1:6" ht="14.25">
      <c r="A13" s="260"/>
      <c r="B13" s="3061" t="e">
        <f t="shared" ca="1" si="0"/>
        <v>#REF!</v>
      </c>
      <c r="C13" s="3057" t="s">
        <v>2942</v>
      </c>
      <c r="D13" s="1867"/>
      <c r="E13" s="3062" t="e">
        <f t="shared" ca="1" si="1"/>
        <v>#REF!</v>
      </c>
      <c r="F13" s="3062" t="e">
        <f t="shared" ca="1" si="2"/>
        <v>#REF!</v>
      </c>
    </row>
    <row r="14" spans="1:6" ht="14.25">
      <c r="A14" s="3055"/>
      <c r="B14" s="3061" t="e">
        <f t="shared" ca="1" si="0"/>
        <v>#REF!</v>
      </c>
      <c r="C14" s="3057" t="s">
        <v>2942</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55" t="s">
        <v>2463</v>
      </c>
      <c r="C8" s="1811">
        <f ca="1">ROUND(F8*F10*F9*(1-F11)/10000,0)</f>
        <v>0</v>
      </c>
      <c r="D8" s="1808" t="s">
        <v>2534</v>
      </c>
      <c r="E8" s="61" t="s">
        <v>637</v>
      </c>
      <c r="F8" s="785">
        <f ca="1">INDIRECT("'数据-取费表'!u"&amp;$G$1)</f>
        <v>0</v>
      </c>
      <c r="G8" s="1579"/>
      <c r="H8" s="2469" t="s">
        <v>1824</v>
      </c>
      <c r="I8" s="3455" t="s">
        <v>2463</v>
      </c>
      <c r="J8" s="783">
        <f ca="1">ROUND(M8*M10*M9*(1-M11)/10000,0)</f>
        <v>0</v>
      </c>
      <c r="K8" s="341" t="s">
        <v>2534</v>
      </c>
      <c r="L8" s="784" t="s">
        <v>1738</v>
      </c>
      <c r="M8" s="785">
        <f ca="1">INDIRECT("'数据-取费表'!z"&amp;$G$1)</f>
        <v>0</v>
      </c>
    </row>
    <row r="9" spans="1:25" ht="18" customHeight="1">
      <c r="A9" s="2465"/>
      <c r="B9" s="3456"/>
      <c r="C9" s="1812"/>
      <c r="D9" s="1809"/>
      <c r="E9" s="61" t="s">
        <v>638</v>
      </c>
      <c r="F9" s="785">
        <f ca="1">IF(INDIRECT("'数据-取费表'!ah"&amp;$G$1)="",INDIRECT("'数据-取费表'!k"&amp;$G$1),INDIRECT("'数据-取费表'!ah"&amp;$G$1))</f>
        <v>0</v>
      </c>
      <c r="G9" s="1579"/>
      <c r="H9" s="2454"/>
      <c r="I9" s="3456"/>
      <c r="J9" s="788"/>
      <c r="K9" s="789"/>
      <c r="L9" s="784" t="s">
        <v>1739</v>
      </c>
      <c r="M9" s="785">
        <f ca="1">F9</f>
        <v>0</v>
      </c>
    </row>
    <row r="10" spans="1:25" ht="18" customHeight="1">
      <c r="A10" s="2458"/>
      <c r="B10" s="3457"/>
      <c r="C10" s="1812"/>
      <c r="D10" s="1809"/>
      <c r="E10" s="61" t="s">
        <v>639</v>
      </c>
      <c r="F10" s="785">
        <f ca="1">INDIRECT("'数据-取费表'!ai"&amp;$G$1)</f>
        <v>0</v>
      </c>
      <c r="G10" s="1579"/>
      <c r="H10" s="2454"/>
      <c r="I10" s="3457"/>
      <c r="J10" s="788"/>
      <c r="K10" s="789"/>
      <c r="L10" s="784" t="s">
        <v>1740</v>
      </c>
      <c r="M10" s="785">
        <f ca="1">INDIRECT("'数据-取费表'!ai"&amp;$G$1)</f>
        <v>0</v>
      </c>
    </row>
    <row r="11" spans="1:25" ht="18" customHeight="1">
      <c r="A11" s="786"/>
      <c r="B11" s="3458"/>
      <c r="C11" s="1812"/>
      <c r="D11" s="1809"/>
      <c r="E11" s="61" t="s">
        <v>640</v>
      </c>
      <c r="F11" s="794">
        <f ca="1">INDIRECT("'数据-取费表'!w"&amp;$G$1)</f>
        <v>0</v>
      </c>
      <c r="G11" s="1579"/>
      <c r="H11" s="2470"/>
      <c r="I11" s="3457"/>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2971</v>
      </c>
      <c r="E12" s="2463" t="s">
        <v>2464</v>
      </c>
      <c r="F12" s="2586"/>
      <c r="G12" s="1579"/>
      <c r="H12" s="2526" t="s">
        <v>1825</v>
      </c>
      <c r="I12" s="2531" t="s">
        <v>2459</v>
      </c>
      <c r="J12" s="783">
        <f ca="1">ROUND(IF(M12="押一",J8/12*M13,IF(M12="押二",J8/12*2*M13,IF(M12="押三",J8/12*3*M13,J13*M13))),0)</f>
        <v>0</v>
      </c>
      <c r="K12" s="2466" t="s">
        <v>2971</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5</v>
      </c>
      <c r="G36" s="2048"/>
      <c r="H36" s="2051"/>
      <c r="I36" s="3454"/>
      <c r="J36" s="2065"/>
      <c r="K36" s="2066"/>
      <c r="L36" s="2065"/>
      <c r="M36" s="2065"/>
    </row>
    <row r="37" spans="1:18" ht="18" customHeight="1">
      <c r="A37" s="815"/>
      <c r="B37" s="793"/>
      <c r="C37" s="69"/>
      <c r="D37" s="816"/>
      <c r="E37" s="784" t="s">
        <v>674</v>
      </c>
      <c r="F37" s="785">
        <f ca="1">INDIRECT("'数据-取费表'!r"&amp;$G$1)</f>
        <v>0</v>
      </c>
      <c r="G37" s="2048"/>
      <c r="H37" s="2051"/>
      <c r="I37" s="3454"/>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3" t="s">
        <v>2959</v>
      </c>
      <c r="F43" s="3074">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2962</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7" t="str">
        <f ca="1">IF(M48="住宅",0,IF(L49&gt;J52,L61,J61))</f>
        <v>0</v>
      </c>
      <c r="O47" s="2359" t="s">
        <v>2410</v>
      </c>
      <c r="P47" s="1579"/>
      <c r="Q47" s="1590"/>
      <c r="R47" s="1579"/>
    </row>
    <row r="48" spans="1:18" s="2045" customFormat="1" ht="18" customHeight="1" thickBot="1">
      <c r="A48" s="2070"/>
      <c r="C48" s="2073"/>
      <c r="D48" s="2074"/>
      <c r="E48" s="2074"/>
      <c r="F48" s="2075"/>
      <c r="G48" s="2076"/>
      <c r="I48" s="3098" t="s">
        <v>2344</v>
      </c>
      <c r="J48" s="2346"/>
      <c r="K48" s="3104" t="s">
        <v>2349</v>
      </c>
      <c r="L48" s="3108">
        <f ca="1">INDIRECT("'数据-取费表'!d"&amp;$G$1)</f>
        <v>0</v>
      </c>
      <c r="M48" s="3072"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7" t="s">
        <v>2345</v>
      </c>
      <c r="J49" s="2347"/>
      <c r="K49" s="3105"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7" t="s">
        <v>2346</v>
      </c>
      <c r="J50" s="2348"/>
      <c r="K50" s="3106"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7" t="s">
        <v>2347</v>
      </c>
      <c r="J51" s="3102">
        <f>SUMPRODUCT((I64:I66=J48)*(J63:L63=J49)*(J64:L66))</f>
        <v>0</v>
      </c>
      <c r="K51" s="3106" t="s">
        <v>2353</v>
      </c>
      <c r="L51" s="2349"/>
      <c r="O51" s="2366" t="s">
        <v>2383</v>
      </c>
      <c r="P51" s="2364" t="s">
        <v>2407</v>
      </c>
      <c r="Q51" s="2365">
        <f ca="1">C31</f>
        <v>0</v>
      </c>
      <c r="R51" s="2364" t="s">
        <v>2380</v>
      </c>
    </row>
    <row r="52" spans="1:18" s="2045" customFormat="1" ht="18" customHeight="1" thickBot="1">
      <c r="A52" s="2082"/>
      <c r="F52" s="2071"/>
      <c r="I52" s="3099" t="s">
        <v>2348</v>
      </c>
      <c r="J52" s="3103">
        <f>IF(J50="",J51,J50+J51-YEAR('数据-取费表'!B3))</f>
        <v>0</v>
      </c>
      <c r="K52" s="3077" t="s">
        <v>2354</v>
      </c>
      <c r="L52" s="3109">
        <f ca="1">ROUND(-PV(INDIRECT("'数据-取费表'!h"&amp;$G$1),L49,(C40-C14*J36),0),0)</f>
        <v>0</v>
      </c>
      <c r="O52" s="2366" t="s">
        <v>2384</v>
      </c>
      <c r="P52" s="2364" t="s">
        <v>2385</v>
      </c>
      <c r="Q52" s="2367" t="e">
        <f ca="1">J59</f>
        <v>#VALUE!</v>
      </c>
      <c r="R52" s="2368"/>
    </row>
    <row r="53" spans="1:18" s="2045" customFormat="1" ht="18" customHeight="1" thickBot="1">
      <c r="A53" s="2082"/>
      <c r="F53" s="2071"/>
      <c r="I53" s="3100" t="s">
        <v>2421</v>
      </c>
      <c r="J53" s="2350"/>
      <c r="K53" s="3100" t="s">
        <v>2420</v>
      </c>
      <c r="L53" s="2350"/>
      <c r="O53" s="2366" t="s">
        <v>2386</v>
      </c>
      <c r="P53" s="2364" t="s">
        <v>2387</v>
      </c>
      <c r="Q53" s="2367">
        <f>J53</f>
        <v>0</v>
      </c>
      <c r="R53" s="2368"/>
    </row>
    <row r="54" spans="1:18" s="2045" customFormat="1" ht="29.25" thickBot="1">
      <c r="A54" s="2082"/>
      <c r="I54" s="3101" t="s">
        <v>2975</v>
      </c>
      <c r="J54" s="3180">
        <f ca="1">IF(M48="住宅",MAX(J52,L49-'数据-取费表'!B20),MIN(J52,L49-'数据-取费表'!B20))</f>
        <v>-2</v>
      </c>
      <c r="K54" s="3459"/>
      <c r="L54" s="3460"/>
      <c r="O54" s="2366" t="s">
        <v>2388</v>
      </c>
      <c r="P54" s="2364" t="s">
        <v>2389</v>
      </c>
      <c r="Q54" s="2365">
        <f ca="1">J54</f>
        <v>-2</v>
      </c>
      <c r="R54" s="2364" t="s">
        <v>2390</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2391</v>
      </c>
      <c r="P55" s="2364" t="s">
        <v>2408</v>
      </c>
      <c r="Q55" s="2365">
        <f ca="1">Q49+Q50</f>
        <v>0</v>
      </c>
      <c r="R55" s="2368" t="s">
        <v>2392</v>
      </c>
    </row>
    <row r="56" spans="1:18" s="2045" customFormat="1" ht="16.5" thickBot="1">
      <c r="A56" s="2082"/>
      <c r="B56" s="2083"/>
      <c r="C56" s="2083"/>
      <c r="I56" s="3112" t="s">
        <v>2355</v>
      </c>
      <c r="J56" s="3052" t="e">
        <f ca="1">ROUND(IF(J48="钢混",J58/J51,1-(1-2%)*(J51-J58)/J51),3)</f>
        <v>#VALUE!</v>
      </c>
      <c r="K56" s="3113" t="s">
        <v>2356</v>
      </c>
      <c r="L56" s="2351"/>
      <c r="O56" s="2369" t="s">
        <v>2411</v>
      </c>
      <c r="P56" s="1579"/>
      <c r="Q56" s="1590"/>
      <c r="R56" s="1579"/>
    </row>
    <row r="57" spans="1:18" s="2045" customFormat="1" ht="43.5" thickBot="1">
      <c r="A57" s="2082"/>
      <c r="B57" s="2083"/>
      <c r="C57" s="2083"/>
      <c r="I57" s="3114" t="s">
        <v>2357</v>
      </c>
      <c r="J57" s="3124" t="s">
        <v>1678</v>
      </c>
      <c r="K57" s="3077" t="s">
        <v>2362</v>
      </c>
      <c r="L57" s="1894">
        <f ca="1">IF(L49&lt;J52,"——",L49-J52)</f>
        <v>0</v>
      </c>
      <c r="O57" s="2360" t="s">
        <v>2375</v>
      </c>
      <c r="P57" s="2361" t="s">
        <v>2376</v>
      </c>
      <c r="Q57" s="2362" t="s">
        <v>2377</v>
      </c>
      <c r="R57" s="2361" t="s">
        <v>2378</v>
      </c>
    </row>
    <row r="58" spans="1:18" s="2045" customFormat="1" ht="29.25" thickBot="1">
      <c r="A58" s="2082"/>
      <c r="B58" s="2083"/>
      <c r="C58" s="2083"/>
      <c r="I58" s="3115" t="s">
        <v>2358</v>
      </c>
      <c r="J58" s="3116" t="str">
        <f ca="1">IF(OR(M48="住宅",J52&lt;L49,J57="是"),"——",J52-L49)</f>
        <v>——</v>
      </c>
      <c r="K58" s="3077"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5" t="s">
        <v>2359</v>
      </c>
      <c r="J59" s="3053" t="e">
        <f ca="1">IF(J56&lt;0.4,0.4,J56)</f>
        <v>#VALUE!</v>
      </c>
      <c r="K59" s="3077"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5" t="s">
        <v>2360</v>
      </c>
      <c r="J60" s="3116" t="str">
        <f ca="1">IF(OR(M48="住宅",J52&lt;L49,J57="是"),"——",ROUND(C30*J59,0))</f>
        <v>——</v>
      </c>
      <c r="K60" s="3077"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7" t="s">
        <v>2361</v>
      </c>
      <c r="J61" s="3118" t="str">
        <f ca="1">IF(OR(M48="住宅",J52&lt;L49,J57="是"),"0",ROUND(J60/(1+J53)^J54,0))</f>
        <v>0</v>
      </c>
      <c r="K61" s="3119" t="s">
        <v>2366</v>
      </c>
      <c r="L61" s="3118"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0" t="s">
        <v>2367</v>
      </c>
      <c r="J63" s="3121" t="s">
        <v>2368</v>
      </c>
      <c r="K63" s="3121" t="s">
        <v>2369</v>
      </c>
      <c r="L63" s="3121" t="s">
        <v>2350</v>
      </c>
      <c r="M63" s="3122" t="s">
        <v>2940</v>
      </c>
      <c r="O63" s="2366" t="s">
        <v>2388</v>
      </c>
      <c r="P63" s="2364" t="s">
        <v>2396</v>
      </c>
      <c r="Q63" s="2365">
        <f ca="1">L60</f>
        <v>0</v>
      </c>
      <c r="R63" s="2368" t="s">
        <v>2397</v>
      </c>
    </row>
    <row r="64" spans="1:18" s="2045" customFormat="1" ht="15.75" thickBot="1">
      <c r="A64" s="2082"/>
      <c r="B64" s="2083"/>
      <c r="C64" s="2083"/>
      <c r="I64" s="3120" t="s">
        <v>2370</v>
      </c>
      <c r="J64" s="3121">
        <v>70</v>
      </c>
      <c r="K64" s="3121">
        <v>50</v>
      </c>
      <c r="L64" s="3121">
        <v>80</v>
      </c>
      <c r="M64" s="3123">
        <v>0.02</v>
      </c>
      <c r="O64" s="2363" t="s">
        <v>2391</v>
      </c>
      <c r="P64" s="2364" t="s">
        <v>2408</v>
      </c>
      <c r="Q64" s="2365" t="e">
        <f ca="1">Q58+Q59</f>
        <v>#DIV/0!</v>
      </c>
      <c r="R64" s="2368" t="s">
        <v>2392</v>
      </c>
    </row>
    <row r="65" spans="1:18" s="2045" customFormat="1" ht="16.5" thickBot="1">
      <c r="A65" s="2082"/>
      <c r="B65" s="2083"/>
      <c r="C65" s="2083"/>
      <c r="I65" s="3120" t="s">
        <v>2371</v>
      </c>
      <c r="J65" s="3121">
        <v>50</v>
      </c>
      <c r="K65" s="3121">
        <v>35</v>
      </c>
      <c r="L65" s="3121">
        <v>60</v>
      </c>
      <c r="M65" s="846">
        <v>0</v>
      </c>
      <c r="O65" s="2369" t="s">
        <v>2415</v>
      </c>
      <c r="P65" s="1579"/>
      <c r="Q65" s="1590"/>
      <c r="R65" s="1579"/>
    </row>
    <row r="66" spans="1:18" s="2045" customFormat="1" ht="15.75" thickBot="1">
      <c r="A66" s="2082"/>
      <c r="B66" s="2083"/>
      <c r="C66" s="2083"/>
      <c r="I66" s="3120" t="s">
        <v>2372</v>
      </c>
      <c r="J66" s="3121">
        <v>40</v>
      </c>
      <c r="K66" s="3121">
        <v>30</v>
      </c>
      <c r="L66" s="3121">
        <v>50</v>
      </c>
      <c r="M66" s="3123">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5" sqref="D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3022</v>
      </c>
      <c r="D1" s="3076" t="s">
        <v>952</v>
      </c>
      <c r="E1" s="2352" t="s">
        <v>2374</v>
      </c>
      <c r="F1" s="2353">
        <f ca="1">J53</f>
        <v>29.04</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79793</v>
      </c>
      <c r="C2" s="2043"/>
      <c r="D2" s="2041"/>
      <c r="E2" s="2042"/>
      <c r="F2" s="2042"/>
      <c r="G2" s="1577"/>
      <c r="H2" s="2043"/>
      <c r="I2" s="2043"/>
      <c r="J2" s="2043"/>
      <c r="K2" s="2044"/>
      <c r="L2" s="2043"/>
      <c r="M2" s="2043"/>
    </row>
    <row r="3" spans="1:33" ht="18" customHeight="1" thickBot="1">
      <c r="A3" s="833" t="s">
        <v>1727</v>
      </c>
      <c r="B3" s="834">
        <f ca="1">IF(ISERROR(B2*10000/F43),0,ROUND(B2*10000/F43,0))</f>
        <v>7803</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4765</v>
      </c>
      <c r="D5" s="2461" t="s">
        <v>2461</v>
      </c>
      <c r="E5" s="2455"/>
      <c r="F5" s="2456"/>
      <c r="G5" s="1579"/>
      <c r="H5" s="781">
        <v>1</v>
      </c>
      <c r="I5" s="782" t="s">
        <v>2458</v>
      </c>
      <c r="J5" s="55">
        <f ca="1">J6+J10+J12</f>
        <v>0</v>
      </c>
      <c r="K5" s="2461" t="s">
        <v>2461</v>
      </c>
      <c r="L5" s="2455"/>
      <c r="M5" s="2456"/>
    </row>
    <row r="6" spans="1:33" ht="18" customHeight="1">
      <c r="A6" s="1816" t="s">
        <v>1824</v>
      </c>
      <c r="B6" s="3455" t="s">
        <v>2463</v>
      </c>
      <c r="C6" s="783">
        <f ca="1">ROUND(F6*F8*F7*(1-F9)/10000,0)</f>
        <v>4759</v>
      </c>
      <c r="D6" s="2462" t="s">
        <v>2462</v>
      </c>
      <c r="E6" s="784" t="s">
        <v>1738</v>
      </c>
      <c r="F6" s="785">
        <f ca="1">INDIRECT("'数据-取费表'!u"&amp;$G$1)</f>
        <v>1.5</v>
      </c>
      <c r="G6" s="1579"/>
      <c r="H6" s="2469" t="s">
        <v>2468</v>
      </c>
      <c r="I6" s="3455" t="s">
        <v>2463</v>
      </c>
      <c r="J6" s="783">
        <f ca="1">ROUND(M6*M8*M7*(1-M9)/10000,0)</f>
        <v>0</v>
      </c>
      <c r="K6" s="341" t="s">
        <v>1737</v>
      </c>
      <c r="L6" s="784" t="s">
        <v>1738</v>
      </c>
      <c r="M6" s="785">
        <f ca="1">INDIRECT("'数据-取费表'!z"&amp;$G$1)</f>
        <v>0</v>
      </c>
    </row>
    <row r="7" spans="1:33" ht="18" customHeight="1">
      <c r="A7" s="2465"/>
      <c r="B7" s="3456"/>
      <c r="C7" s="788"/>
      <c r="D7" s="789"/>
      <c r="E7" s="784" t="s">
        <v>1739</v>
      </c>
      <c r="F7" s="785">
        <f ca="1">IF(INDIRECT("'数据-取费表'!ah"&amp;$G$1)="",INDIRECT("'数据-取费表'!k"&amp;$G$1),INDIRECT("'数据-取费表'!ah"&amp;$G$1))</f>
        <v>102255</v>
      </c>
      <c r="G7" s="1579"/>
      <c r="H7" s="2454"/>
      <c r="I7" s="3456"/>
      <c r="J7" s="788"/>
      <c r="K7" s="789"/>
      <c r="L7" s="784" t="s">
        <v>1739</v>
      </c>
      <c r="M7" s="785">
        <f ca="1">F7</f>
        <v>102255</v>
      </c>
    </row>
    <row r="8" spans="1:33" ht="18" customHeight="1">
      <c r="A8" s="2458"/>
      <c r="B8" s="3457"/>
      <c r="C8" s="788"/>
      <c r="D8" s="789"/>
      <c r="E8" s="784" t="s">
        <v>1740</v>
      </c>
      <c r="F8" s="785">
        <f ca="1">INDIRECT("'数据-取费表'!ai"&amp;$G$1)</f>
        <v>365</v>
      </c>
      <c r="G8" s="1579"/>
      <c r="H8" s="2454"/>
      <c r="I8" s="3457"/>
      <c r="J8" s="788"/>
      <c r="K8" s="789"/>
      <c r="L8" s="784" t="s">
        <v>1740</v>
      </c>
      <c r="M8" s="785">
        <f ca="1">INDIRECT("'数据-取费表'!ai"&amp;$G$1)</f>
        <v>365</v>
      </c>
    </row>
    <row r="9" spans="1:33" ht="18" customHeight="1">
      <c r="A9" s="786"/>
      <c r="B9" s="3458"/>
      <c r="C9" s="788"/>
      <c r="D9" s="789"/>
      <c r="E9" s="784" t="s">
        <v>1741</v>
      </c>
      <c r="F9" s="794">
        <f ca="1">INDIRECT("'数据-取费表'!w"&amp;$G$1)</f>
        <v>0.15</v>
      </c>
      <c r="G9" s="1579"/>
      <c r="H9" s="2470"/>
      <c r="I9" s="3457"/>
      <c r="J9" s="788"/>
      <c r="K9" s="789"/>
      <c r="L9" s="795" t="s">
        <v>1741</v>
      </c>
      <c r="M9" s="796">
        <f ca="1">INDIRECT("'数据-取费表'!ab"&amp;$G$1)</f>
        <v>0</v>
      </c>
    </row>
    <row r="10" spans="1:33" ht="18" customHeight="1">
      <c r="A10" s="1816" t="s">
        <v>2466</v>
      </c>
      <c r="B10" s="2459" t="s">
        <v>2459</v>
      </c>
      <c r="C10" s="799">
        <f ca="1">ROUND(IF(F10="押一",C6/12*F11,IF(F10="押二",C6/12*2*F11,IF(F10="押三",C6/12*3*F11,C11*F11))),0)</f>
        <v>6</v>
      </c>
      <c r="D10" s="2466" t="s">
        <v>2971</v>
      </c>
      <c r="E10" s="2463" t="s">
        <v>2464</v>
      </c>
      <c r="F10" s="2586" t="s">
        <v>3087</v>
      </c>
      <c r="G10" s="1579"/>
      <c r="H10" s="2526" t="s">
        <v>2469</v>
      </c>
      <c r="I10" s="2531" t="s">
        <v>2459</v>
      </c>
      <c r="J10" s="783">
        <f ca="1">ROUND(IF(M10="押一",J6/12*M11,IF(M10="押二",J6/12*2*M11,IF(M10="押三",J6/12*3*M11,J11*M11))),0)</f>
        <v>0</v>
      </c>
      <c r="K10" s="2466" t="s">
        <v>2971</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34538</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22496</v>
      </c>
      <c r="D14" s="1965" t="s">
        <v>1745</v>
      </c>
      <c r="E14" s="1966"/>
      <c r="F14" s="805"/>
      <c r="G14" s="1579"/>
      <c r="H14" s="1635" t="s">
        <v>1830</v>
      </c>
      <c r="I14" s="2217" t="s">
        <v>2826</v>
      </c>
      <c r="J14" s="53">
        <f ca="1">C29</f>
        <v>34538</v>
      </c>
      <c r="K14" s="26"/>
      <c r="L14" s="801"/>
      <c r="M14" s="802"/>
    </row>
    <row r="15" spans="1:33" s="2050" customFormat="1" ht="18" customHeight="1" thickBot="1">
      <c r="A15" s="1634" t="s">
        <v>1885</v>
      </c>
      <c r="B15" s="784" t="s">
        <v>647</v>
      </c>
      <c r="C15" s="53">
        <f ca="1">ROUND(C14*F15,0)</f>
        <v>675</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3479</v>
      </c>
      <c r="K16" s="1807" t="s">
        <v>1750</v>
      </c>
      <c r="L16" s="2451"/>
      <c r="M16" s="2456"/>
    </row>
    <row r="17" spans="1:33" s="2050" customFormat="1" ht="18" customHeight="1">
      <c r="A17" s="1634" t="s">
        <v>1887</v>
      </c>
      <c r="B17" s="784" t="s">
        <v>653</v>
      </c>
      <c r="C17" s="53">
        <f ca="1">ROUND(F17*(F43+INDIRECT("'数据-取费表'!S"&amp;$G$1))/10000,0)</f>
        <v>1534</v>
      </c>
      <c r="D17" s="784" t="s">
        <v>1751</v>
      </c>
      <c r="E17" s="784" t="s">
        <v>1752</v>
      </c>
      <c r="F17" s="56">
        <f>'数据-取费表'!B35</f>
        <v>150</v>
      </c>
      <c r="G17" s="1580"/>
      <c r="H17" s="1635" t="s">
        <v>1830</v>
      </c>
      <c r="I17" s="784" t="s">
        <v>656</v>
      </c>
      <c r="J17" s="53">
        <f ca="1">ROUND(IF(项目基本情况!B11="自然人",J6*M17/(1+'数据-取费表'!C42),J18+J19+J20),0)</f>
        <v>2961</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337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25042</v>
      </c>
      <c r="D19" s="261" t="s">
        <v>1757</v>
      </c>
      <c r="E19" s="1968"/>
      <c r="F19" s="56"/>
      <c r="G19" s="1579"/>
      <c r="H19" s="1634" t="s">
        <v>1885</v>
      </c>
      <c r="I19" s="784" t="s">
        <v>1758</v>
      </c>
      <c r="J19" s="53">
        <f ca="1">IF(K19="按租金收入计税",ROUND(J6*M19/(1+'数据-取费表'!C42),1),ROUND(C29*F33*0.7,1))</f>
        <v>2901.2</v>
      </c>
      <c r="K19" s="811" t="s">
        <v>665</v>
      </c>
      <c r="L19" s="784" t="s">
        <v>1747</v>
      </c>
      <c r="M19" s="809">
        <f>IF(K19="按租金收入计税",'数据-取费表'!B51,'数据-取费表'!B50)</f>
        <v>1.2E-2</v>
      </c>
    </row>
    <row r="20" spans="1:33" s="2050" customFormat="1" ht="18" customHeight="1">
      <c r="A20" s="1635" t="s">
        <v>1889</v>
      </c>
      <c r="B20" s="784" t="s">
        <v>666</v>
      </c>
      <c r="C20" s="53">
        <f ca="1">ROUND(C19*F20,0)</f>
        <v>501</v>
      </c>
      <c r="D20" s="812" t="s">
        <v>1759</v>
      </c>
      <c r="E20" s="784" t="s">
        <v>1747</v>
      </c>
      <c r="F20" s="809">
        <f>'数据-取费表'!B37</f>
        <v>0.02</v>
      </c>
      <c r="G20" s="1580"/>
      <c r="H20" s="1637" t="s">
        <v>1880</v>
      </c>
      <c r="I20" s="341" t="s">
        <v>1760</v>
      </c>
      <c r="J20" s="54">
        <f ca="1">ROUND(M20*M21/10000,0)</f>
        <v>60</v>
      </c>
      <c r="K20" s="814" t="s">
        <v>1761</v>
      </c>
      <c r="L20" s="784" t="s">
        <v>1762</v>
      </c>
      <c r="M20" s="640">
        <f>'数据-取费表'!B52</f>
        <v>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120300.2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518</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1213</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-3479</v>
      </c>
      <c r="K25" s="2513" t="s">
        <v>1777</v>
      </c>
      <c r="L25" s="2514"/>
      <c r="M25" s="2515"/>
    </row>
    <row r="26" spans="1:33" ht="18" customHeight="1">
      <c r="A26" s="1634" t="s">
        <v>1831</v>
      </c>
      <c r="B26" s="784" t="s">
        <v>2438</v>
      </c>
      <c r="C26" s="53">
        <f ca="1">ROUND((C19+C20)*F26,0)</f>
        <v>5109</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34538</v>
      </c>
      <c r="D29" s="2510"/>
      <c r="E29" s="2511"/>
      <c r="F29" s="2512"/>
      <c r="G29" s="1580"/>
      <c r="H29" s="823" t="s">
        <v>1787</v>
      </c>
      <c r="I29" s="824" t="s">
        <v>1788</v>
      </c>
      <c r="J29" s="825">
        <f ca="1">ROUND(J26/(1+F40)^F41,0)</f>
        <v>0</v>
      </c>
      <c r="K29" s="826" t="s">
        <v>1789</v>
      </c>
      <c r="L29" s="827"/>
      <c r="M29" s="828">
        <f ca="1">INDIRECT("'数据-取费表'!k"&amp;$G$1)</f>
        <v>102255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1519</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853.4</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249.3</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543.9</v>
      </c>
      <c r="D33" s="811" t="s">
        <v>3088</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60.2</v>
      </c>
      <c r="D34" s="814" t="s">
        <v>1799</v>
      </c>
      <c r="E34" s="784" t="s">
        <v>1800</v>
      </c>
      <c r="F34" s="640">
        <f>'数据-取费表'!B52</f>
        <v>5</v>
      </c>
      <c r="G34" s="2048"/>
      <c r="H34" s="2051"/>
      <c r="I34" s="835" t="s">
        <v>1813</v>
      </c>
      <c r="J34" s="836"/>
      <c r="K34" s="2066"/>
      <c r="L34" s="2065"/>
      <c r="M34" s="2065"/>
    </row>
    <row r="35" spans="1:18" ht="18" customHeight="1">
      <c r="A35" s="815"/>
      <c r="B35" s="793"/>
      <c r="C35" s="69"/>
      <c r="D35" s="816"/>
      <c r="E35" s="784" t="s">
        <v>1801</v>
      </c>
      <c r="F35" s="785">
        <f ca="1">INDIRECT("'数据-取费表'!r"&amp;$G$1)</f>
        <v>120300.2</v>
      </c>
      <c r="G35" s="2048"/>
      <c r="H35" s="2051"/>
      <c r="I35" s="837" t="s">
        <v>1814</v>
      </c>
      <c r="J35" s="838">
        <f ca="1">ROUND(C13*J36,0)</f>
        <v>2936</v>
      </c>
      <c r="K35" s="2064"/>
      <c r="L35" s="2063"/>
      <c r="M35" s="2063"/>
    </row>
    <row r="36" spans="1:18" ht="18" customHeight="1">
      <c r="A36" s="1635" t="s">
        <v>1889</v>
      </c>
      <c r="B36" s="784" t="s">
        <v>1802</v>
      </c>
      <c r="C36" s="53">
        <f ca="1">ROUND(C29*F36,1)</f>
        <v>518.1</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51.8</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95.3</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2822</v>
      </c>
      <c r="C39" s="792">
        <f ca="1">C5-C30</f>
        <v>3246</v>
      </c>
      <c r="D39" s="2513" t="s">
        <v>1806</v>
      </c>
      <c r="E39" s="2514"/>
      <c r="F39" s="2515"/>
      <c r="G39" s="2048"/>
      <c r="H39" s="2063"/>
      <c r="I39" s="837" t="s">
        <v>1818</v>
      </c>
      <c r="J39" s="845">
        <f ca="1">ROUND(J35/C39,3)</f>
        <v>0.90400000000000003</v>
      </c>
      <c r="K39" s="2069"/>
      <c r="L39" s="2063"/>
      <c r="M39" s="2063"/>
    </row>
    <row r="40" spans="1:18" ht="18" customHeight="1">
      <c r="A40" s="781" t="s">
        <v>1895</v>
      </c>
      <c r="B40" s="2218" t="s">
        <v>2301</v>
      </c>
      <c r="C40" s="783">
        <f ca="1">ROUND(C39*(1-((1+F42)/(1+F40))^F41)/(F40-F42),0)</f>
        <v>61384</v>
      </c>
      <c r="D40" s="814" t="s">
        <v>1807</v>
      </c>
      <c r="E40" s="784" t="s">
        <v>2419</v>
      </c>
      <c r="F40" s="794">
        <f ca="1">INDIRECT("'数据-取费表'!I"&amp;$G$1)</f>
        <v>5.5E-2</v>
      </c>
      <c r="G40" s="2048"/>
      <c r="H40" s="2048"/>
      <c r="I40" s="837" t="s">
        <v>1819</v>
      </c>
      <c r="J40" s="845">
        <f ca="1">1-J39</f>
        <v>9.5999999999999974E-2</v>
      </c>
      <c r="K40" s="2069"/>
      <c r="L40" s="2048"/>
      <c r="M40" s="2048"/>
    </row>
    <row r="41" spans="1:18" ht="18" customHeight="1">
      <c r="A41" s="786"/>
      <c r="B41" s="787"/>
      <c r="C41" s="788"/>
      <c r="D41" s="821" t="s">
        <v>1808</v>
      </c>
      <c r="E41" s="784" t="s">
        <v>2961</v>
      </c>
      <c r="F41" s="822">
        <f ca="1">IF(INDIRECT("'数据-取费表'!af"&amp;$G$1)=0,INDIRECT("'数据-取费表'!ae"&amp;$G$1),INDIRECT("'数据-取费表'!af"&amp;$G$1))</f>
        <v>29.04</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0.56299999999999994</v>
      </c>
      <c r="K42" s="2068"/>
      <c r="L42" s="1974"/>
      <c r="M42" s="1974"/>
    </row>
    <row r="43" spans="1:18" ht="18" customHeight="1" thickBot="1">
      <c r="A43" s="823" t="s">
        <v>1787</v>
      </c>
      <c r="B43" s="824" t="s">
        <v>1810</v>
      </c>
      <c r="C43" s="825">
        <f ca="1">ROUND(C40*10000/F43,0)</f>
        <v>6003</v>
      </c>
      <c r="D43" s="826" t="s">
        <v>1811</v>
      </c>
      <c r="E43" s="827" t="s">
        <v>1812</v>
      </c>
      <c r="F43" s="828">
        <f ca="1">INDIRECT("'数据-取费表'!k"&amp;$G$1)</f>
        <v>102255</v>
      </c>
      <c r="G43" s="2048"/>
      <c r="H43" s="1974"/>
      <c r="I43" s="847" t="s">
        <v>1822</v>
      </c>
      <c r="J43" s="848">
        <f ca="1">1-J42</f>
        <v>0.43700000000000006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-70419</v>
      </c>
      <c r="D46" s="2071"/>
      <c r="E46" s="2071"/>
      <c r="F46" s="2071"/>
      <c r="I46" s="2343" t="s">
        <v>2343</v>
      </c>
      <c r="J46" s="2344"/>
      <c r="K46" s="2345"/>
      <c r="L46" s="3107">
        <f ca="1">IF(OR(M47="住宅",D1="土地（套用方法）"),0,IF(L48&gt;J51,L60,J60))</f>
        <v>18409</v>
      </c>
      <c r="O46" s="2359" t="s">
        <v>2410</v>
      </c>
      <c r="P46" s="1579"/>
      <c r="Q46" s="1590"/>
      <c r="R46" s="1579"/>
    </row>
    <row r="47" spans="1:18" s="2045" customFormat="1" ht="18" customHeight="1" thickBot="1">
      <c r="A47" s="2337">
        <v>1</v>
      </c>
      <c r="B47" s="2338" t="s">
        <v>635</v>
      </c>
      <c r="C47" s="2539">
        <f ca="1">C48+C52+C54</f>
        <v>0</v>
      </c>
      <c r="D47" s="2071"/>
      <c r="E47" s="2071"/>
      <c r="F47" s="2071"/>
      <c r="I47" s="3098" t="s">
        <v>2344</v>
      </c>
      <c r="J47" s="2346" t="s">
        <v>3089</v>
      </c>
      <c r="K47" s="3104" t="s">
        <v>2349</v>
      </c>
      <c r="L47" s="3108">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7" t="s">
        <v>2345</v>
      </c>
      <c r="J48" s="2347" t="s">
        <v>2350</v>
      </c>
      <c r="K48" s="3105" t="s">
        <v>2351</v>
      </c>
      <c r="L48" s="1894">
        <f ca="1">INDIRECT("'数据-取费表'!f"&amp;$G$1)</f>
        <v>29.04</v>
      </c>
      <c r="O48" s="2363" t="s">
        <v>2379</v>
      </c>
      <c r="P48" s="2364" t="s">
        <v>2405</v>
      </c>
      <c r="Q48" s="2365">
        <f ca="1">C40+J29</f>
        <v>61384</v>
      </c>
      <c r="R48" s="2364" t="s">
        <v>2380</v>
      </c>
    </row>
    <row r="49" spans="1:18" s="2045" customFormat="1" ht="18" customHeight="1" thickBot="1">
      <c r="A49" s="786"/>
      <c r="B49" s="787"/>
      <c r="C49" s="788"/>
      <c r="D49" s="789"/>
      <c r="E49" s="784" t="s">
        <v>1739</v>
      </c>
      <c r="F49" s="785">
        <f ca="1">F7</f>
        <v>102255</v>
      </c>
      <c r="G49" s="2076"/>
      <c r="H49" s="2079"/>
      <c r="I49" s="3077" t="s">
        <v>2346</v>
      </c>
      <c r="J49" s="2348">
        <v>2020</v>
      </c>
      <c r="K49" s="3106" t="s">
        <v>2352</v>
      </c>
      <c r="L49" s="2349"/>
      <c r="O49" s="2363" t="s">
        <v>2381</v>
      </c>
      <c r="P49" s="2364" t="s">
        <v>2406</v>
      </c>
      <c r="Q49" s="2365">
        <f ca="1">J60</f>
        <v>18409</v>
      </c>
      <c r="R49" s="2364" t="s">
        <v>2382</v>
      </c>
    </row>
    <row r="50" spans="1:18" s="2045" customFormat="1" ht="18" customHeight="1" thickBot="1">
      <c r="A50" s="786"/>
      <c r="B50" s="787"/>
      <c r="C50" s="788"/>
      <c r="D50" s="789"/>
      <c r="E50" s="784" t="s">
        <v>1740</v>
      </c>
      <c r="F50" s="785">
        <f ca="1">F8</f>
        <v>365</v>
      </c>
      <c r="G50" s="2081"/>
      <c r="H50" s="2079"/>
      <c r="I50" s="3077" t="s">
        <v>2347</v>
      </c>
      <c r="J50" s="3102">
        <f>SUMPRODUCT((I63:I65=J47)*(J62:L62=J48)*(J63:L65))</f>
        <v>60</v>
      </c>
      <c r="K50" s="3106" t="s">
        <v>2353</v>
      </c>
      <c r="L50" s="2349"/>
      <c r="O50" s="2366" t="s">
        <v>2383</v>
      </c>
      <c r="P50" s="2364" t="s">
        <v>2407</v>
      </c>
      <c r="Q50" s="2365">
        <f ca="1">C29</f>
        <v>34538</v>
      </c>
      <c r="R50" s="2364" t="s">
        <v>2380</v>
      </c>
    </row>
    <row r="51" spans="1:18" s="2045" customFormat="1" ht="18" customHeight="1" thickBot="1">
      <c r="A51" s="786"/>
      <c r="B51" s="787"/>
      <c r="C51" s="788"/>
      <c r="D51" s="789"/>
      <c r="E51" s="784" t="s">
        <v>640</v>
      </c>
      <c r="F51" s="2336"/>
      <c r="H51" s="2079"/>
      <c r="I51" s="3099" t="s">
        <v>2348</v>
      </c>
      <c r="J51" s="3103">
        <f>IF(J49="",J50,J49+J50-YEAR('数据-取费表'!B2))</f>
        <v>61</v>
      </c>
      <c r="K51" s="3077" t="s">
        <v>2354</v>
      </c>
      <c r="L51" s="3109">
        <f ca="1">ROUND(-PV(INDIRECT("'数据-取费表'!h"&amp;$G$1),L48,(C39-C13*J36),0),0)</f>
        <v>4701</v>
      </c>
      <c r="O51" s="2366" t="s">
        <v>2384</v>
      </c>
      <c r="P51" s="2364" t="s">
        <v>2385</v>
      </c>
      <c r="Q51" s="2367">
        <f ca="1">J58</f>
        <v>0.53300000000000003</v>
      </c>
      <c r="R51" s="2368"/>
    </row>
    <row r="52" spans="1:18" s="2045" customFormat="1" ht="18" customHeight="1" thickBot="1">
      <c r="A52" s="781" t="s">
        <v>2536</v>
      </c>
      <c r="B52" s="2459" t="s">
        <v>2459</v>
      </c>
      <c r="C52" s="799">
        <f ca="1">ROUND(IF(F52="押一",C48/12*F11,IF(F52="押二",C48/12*2*F11,IF(F52="押三",C48/12*3*F11,C53*F11))),0)</f>
        <v>0</v>
      </c>
      <c r="D52" s="2466" t="s">
        <v>2972</v>
      </c>
      <c r="E52" s="2463" t="s">
        <v>2464</v>
      </c>
      <c r="F52" s="2586"/>
      <c r="I52" s="3100" t="s">
        <v>2421</v>
      </c>
      <c r="J52" s="2350"/>
      <c r="K52" s="3100"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1" t="s">
        <v>2975</v>
      </c>
      <c r="J53" s="3180">
        <f ca="1">IF(M47="住宅",IF(D1="——",MAX(J51,L48),MAX(J51,L48-'数据-取费表'!B20)),IF(D1="——",MIN(J51,L48),MIN(J51,L48-'数据-取费表'!B20)))</f>
        <v>29.04</v>
      </c>
      <c r="K53" s="3461" t="s">
        <v>2963</v>
      </c>
      <c r="L53" s="3462"/>
      <c r="O53" s="2366" t="s">
        <v>2388</v>
      </c>
      <c r="P53" s="2364" t="s">
        <v>2389</v>
      </c>
      <c r="Q53" s="2365">
        <f ca="1">J53</f>
        <v>29.04</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79793</v>
      </c>
      <c r="R54" s="2368" t="s">
        <v>2392</v>
      </c>
    </row>
    <row r="55" spans="1:18" s="2045" customFormat="1" ht="18" customHeight="1" thickTop="1" thickBot="1">
      <c r="A55" s="797">
        <v>2</v>
      </c>
      <c r="B55" s="798" t="s">
        <v>644</v>
      </c>
      <c r="C55" s="799">
        <f ca="1">C13</f>
        <v>34538</v>
      </c>
      <c r="D55" s="795"/>
      <c r="E55" s="795"/>
      <c r="F55" s="800"/>
      <c r="I55" s="3112" t="s">
        <v>2355</v>
      </c>
      <c r="J55" s="3052">
        <f ca="1">ROUND(IF(J47="钢混",J57/J50,1-(1-2%)*(J50-J57)/J50),3)</f>
        <v>0.53300000000000003</v>
      </c>
      <c r="K55" s="3113" t="s">
        <v>2356</v>
      </c>
      <c r="L55" s="2351"/>
      <c r="O55" s="2369" t="s">
        <v>2411</v>
      </c>
      <c r="P55" s="1579"/>
      <c r="Q55" s="1590"/>
      <c r="R55" s="1579"/>
    </row>
    <row r="56" spans="1:18" s="2045" customFormat="1" ht="42.75" customHeight="1" thickBot="1">
      <c r="A56" s="1636"/>
      <c r="B56" s="2217" t="s">
        <v>2302</v>
      </c>
      <c r="C56" s="53">
        <f ca="1">C29</f>
        <v>34538</v>
      </c>
      <c r="D56" s="2604"/>
      <c r="E56" s="784"/>
      <c r="F56" s="809"/>
      <c r="I56" s="3114" t="s">
        <v>2357</v>
      </c>
      <c r="J56" s="3124"/>
      <c r="K56" s="3077"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630</v>
      </c>
      <c r="D57" s="26" t="s">
        <v>1750</v>
      </c>
      <c r="E57" s="2605"/>
      <c r="F57" s="56"/>
      <c r="I57" s="3115" t="s">
        <v>2358</v>
      </c>
      <c r="J57" s="3116">
        <f ca="1">IF(OR(M47="住宅",J51&lt;L48,J56="是"),"——",J51-L48)</f>
        <v>31.96</v>
      </c>
      <c r="K57" s="3077" t="s">
        <v>2363</v>
      </c>
      <c r="L57" s="1894" t="str">
        <f ca="1">IF(L48&lt;J51,"——",IF(L55="比较法",L49,IF(L55="基准地价",L50,L51)))</f>
        <v>——</v>
      </c>
      <c r="O57" s="2363" t="s">
        <v>2379</v>
      </c>
      <c r="P57" s="2364" t="s">
        <v>2409</v>
      </c>
      <c r="Q57" s="2365">
        <f ca="1">C40+J29</f>
        <v>61384</v>
      </c>
      <c r="R57" s="2364" t="s">
        <v>2380</v>
      </c>
    </row>
    <row r="58" spans="1:18" s="2045" customFormat="1" ht="28.5" customHeight="1" thickBot="1">
      <c r="A58" s="1635" t="s">
        <v>1824</v>
      </c>
      <c r="B58" s="784" t="s">
        <v>656</v>
      </c>
      <c r="C58" s="53">
        <f ca="1">ROUND(IF(项目基本情况!B11="自然人",C47*F58,C59+C60+C61),1)</f>
        <v>60.2</v>
      </c>
      <c r="D58" s="2603" t="s">
        <v>657</v>
      </c>
      <c r="E58" s="2604" t="s">
        <v>690</v>
      </c>
      <c r="F58" s="810">
        <f ca="1">IF(项目基本情况!B11="企业","",IF(INDIRECT("'数据-取费表'!c"&amp;$G$1)="住宅",5%,IF(F48*F49*F50/12/(1+'数据-取费表'!C42)&gt;20000,12%,7%)))</f>
        <v>7.0000000000000007E-2</v>
      </c>
      <c r="I58" s="3115" t="s">
        <v>2359</v>
      </c>
      <c r="J58" s="3053">
        <f ca="1">IF(J55&lt;0.4,0.4,J55)</f>
        <v>0.53300000000000003</v>
      </c>
      <c r="K58" s="3077"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5" t="s">
        <v>2360</v>
      </c>
      <c r="J59" s="3116">
        <f ca="1">IF(OR(M47="住宅",J51&lt;L48,J56="是"),"——",ROUND(C29*J58,0))</f>
        <v>18409</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7" t="s">
        <v>2361</v>
      </c>
      <c r="J60" s="3118">
        <f ca="1">IF(OR(M47="住宅",J51&lt;L48,J56="是"),"0",ROUND(J59/(1+J52)^J53,0))</f>
        <v>18409</v>
      </c>
      <c r="K60" s="3119" t="s">
        <v>2366</v>
      </c>
      <c r="L60" s="3118">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60.2</v>
      </c>
      <c r="D61" s="814" t="s">
        <v>669</v>
      </c>
      <c r="E61" s="784" t="s">
        <v>670</v>
      </c>
      <c r="F61" s="640">
        <f t="shared" si="0"/>
        <v>5</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120300.2</v>
      </c>
      <c r="I62" s="3120" t="s">
        <v>2367</v>
      </c>
      <c r="J62" s="3121" t="s">
        <v>2368</v>
      </c>
      <c r="K62" s="3121" t="s">
        <v>2369</v>
      </c>
      <c r="L62" s="3121" t="s">
        <v>2350</v>
      </c>
      <c r="M62" s="3122" t="s">
        <v>2940</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518.1</v>
      </c>
      <c r="D63" s="2604" t="s">
        <v>1803</v>
      </c>
      <c r="E63" s="784" t="s">
        <v>1747</v>
      </c>
      <c r="F63" s="817">
        <f t="shared" ca="1" si="0"/>
        <v>1.4999999999999999E-2</v>
      </c>
      <c r="I63" s="3120" t="s">
        <v>2370</v>
      </c>
      <c r="J63" s="3121">
        <v>70</v>
      </c>
      <c r="K63" s="3121">
        <v>50</v>
      </c>
      <c r="L63" s="3121">
        <v>80</v>
      </c>
      <c r="M63" s="3123">
        <v>0.02</v>
      </c>
      <c r="O63" s="2363" t="s">
        <v>2391</v>
      </c>
      <c r="P63" s="2364" t="s">
        <v>2408</v>
      </c>
      <c r="Q63" s="2365">
        <f ca="1">Q57+Q58</f>
        <v>61384</v>
      </c>
      <c r="R63" s="2368" t="s">
        <v>2392</v>
      </c>
    </row>
    <row r="64" spans="1:18" s="2045" customFormat="1" ht="16.5" thickBot="1">
      <c r="A64" s="1635" t="s">
        <v>1890</v>
      </c>
      <c r="B64" s="784" t="s">
        <v>679</v>
      </c>
      <c r="C64" s="53">
        <f ca="1">ROUND(C55*F64,1)</f>
        <v>51.8</v>
      </c>
      <c r="D64" s="2604" t="s">
        <v>680</v>
      </c>
      <c r="E64" s="784" t="s">
        <v>1747</v>
      </c>
      <c r="F64" s="818">
        <f t="shared" ca="1" si="0"/>
        <v>1.5E-3</v>
      </c>
      <c r="I64" s="3120" t="s">
        <v>2371</v>
      </c>
      <c r="J64" s="3121">
        <v>50</v>
      </c>
      <c r="K64" s="3121">
        <v>35</v>
      </c>
      <c r="L64" s="3121">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0" t="s">
        <v>2372</v>
      </c>
      <c r="J65" s="3121">
        <v>40</v>
      </c>
      <c r="K65" s="3121">
        <v>30</v>
      </c>
      <c r="L65" s="3121">
        <v>50</v>
      </c>
      <c r="M65" s="3123">
        <v>0.02</v>
      </c>
      <c r="O65" s="2360" t="s">
        <v>2375</v>
      </c>
      <c r="P65" s="2361" t="s">
        <v>2376</v>
      </c>
      <c r="Q65" s="2362" t="s">
        <v>2377</v>
      </c>
      <c r="R65" s="2361" t="s">
        <v>2378</v>
      </c>
    </row>
    <row r="66" spans="1:18" s="2045" customFormat="1" ht="24.75" thickBot="1">
      <c r="A66" s="797" t="s">
        <v>1776</v>
      </c>
      <c r="B66" s="2964" t="s">
        <v>2822</v>
      </c>
      <c r="C66" s="799">
        <f ca="1">C47-C57</f>
        <v>-630</v>
      </c>
      <c r="D66" s="2603" t="s">
        <v>700</v>
      </c>
      <c r="E66" s="2602"/>
      <c r="F66" s="820"/>
      <c r="K66" s="2072"/>
      <c r="O66" s="2363" t="s">
        <v>2379</v>
      </c>
      <c r="P66" s="2364" t="s">
        <v>2409</v>
      </c>
      <c r="Q66" s="2365">
        <f ca="1">C40+J29</f>
        <v>61384</v>
      </c>
      <c r="R66" s="2364" t="s">
        <v>2380</v>
      </c>
    </row>
    <row r="67" spans="1:18" s="2045" customFormat="1" ht="20.25" thickBot="1">
      <c r="A67" s="781" t="s">
        <v>1780</v>
      </c>
      <c r="B67" s="2218" t="s">
        <v>2301</v>
      </c>
      <c r="C67" s="783">
        <f ca="1">ROUND(C66*(1-((1+F69)/(1+F67))^F68)/(F67-F69),0)</f>
        <v>-9035</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29.04</v>
      </c>
      <c r="O68" s="2366" t="s">
        <v>2383</v>
      </c>
      <c r="P68" s="2364" t="s">
        <v>2413</v>
      </c>
      <c r="Q68" s="2370">
        <f ca="1">L51</f>
        <v>4701</v>
      </c>
      <c r="R68" s="2371" t="s">
        <v>2416</v>
      </c>
    </row>
    <row r="69" spans="1:18" ht="20.25" thickBot="1">
      <c r="A69" s="790"/>
      <c r="B69" s="791"/>
      <c r="C69" s="792"/>
      <c r="D69" s="816"/>
      <c r="E69" s="784" t="s">
        <v>710</v>
      </c>
      <c r="F69" s="2336"/>
      <c r="O69" s="2366" t="s">
        <v>2384</v>
      </c>
      <c r="P69" s="2372" t="s">
        <v>2398</v>
      </c>
      <c r="Q69" s="2365">
        <f ca="1">ROUND(Q70-Q71*Q72,0)</f>
        <v>310</v>
      </c>
      <c r="R69" s="2368"/>
    </row>
    <row r="70" spans="1:18" ht="15.75" thickBot="1">
      <c r="A70" s="823" t="s">
        <v>1787</v>
      </c>
      <c r="B70" s="824" t="s">
        <v>1810</v>
      </c>
      <c r="C70" s="825">
        <f ca="1">ROUND(C67*10000/F70,0)</f>
        <v>-884</v>
      </c>
      <c r="D70" s="826" t="s">
        <v>1811</v>
      </c>
      <c r="E70" s="827" t="s">
        <v>1812</v>
      </c>
      <c r="F70" s="828">
        <f ca="1">F43</f>
        <v>102255</v>
      </c>
      <c r="O70" s="2366" t="s">
        <v>2399</v>
      </c>
      <c r="P70" s="2372" t="s">
        <v>2400</v>
      </c>
      <c r="Q70" s="2365">
        <f ca="1">C39</f>
        <v>3246</v>
      </c>
      <c r="R70" s="2364" t="s">
        <v>2380</v>
      </c>
    </row>
    <row r="71" spans="1:18" ht="15.75" thickBot="1">
      <c r="O71" s="2366" t="s">
        <v>2401</v>
      </c>
      <c r="P71" s="2372" t="s">
        <v>2402</v>
      </c>
      <c r="Q71" s="2365">
        <f ca="1">C13</f>
        <v>34538</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f ca="1">Q66+Q67</f>
        <v>61384</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2471</v>
      </c>
      <c r="B1" s="3464"/>
      <c r="C1" s="3465"/>
      <c r="D1" s="3466">
        <f>SUM(I10,I15,I20,I21,I23)</f>
        <v>0</v>
      </c>
      <c r="E1" s="3466"/>
      <c r="F1" s="3466"/>
      <c r="G1" s="3466"/>
      <c r="H1" s="3466"/>
      <c r="I1" s="3467"/>
    </row>
    <row r="2" spans="1:9">
      <c r="A2" s="3468" t="s">
        <v>2472</v>
      </c>
      <c r="B2" s="3469" t="s">
        <v>2473</v>
      </c>
      <c r="C2" s="3469"/>
      <c r="D2" s="2472" t="s">
        <v>2474</v>
      </c>
      <c r="E2" s="2472" t="s">
        <v>2475</v>
      </c>
      <c r="F2" s="2472" t="s">
        <v>2476</v>
      </c>
      <c r="G2" s="2472" t="s">
        <v>2477</v>
      </c>
      <c r="H2" s="2472" t="s">
        <v>2478</v>
      </c>
      <c r="I2" s="2473" t="s">
        <v>2479</v>
      </c>
    </row>
    <row r="3" spans="1:9">
      <c r="A3" s="3468"/>
      <c r="B3" s="3469" t="s">
        <v>2480</v>
      </c>
      <c r="C3" s="3469"/>
      <c r="D3" s="2474"/>
      <c r="E3" s="2472"/>
      <c r="F3" s="2475"/>
      <c r="G3" s="2475"/>
      <c r="H3" s="2476"/>
      <c r="I3" s="2477">
        <f>ROUND(D3*E3*F3*G3*H3/10000,0)</f>
        <v>0</v>
      </c>
    </row>
    <row r="4" spans="1:9">
      <c r="A4" s="3468"/>
      <c r="B4" s="3469" t="s">
        <v>2481</v>
      </c>
      <c r="C4" s="3469"/>
      <c r="D4" s="2474"/>
      <c r="E4" s="2472"/>
      <c r="F4" s="2475"/>
      <c r="G4" s="2475"/>
      <c r="H4" s="2476"/>
      <c r="I4" s="2477">
        <f t="shared" ref="I4:I9" si="0">ROUND(D4*E4*F4*G4*H4/10000,0)</f>
        <v>0</v>
      </c>
    </row>
    <row r="5" spans="1:9">
      <c r="A5" s="3468"/>
      <c r="B5" s="3469" t="s">
        <v>2482</v>
      </c>
      <c r="C5" s="3469"/>
      <c r="D5" s="2474"/>
      <c r="E5" s="2472"/>
      <c r="F5" s="2475"/>
      <c r="G5" s="2475"/>
      <c r="H5" s="2476"/>
      <c r="I5" s="2477">
        <f t="shared" si="0"/>
        <v>0</v>
      </c>
    </row>
    <row r="6" spans="1:9">
      <c r="A6" s="3468"/>
      <c r="B6" s="3469" t="s">
        <v>2483</v>
      </c>
      <c r="C6" s="3469"/>
      <c r="D6" s="2474"/>
      <c r="E6" s="2472"/>
      <c r="F6" s="2475"/>
      <c r="G6" s="2475"/>
      <c r="H6" s="2476"/>
      <c r="I6" s="2477">
        <f t="shared" si="0"/>
        <v>0</v>
      </c>
    </row>
    <row r="7" spans="1:9">
      <c r="A7" s="3468"/>
      <c r="B7" s="3469" t="s">
        <v>2484</v>
      </c>
      <c r="C7" s="3469"/>
      <c r="D7" s="2474"/>
      <c r="E7" s="2472"/>
      <c r="F7" s="2475"/>
      <c r="G7" s="2475"/>
      <c r="H7" s="2476"/>
      <c r="I7" s="2477">
        <f t="shared" si="0"/>
        <v>0</v>
      </c>
    </row>
    <row r="8" spans="1:9">
      <c r="A8" s="3468"/>
      <c r="B8" s="3469" t="s">
        <v>2485</v>
      </c>
      <c r="C8" s="3469"/>
      <c r="D8" s="2474"/>
      <c r="E8" s="2472"/>
      <c r="F8" s="2475"/>
      <c r="G8" s="2475"/>
      <c r="H8" s="2476"/>
      <c r="I8" s="2477">
        <f t="shared" si="0"/>
        <v>0</v>
      </c>
    </row>
    <row r="9" spans="1:9">
      <c r="A9" s="3468"/>
      <c r="B9" s="3469" t="s">
        <v>2486</v>
      </c>
      <c r="C9" s="3469"/>
      <c r="D9" s="2474"/>
      <c r="E9" s="2472"/>
      <c r="F9" s="2475"/>
      <c r="G9" s="2475"/>
      <c r="H9" s="2476"/>
      <c r="I9" s="2477">
        <f t="shared" si="0"/>
        <v>0</v>
      </c>
    </row>
    <row r="10" spans="1:9">
      <c r="A10" s="3468"/>
      <c r="B10" s="3470" t="s">
        <v>2487</v>
      </c>
      <c r="C10" s="3470"/>
      <c r="D10" s="2478">
        <v>527</v>
      </c>
      <c r="E10" s="2478" t="e">
        <f>ROUND(D1*10000/D10/H9,0)</f>
        <v>#DIV/0!</v>
      </c>
      <c r="F10" s="2479"/>
      <c r="G10" s="2479"/>
      <c r="H10" s="2480"/>
      <c r="I10" s="2481">
        <f>SUM(I3:I9)</f>
        <v>0</v>
      </c>
    </row>
    <row r="11" spans="1:9" ht="14.25">
      <c r="A11" s="3468" t="s">
        <v>2488</v>
      </c>
      <c r="B11" s="3469" t="s">
        <v>2489</v>
      </c>
      <c r="C11" s="3469"/>
      <c r="D11" s="2474" t="s">
        <v>2490</v>
      </c>
      <c r="E11" s="2474" t="s">
        <v>2491</v>
      </c>
      <c r="F11" s="2475" t="s">
        <v>2492</v>
      </c>
      <c r="G11" s="2475" t="s">
        <v>2493</v>
      </c>
      <c r="H11" s="2482" t="s">
        <v>2494</v>
      </c>
      <c r="I11" s="2473" t="s">
        <v>2495</v>
      </c>
    </row>
    <row r="12" spans="1:9">
      <c r="A12" s="3468"/>
      <c r="B12" s="3469" t="s">
        <v>2496</v>
      </c>
      <c r="C12" s="3469"/>
      <c r="D12" s="2474"/>
      <c r="E12" s="2474"/>
      <c r="F12" s="2475"/>
      <c r="G12" s="2476"/>
      <c r="H12" s="2483"/>
      <c r="I12" s="2473">
        <f>ROUND(D12*E12*F12*G12/10000,0)</f>
        <v>0</v>
      </c>
    </row>
    <row r="13" spans="1:9">
      <c r="A13" s="3468"/>
      <c r="B13" s="3469" t="s">
        <v>2497</v>
      </c>
      <c r="C13" s="3469"/>
      <c r="D13" s="2474"/>
      <c r="E13" s="2474"/>
      <c r="F13" s="2475"/>
      <c r="G13" s="2476"/>
      <c r="H13" s="2483"/>
      <c r="I13" s="2473">
        <f>ROUND(D13*E13*F13*G13/10000,0)</f>
        <v>0</v>
      </c>
    </row>
    <row r="14" spans="1:9">
      <c r="A14" s="3468"/>
      <c r="B14" s="3469" t="s">
        <v>2498</v>
      </c>
      <c r="C14" s="3469"/>
      <c r="D14" s="2474"/>
      <c r="E14" s="2474"/>
      <c r="F14" s="2475"/>
      <c r="G14" s="2476"/>
      <c r="H14" s="2483"/>
      <c r="I14" s="2473">
        <f>ROUND(D14*E14*F14*G14/10000,0)</f>
        <v>0</v>
      </c>
    </row>
    <row r="15" spans="1:9">
      <c r="A15" s="3468"/>
      <c r="B15" s="3470" t="s">
        <v>2487</v>
      </c>
      <c r="C15" s="3470"/>
      <c r="D15" s="2478"/>
      <c r="E15" s="2478">
        <f>SUM(E12:E14)</f>
        <v>0</v>
      </c>
      <c r="F15" s="2479"/>
      <c r="G15" s="2476"/>
      <c r="H15" s="2483"/>
      <c r="I15" s="2484">
        <f>SUM(I12:I14)</f>
        <v>0</v>
      </c>
    </row>
    <row r="16" spans="1:9" ht="24">
      <c r="A16" s="3468" t="s">
        <v>2499</v>
      </c>
      <c r="B16" s="3469" t="s">
        <v>2500</v>
      </c>
      <c r="C16" s="3469"/>
      <c r="D16" s="2474" t="s">
        <v>2501</v>
      </c>
      <c r="E16" s="2485" t="s">
        <v>2502</v>
      </c>
      <c r="F16" s="2475" t="s">
        <v>2503</v>
      </c>
      <c r="G16" s="2476" t="s">
        <v>2493</v>
      </c>
      <c r="H16" s="2482" t="s">
        <v>2494</v>
      </c>
      <c r="I16" s="2473" t="s">
        <v>2495</v>
      </c>
    </row>
    <row r="17" spans="1:9" ht="14.25">
      <c r="A17" s="3468"/>
      <c r="B17" s="3469" t="s">
        <v>2504</v>
      </c>
      <c r="C17" s="3469"/>
      <c r="D17" s="2474"/>
      <c r="E17" s="2474"/>
      <c r="F17" s="2475"/>
      <c r="G17" s="2476"/>
      <c r="H17" s="2486"/>
      <c r="I17" s="2487">
        <f>ROUND(D17*E17*F17*G17/10000,0)</f>
        <v>0</v>
      </c>
    </row>
    <row r="18" spans="1:9" ht="14.25">
      <c r="A18" s="3468"/>
      <c r="B18" s="3469" t="s">
        <v>2505</v>
      </c>
      <c r="C18" s="3469"/>
      <c r="D18" s="2474"/>
      <c r="E18" s="2474"/>
      <c r="F18" s="2475"/>
      <c r="G18" s="2476"/>
      <c r="H18" s="2486"/>
      <c r="I18" s="2487">
        <f>ROUND(D18*E18*F18*G18/10000,0)</f>
        <v>0</v>
      </c>
    </row>
    <row r="19" spans="1:9" ht="14.25">
      <c r="A19" s="3468"/>
      <c r="B19" s="3469" t="s">
        <v>2506</v>
      </c>
      <c r="C19" s="3469"/>
      <c r="D19" s="2474"/>
      <c r="E19" s="2474"/>
      <c r="F19" s="2475"/>
      <c r="G19" s="2476"/>
      <c r="H19" s="2486"/>
      <c r="I19" s="2487">
        <f>ROUND(D19*E19*F19*G19/10000,0)</f>
        <v>0</v>
      </c>
    </row>
    <row r="20" spans="1:9">
      <c r="A20" s="3468"/>
      <c r="B20" s="3470" t="s">
        <v>2487</v>
      </c>
      <c r="C20" s="3470"/>
      <c r="D20" s="2478">
        <f>SUM(D17:D19)</f>
        <v>0</v>
      </c>
      <c r="E20" s="2478"/>
      <c r="F20" s="2479"/>
      <c r="G20" s="2476"/>
      <c r="H20" s="2483"/>
      <c r="I20" s="2484">
        <f>SUM(I17:I19)</f>
        <v>0</v>
      </c>
    </row>
    <row r="21" spans="1:9">
      <c r="A21" s="3468" t="s">
        <v>2507</v>
      </c>
      <c r="B21" s="3472"/>
      <c r="C21" s="3472"/>
      <c r="D21" s="3472"/>
      <c r="E21" s="3472"/>
      <c r="F21" s="3472"/>
      <c r="G21" s="3472"/>
      <c r="H21" s="2488">
        <v>0.1</v>
      </c>
      <c r="I21" s="2481">
        <f>ROUND(I10*H21,0)</f>
        <v>0</v>
      </c>
    </row>
    <row r="22" spans="1:9" ht="14.25">
      <c r="A22" s="3473" t="s">
        <v>2508</v>
      </c>
      <c r="B22" s="3474"/>
      <c r="C22" s="3475"/>
      <c r="D22" s="2489" t="s">
        <v>2509</v>
      </c>
      <c r="E22" s="2489" t="s">
        <v>2510</v>
      </c>
      <c r="F22" s="2490" t="s">
        <v>2511</v>
      </c>
      <c r="G22" s="2490" t="s">
        <v>2512</v>
      </c>
      <c r="H22" s="2482" t="s">
        <v>2513</v>
      </c>
      <c r="I22" s="2473" t="s">
        <v>2514</v>
      </c>
    </row>
    <row r="23" spans="1:9" ht="14.25" thickBot="1">
      <c r="A23" s="3476"/>
      <c r="B23" s="3477"/>
      <c r="C23" s="3478"/>
      <c r="D23" s="2491"/>
      <c r="E23" s="2491"/>
      <c r="F23" s="2491"/>
      <c r="G23" s="2492"/>
      <c r="H23" s="2493"/>
      <c r="I23" s="2494">
        <f>ROUND(E23*D23*F23*(1-G23)/10000,0)</f>
        <v>0</v>
      </c>
    </row>
    <row r="26" spans="1:9">
      <c r="A26" s="2495" t="s">
        <v>2515</v>
      </c>
      <c r="B26" s="2495"/>
      <c r="C26" s="2495"/>
      <c r="D26" s="2495"/>
      <c r="E26" s="3479">
        <f>C27-C30-C31-C32</f>
        <v>0</v>
      </c>
      <c r="F26" s="3479"/>
      <c r="G26" s="3479"/>
      <c r="H26" s="2996" t="s">
        <v>2843</v>
      </c>
    </row>
    <row r="27" spans="1:9">
      <c r="A27" s="2496">
        <v>1</v>
      </c>
      <c r="B27" s="2497" t="s">
        <v>2516</v>
      </c>
      <c r="C27" s="2497"/>
      <c r="D27" s="2497"/>
      <c r="E27" s="3480"/>
      <c r="F27" s="3480"/>
      <c r="G27" s="3480"/>
    </row>
    <row r="28" spans="1:9">
      <c r="A28" s="2498" t="s">
        <v>2517</v>
      </c>
      <c r="B28" s="2497" t="s">
        <v>2518</v>
      </c>
      <c r="C28" s="2497"/>
      <c r="D28" s="2497"/>
      <c r="E28" s="3480"/>
      <c r="F28" s="3480"/>
      <c r="G28" s="348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71"/>
      <c r="F32" s="3471"/>
      <c r="G32" s="3471"/>
    </row>
    <row r="33" spans="1:7" hidden="1">
      <c r="A33" s="3481" t="s">
        <v>2526</v>
      </c>
      <c r="B33" s="3482"/>
      <c r="C33" s="3482"/>
      <c r="D33" s="3483"/>
      <c r="E33" s="3479"/>
      <c r="F33" s="3479"/>
      <c r="G33" s="3479"/>
    </row>
    <row r="34" spans="1:7" hidden="1">
      <c r="A34" s="2500">
        <v>1</v>
      </c>
      <c r="B34" s="2497" t="s">
        <v>2527</v>
      </c>
      <c r="C34" s="2497"/>
      <c r="D34" s="2497"/>
      <c r="E34" s="3480"/>
      <c r="F34" s="3480"/>
      <c r="G34" s="3480"/>
    </row>
    <row r="35" spans="1:7" hidden="1">
      <c r="A35" s="2500">
        <v>2</v>
      </c>
      <c r="B35" s="2497" t="s">
        <v>2528</v>
      </c>
      <c r="C35" s="2497"/>
      <c r="D35" s="2497"/>
      <c r="E35" s="3480"/>
      <c r="F35" s="3480"/>
      <c r="G35" s="3480"/>
    </row>
    <row r="36" spans="1:7" hidden="1">
      <c r="A36" s="2500">
        <v>3</v>
      </c>
      <c r="B36" s="2497" t="s">
        <v>2529</v>
      </c>
      <c r="C36" s="2497"/>
      <c r="D36" s="2497"/>
      <c r="E36" s="3480"/>
      <c r="F36" s="3480"/>
      <c r="G36" s="3480"/>
    </row>
    <row r="37" spans="1:7" hidden="1">
      <c r="A37" s="2500">
        <v>4</v>
      </c>
      <c r="B37" s="2497" t="s">
        <v>2530</v>
      </c>
      <c r="C37" s="2497"/>
      <c r="D37" s="2497"/>
      <c r="E37" s="3480"/>
      <c r="F37" s="3480"/>
      <c r="G37" s="3480"/>
    </row>
    <row r="38" spans="1:7" hidden="1">
      <c r="A38" s="3481" t="s">
        <v>2531</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102255</v>
      </c>
      <c r="E10" s="749">
        <f>'数据-取费表'!B31</f>
        <v>80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120</v>
      </c>
      <c r="F12" s="755"/>
      <c r="G12" s="759"/>
    </row>
    <row r="13" spans="1:25" s="2169" customFormat="1" ht="13.5" customHeight="1">
      <c r="A13" s="2441" t="s">
        <v>2447</v>
      </c>
      <c r="B13" s="756" t="s">
        <v>612</v>
      </c>
      <c r="C13" s="757">
        <f>ROUND(D13*E13/10000,0)</f>
        <v>1227</v>
      </c>
      <c r="D13" s="758">
        <f>'数据-汇总表'!E6</f>
        <v>102255</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0.75800000000000001</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4" t="s">
        <v>522</v>
      </c>
      <c r="D4" s="3375"/>
      <c r="E4" s="3408" t="s">
        <v>523</v>
      </c>
      <c r="F4" s="3409"/>
      <c r="G4" s="3374" t="s">
        <v>524</v>
      </c>
      <c r="H4" s="3375"/>
      <c r="I4" s="3374" t="s">
        <v>525</v>
      </c>
      <c r="J4" s="3375"/>
      <c r="K4" s="853" t="s">
        <v>526</v>
      </c>
      <c r="L4" s="2119"/>
      <c r="M4" s="2120"/>
      <c r="N4" s="2120"/>
      <c r="O4" s="2120"/>
      <c r="P4" s="3376" t="s">
        <v>527</v>
      </c>
      <c r="Q4" s="3377"/>
      <c r="R4" s="3382" t="s">
        <v>523</v>
      </c>
      <c r="S4" s="3383"/>
      <c r="T4" s="3382" t="s">
        <v>524</v>
      </c>
      <c r="U4" s="3383"/>
      <c r="V4" s="3369" t="s">
        <v>525</v>
      </c>
      <c r="W4" s="3369"/>
      <c r="X4" s="1554"/>
      <c r="Y4" s="3382" t="s">
        <v>527</v>
      </c>
      <c r="Z4" s="3383"/>
      <c r="AA4" s="3371" t="s">
        <v>523</v>
      </c>
      <c r="AB4" s="3371" t="s">
        <v>524</v>
      </c>
      <c r="AC4" s="3371" t="s">
        <v>525</v>
      </c>
    </row>
    <row r="5" spans="1:29" ht="15">
      <c r="A5" s="515"/>
      <c r="B5" s="516"/>
      <c r="C5" s="3390" t="s">
        <v>2927</v>
      </c>
      <c r="D5" s="3391"/>
      <c r="E5" s="3410" t="s">
        <v>2928</v>
      </c>
      <c r="F5" s="3411"/>
      <c r="G5" s="3390" t="s">
        <v>2929</v>
      </c>
      <c r="H5" s="3391"/>
      <c r="I5" s="3390" t="s">
        <v>2930</v>
      </c>
      <c r="J5" s="3391"/>
      <c r="K5" s="854"/>
      <c r="L5" s="2119"/>
      <c r="M5" s="2120"/>
      <c r="N5" s="2120"/>
      <c r="O5" s="2120"/>
      <c r="P5" s="3378"/>
      <c r="Q5" s="3379"/>
      <c r="R5" s="3384"/>
      <c r="S5" s="3385"/>
      <c r="T5" s="3384"/>
      <c r="U5" s="3385"/>
      <c r="V5" s="3369"/>
      <c r="W5" s="3369"/>
      <c r="X5" s="1554"/>
      <c r="Y5" s="3384"/>
      <c r="Z5" s="3385"/>
      <c r="AA5" s="3372"/>
      <c r="AB5" s="3372"/>
      <c r="AC5" s="3372"/>
    </row>
    <row r="6" spans="1:29" ht="15.75" thickBot="1">
      <c r="A6" s="517"/>
      <c r="B6" s="518"/>
      <c r="C6" s="3388" t="s">
        <v>2931</v>
      </c>
      <c r="D6" s="3389"/>
      <c r="E6" s="3406" t="s">
        <v>2931</v>
      </c>
      <c r="F6" s="3407"/>
      <c r="G6" s="3388" t="s">
        <v>2931</v>
      </c>
      <c r="H6" s="3389"/>
      <c r="I6" s="3388" t="s">
        <v>2931</v>
      </c>
      <c r="J6" s="3389"/>
      <c r="K6" s="854" t="s">
        <v>528</v>
      </c>
      <c r="L6" s="2119"/>
      <c r="M6" s="2120"/>
      <c r="N6" s="2120"/>
      <c r="O6" s="2120"/>
      <c r="P6" s="3380"/>
      <c r="Q6" s="3381"/>
      <c r="R6" s="3384"/>
      <c r="S6" s="3385"/>
      <c r="T6" s="3386"/>
      <c r="U6" s="3387"/>
      <c r="V6" s="3369"/>
      <c r="W6" s="3369"/>
      <c r="X6" s="1554"/>
      <c r="Y6" s="3386"/>
      <c r="Z6" s="3387"/>
      <c r="AA6" s="3373"/>
      <c r="AB6" s="3373"/>
      <c r="AC6" s="3373"/>
    </row>
    <row r="7" spans="1:29" s="1216" customFormat="1" ht="15.75" thickBot="1">
      <c r="A7" s="2868"/>
      <c r="B7" s="2875" t="s">
        <v>529</v>
      </c>
      <c r="C7" s="519">
        <f>'数据-取费表'!B2</f>
        <v>43700</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9" t="s">
        <v>530</v>
      </c>
      <c r="Q7" s="3401"/>
      <c r="R7" s="1555" t="s">
        <v>13</v>
      </c>
      <c r="S7" s="1556">
        <f t="shared" ref="S7:S15" si="0">F7</f>
        <v>0</v>
      </c>
      <c r="T7" s="1555" t="s">
        <v>13</v>
      </c>
      <c r="U7" s="1556">
        <f t="shared" ref="U7:U15" si="1">H7</f>
        <v>0</v>
      </c>
      <c r="V7" s="1555" t="s">
        <v>13</v>
      </c>
      <c r="W7" s="1556">
        <f t="shared" ref="W7:W15" si="2">J7</f>
        <v>0</v>
      </c>
      <c r="X7" s="1557"/>
      <c r="Y7" s="3399" t="s">
        <v>530</v>
      </c>
      <c r="Z7" s="3400"/>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9" t="s">
        <v>533</v>
      </c>
      <c r="Q8" s="3400"/>
      <c r="R8" s="1555" t="s">
        <v>13</v>
      </c>
      <c r="S8" s="1556">
        <f t="shared" si="0"/>
        <v>0</v>
      </c>
      <c r="T8" s="1555" t="s">
        <v>13</v>
      </c>
      <c r="U8" s="1556">
        <f t="shared" si="1"/>
        <v>0</v>
      </c>
      <c r="V8" s="1555" t="s">
        <v>13</v>
      </c>
      <c r="W8" s="1556">
        <f t="shared" si="2"/>
        <v>0</v>
      </c>
      <c r="X8" s="1557"/>
      <c r="Y8" s="3399" t="s">
        <v>533</v>
      </c>
      <c r="Z8" s="3400"/>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8" t="s">
        <v>535</v>
      </c>
      <c r="Q9" s="1147" t="str">
        <f t="shared" ref="Q9:Q15" si="6">B9</f>
        <v>用途</v>
      </c>
      <c r="R9" s="1555" t="s">
        <v>8</v>
      </c>
      <c r="S9" s="1556">
        <f t="shared" si="0"/>
        <v>100</v>
      </c>
      <c r="T9" s="1555" t="s">
        <v>8</v>
      </c>
      <c r="U9" s="1556">
        <f t="shared" si="1"/>
        <v>100</v>
      </c>
      <c r="V9" s="1555" t="s">
        <v>8</v>
      </c>
      <c r="W9" s="1556">
        <f t="shared" si="2"/>
        <v>100</v>
      </c>
      <c r="X9" s="1557"/>
      <c r="Y9" s="3314"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8"/>
      <c r="Q11" s="1147" t="str">
        <f t="shared" si="6"/>
        <v>容积率</v>
      </c>
      <c r="R11" s="1555" t="s">
        <v>11</v>
      </c>
      <c r="S11" s="1556" t="e">
        <f t="shared" si="0"/>
        <v>#N/A</v>
      </c>
      <c r="T11" s="1555" t="s">
        <v>11</v>
      </c>
      <c r="U11" s="1556" t="e">
        <f t="shared" si="1"/>
        <v>#N/A</v>
      </c>
      <c r="V11" s="1555" t="s">
        <v>11</v>
      </c>
      <c r="W11" s="1556" t="e">
        <f t="shared" si="2"/>
        <v>#N/A</v>
      </c>
      <c r="X11" s="1557"/>
      <c r="Y11" s="331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8"/>
      <c r="Q12" s="1147">
        <f t="shared" si="6"/>
        <v>111</v>
      </c>
      <c r="R12" s="1555" t="s">
        <v>11</v>
      </c>
      <c r="S12" s="1556">
        <f t="shared" si="0"/>
        <v>100</v>
      </c>
      <c r="T12" s="1555" t="s">
        <v>11</v>
      </c>
      <c r="U12" s="1556">
        <f t="shared" si="1"/>
        <v>100</v>
      </c>
      <c r="V12" s="1555" t="s">
        <v>11</v>
      </c>
      <c r="W12" s="1556">
        <f t="shared" si="2"/>
        <v>100</v>
      </c>
      <c r="X12" s="1557"/>
      <c r="Y12" s="3314"/>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8"/>
      <c r="Q13" s="1147">
        <f t="shared" si="6"/>
        <v>111</v>
      </c>
      <c r="R13" s="1555" t="s">
        <v>11</v>
      </c>
      <c r="S13" s="1556">
        <f t="shared" si="0"/>
        <v>100</v>
      </c>
      <c r="T13" s="1555" t="s">
        <v>11</v>
      </c>
      <c r="U13" s="1556">
        <f t="shared" si="1"/>
        <v>100</v>
      </c>
      <c r="V13" s="1555" t="s">
        <v>11</v>
      </c>
      <c r="W13" s="1556">
        <f t="shared" si="2"/>
        <v>100</v>
      </c>
      <c r="X13" s="1557"/>
      <c r="Y13" s="3314"/>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8"/>
      <c r="Q14" s="1147">
        <f t="shared" si="6"/>
        <v>111</v>
      </c>
      <c r="R14" s="1555" t="s">
        <v>11</v>
      </c>
      <c r="S14" s="1556">
        <f t="shared" si="0"/>
        <v>100</v>
      </c>
      <c r="T14" s="1555" t="s">
        <v>11</v>
      </c>
      <c r="U14" s="1556">
        <f t="shared" si="1"/>
        <v>100</v>
      </c>
      <c r="V14" s="1555" t="s">
        <v>11</v>
      </c>
      <c r="W14" s="1556">
        <f t="shared" si="2"/>
        <v>100</v>
      </c>
      <c r="X14" s="1557"/>
      <c r="Y14" s="3314"/>
      <c r="Z14" s="1146">
        <f t="shared" si="7"/>
        <v>111</v>
      </c>
      <c r="AA14" s="1558">
        <f t="shared" si="3"/>
        <v>1</v>
      </c>
      <c r="AB14" s="1558">
        <f t="shared" si="4"/>
        <v>1</v>
      </c>
      <c r="AC14" s="1558">
        <f t="shared" si="5"/>
        <v>1</v>
      </c>
    </row>
    <row r="15" spans="1:29" ht="15">
      <c r="A15" s="2866" t="s">
        <v>2754</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2" t="s">
        <v>540</v>
      </c>
      <c r="Q15" s="1559" t="str">
        <f t="shared" si="6"/>
        <v>居住社区成熟度</v>
      </c>
      <c r="R15" s="1560" t="s">
        <v>11</v>
      </c>
      <c r="S15" s="1561">
        <f t="shared" si="0"/>
        <v>100</v>
      </c>
      <c r="T15" s="1560" t="s">
        <v>11</v>
      </c>
      <c r="U15" s="1561">
        <f t="shared" si="1"/>
        <v>100</v>
      </c>
      <c r="V15" s="1560" t="s">
        <v>11</v>
      </c>
      <c r="W15" s="1561">
        <f t="shared" si="2"/>
        <v>100</v>
      </c>
      <c r="X15" s="1554"/>
      <c r="Y15" s="3402"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3"/>
      <c r="Q16" s="1559"/>
      <c r="R16" s="1560"/>
      <c r="S16" s="1561"/>
      <c r="T16" s="1560"/>
      <c r="U16" s="1561"/>
      <c r="V16" s="1560"/>
      <c r="W16" s="1561"/>
      <c r="X16" s="1554"/>
      <c r="Y16" s="3403"/>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3"/>
      <c r="Q17" s="1559" t="str">
        <f>B17</f>
        <v>交通便捷度</v>
      </c>
      <c r="R17" s="1560" t="s">
        <v>11</v>
      </c>
      <c r="S17" s="1561">
        <f>F17</f>
        <v>100</v>
      </c>
      <c r="T17" s="1560" t="s">
        <v>11</v>
      </c>
      <c r="U17" s="1561">
        <f>H17</f>
        <v>100</v>
      </c>
      <c r="V17" s="1560" t="s">
        <v>11</v>
      </c>
      <c r="W17" s="1561">
        <f>J17</f>
        <v>100</v>
      </c>
      <c r="X17" s="1554"/>
      <c r="Y17" s="340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3"/>
      <c r="Q18" s="1559"/>
      <c r="R18" s="1560"/>
      <c r="S18" s="1561"/>
      <c r="T18" s="1560"/>
      <c r="U18" s="1561"/>
      <c r="V18" s="1560"/>
      <c r="W18" s="1561"/>
      <c r="X18" s="1554"/>
      <c r="Y18" s="3403"/>
      <c r="Z18" s="1562"/>
      <c r="AA18" s="1563">
        <v>1</v>
      </c>
      <c r="AB18" s="1563">
        <v>1</v>
      </c>
      <c r="AC18" s="1563">
        <v>1</v>
      </c>
    </row>
    <row r="19" spans="1:29" ht="15">
      <c r="A19" s="532"/>
      <c r="B19" s="2565"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3"/>
      <c r="Q19" s="1559" t="str">
        <f>B19</f>
        <v>公共配套设施</v>
      </c>
      <c r="R19" s="1560" t="s">
        <v>11</v>
      </c>
      <c r="S19" s="1561">
        <f>F19</f>
        <v>100</v>
      </c>
      <c r="T19" s="1560" t="s">
        <v>11</v>
      </c>
      <c r="U19" s="1561">
        <f>H19</f>
        <v>100</v>
      </c>
      <c r="V19" s="1560" t="s">
        <v>11</v>
      </c>
      <c r="W19" s="1561">
        <f>J19</f>
        <v>100</v>
      </c>
      <c r="X19" s="1554"/>
      <c r="Y19" s="340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3"/>
      <c r="Q20" s="1559"/>
      <c r="R20" s="1560"/>
      <c r="S20" s="1561"/>
      <c r="T20" s="1560"/>
      <c r="U20" s="1561"/>
      <c r="V20" s="1560"/>
      <c r="W20" s="1561"/>
      <c r="X20" s="1554"/>
      <c r="Y20" s="3403"/>
      <c r="Z20" s="1562"/>
      <c r="AA20" s="1563">
        <v>1</v>
      </c>
      <c r="AB20" s="1563">
        <v>1</v>
      </c>
      <c r="AC20" s="1563">
        <v>1</v>
      </c>
    </row>
    <row r="21" spans="1:29" ht="15">
      <c r="A21" s="532"/>
      <c r="B21" s="2558"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3"/>
      <c r="Q21" s="2544" t="str">
        <f>B21</f>
        <v>基础设施水平</v>
      </c>
      <c r="R21" s="1560" t="s">
        <v>11</v>
      </c>
      <c r="S21" s="1561">
        <f>F21</f>
        <v>100</v>
      </c>
      <c r="T21" s="1560" t="s">
        <v>11</v>
      </c>
      <c r="U21" s="1561">
        <f>H21</f>
        <v>100</v>
      </c>
      <c r="V21" s="1560" t="s">
        <v>11</v>
      </c>
      <c r="W21" s="1561">
        <f>J21</f>
        <v>100</v>
      </c>
      <c r="X21" s="2546"/>
      <c r="Y21" s="340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3"/>
      <c r="Q22" s="2544"/>
      <c r="R22" s="1560"/>
      <c r="S22" s="1561"/>
      <c r="T22" s="1560"/>
      <c r="U22" s="1561"/>
      <c r="V22" s="1560"/>
      <c r="W22" s="1561"/>
      <c r="X22" s="2546"/>
      <c r="Y22" s="3403"/>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3"/>
      <c r="Q23" s="1559" t="str">
        <f>B23</f>
        <v>自然及人文环境</v>
      </c>
      <c r="R23" s="1560" t="s">
        <v>11</v>
      </c>
      <c r="S23" s="1561">
        <f>F23</f>
        <v>100</v>
      </c>
      <c r="T23" s="1560" t="s">
        <v>11</v>
      </c>
      <c r="U23" s="1561">
        <f>H23</f>
        <v>100</v>
      </c>
      <c r="V23" s="1560" t="s">
        <v>11</v>
      </c>
      <c r="W23" s="1561">
        <f>J23</f>
        <v>100</v>
      </c>
      <c r="X23" s="1554"/>
      <c r="Y23" s="340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3"/>
      <c r="Q24" s="1559"/>
      <c r="R24" s="1560"/>
      <c r="S24" s="1561"/>
      <c r="T24" s="1560"/>
      <c r="U24" s="1561"/>
      <c r="V24" s="1560"/>
      <c r="W24" s="1561"/>
      <c r="X24" s="1554"/>
      <c r="Y24" s="3403"/>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3"/>
      <c r="Q25" s="1559" t="str">
        <f t="shared" ref="Q25:Q46" si="11">B25</f>
        <v>楼层-1</v>
      </c>
      <c r="R25" s="1560" t="s">
        <v>11</v>
      </c>
      <c r="S25" s="1561">
        <f>F25</f>
        <v>100</v>
      </c>
      <c r="T25" s="1560" t="s">
        <v>11</v>
      </c>
      <c r="U25" s="1561">
        <f>H25</f>
        <v>100</v>
      </c>
      <c r="V25" s="1560" t="s">
        <v>11</v>
      </c>
      <c r="W25" s="1561">
        <f>J25</f>
        <v>100</v>
      </c>
      <c r="X25" s="1554"/>
      <c r="Y25" s="3403"/>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3"/>
      <c r="Q26" s="1559" t="str">
        <f t="shared" si="11"/>
        <v>朝向</v>
      </c>
      <c r="R26" s="1560" t="s">
        <v>11</v>
      </c>
      <c r="S26" s="1561">
        <f>F26</f>
        <v>100</v>
      </c>
      <c r="T26" s="1560" t="s">
        <v>11</v>
      </c>
      <c r="U26" s="1561">
        <f>H26</f>
        <v>100</v>
      </c>
      <c r="V26" s="1560" t="s">
        <v>11</v>
      </c>
      <c r="W26" s="1561">
        <f>J26</f>
        <v>100</v>
      </c>
      <c r="X26" s="1554"/>
      <c r="Y26" s="3403"/>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3"/>
      <c r="Q27" s="1147" t="str">
        <f t="shared" si="11"/>
        <v>道路级别</v>
      </c>
      <c r="R27" s="1555" t="s">
        <v>11</v>
      </c>
      <c r="S27" s="1556">
        <f>F27</f>
        <v>100</v>
      </c>
      <c r="T27" s="1555" t="s">
        <v>11</v>
      </c>
      <c r="U27" s="1556">
        <f>H27</f>
        <v>100</v>
      </c>
      <c r="V27" s="1555" t="s">
        <v>11</v>
      </c>
      <c r="W27" s="1556">
        <f>J27</f>
        <v>100</v>
      </c>
      <c r="X27" s="1557"/>
      <c r="Y27" s="340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3"/>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3"/>
      <c r="Q29" s="1559">
        <f t="shared" si="11"/>
        <v>111</v>
      </c>
      <c r="R29" s="1560" t="s">
        <v>11</v>
      </c>
      <c r="S29" s="1561">
        <f t="shared" si="12"/>
        <v>100</v>
      </c>
      <c r="T29" s="1560" t="s">
        <v>11</v>
      </c>
      <c r="U29" s="1561">
        <f t="shared" si="13"/>
        <v>100</v>
      </c>
      <c r="V29" s="1560" t="s">
        <v>11</v>
      </c>
      <c r="W29" s="1561">
        <f t="shared" si="14"/>
        <v>100</v>
      </c>
      <c r="X29" s="1554"/>
      <c r="Y29" s="340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3"/>
      <c r="Q30" s="1559">
        <f t="shared" si="11"/>
        <v>111</v>
      </c>
      <c r="R30" s="1560" t="s">
        <v>11</v>
      </c>
      <c r="S30" s="1561">
        <f t="shared" si="12"/>
        <v>100</v>
      </c>
      <c r="T30" s="1560" t="s">
        <v>11</v>
      </c>
      <c r="U30" s="1561">
        <f t="shared" si="13"/>
        <v>100</v>
      </c>
      <c r="V30" s="1560" t="s">
        <v>11</v>
      </c>
      <c r="W30" s="1561">
        <f t="shared" si="14"/>
        <v>100</v>
      </c>
      <c r="X30" s="1554"/>
      <c r="Y30" s="3403"/>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3"/>
      <c r="Q31" s="1559">
        <f t="shared" si="11"/>
        <v>111</v>
      </c>
      <c r="R31" s="1560" t="s">
        <v>11</v>
      </c>
      <c r="S31" s="1561">
        <f t="shared" si="12"/>
        <v>100</v>
      </c>
      <c r="T31" s="1560" t="s">
        <v>11</v>
      </c>
      <c r="U31" s="1561">
        <f t="shared" si="13"/>
        <v>100</v>
      </c>
      <c r="V31" s="1560" t="s">
        <v>11</v>
      </c>
      <c r="W31" s="1561">
        <f t="shared" si="14"/>
        <v>100</v>
      </c>
      <c r="X31" s="1554"/>
      <c r="Y31" s="3403"/>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4" t="s">
        <v>550</v>
      </c>
      <c r="Q32" s="1559" t="str">
        <f t="shared" si="11"/>
        <v>建筑类型</v>
      </c>
      <c r="R32" s="1560" t="s">
        <v>11</v>
      </c>
      <c r="S32" s="1561">
        <f t="shared" si="12"/>
        <v>100</v>
      </c>
      <c r="T32" s="1560" t="s">
        <v>11</v>
      </c>
      <c r="U32" s="1561">
        <f t="shared" si="13"/>
        <v>100</v>
      </c>
      <c r="V32" s="1560" t="s">
        <v>11</v>
      </c>
      <c r="W32" s="1561">
        <f t="shared" si="14"/>
        <v>100</v>
      </c>
      <c r="X32" s="1554"/>
      <c r="Y32" s="3405"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5"/>
      <c r="Q33" s="1591" t="str">
        <f t="shared" si="11"/>
        <v>项目建筑规模</v>
      </c>
      <c r="R33" s="1564" t="s">
        <v>11</v>
      </c>
      <c r="S33" s="1565" t="e">
        <f t="shared" si="12"/>
        <v>#N/A</v>
      </c>
      <c r="T33" s="1564" t="s">
        <v>11</v>
      </c>
      <c r="U33" s="1565" t="e">
        <f t="shared" si="13"/>
        <v>#N/A</v>
      </c>
      <c r="V33" s="1564" t="s">
        <v>11</v>
      </c>
      <c r="W33" s="1565" t="e">
        <f t="shared" si="14"/>
        <v>#N/A</v>
      </c>
      <c r="X33" s="1566"/>
      <c r="Y33" s="340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5"/>
      <c r="Q34" s="1559" t="str">
        <f t="shared" si="11"/>
        <v>建筑结构</v>
      </c>
      <c r="R34" s="1560" t="s">
        <v>11</v>
      </c>
      <c r="S34" s="1561">
        <f t="shared" si="12"/>
        <v>100</v>
      </c>
      <c r="T34" s="1560" t="s">
        <v>11</v>
      </c>
      <c r="U34" s="1561">
        <f t="shared" si="13"/>
        <v>100</v>
      </c>
      <c r="V34" s="1560" t="s">
        <v>11</v>
      </c>
      <c r="W34" s="1561">
        <f t="shared" si="14"/>
        <v>100</v>
      </c>
      <c r="X34" s="1554"/>
      <c r="Y34" s="3405"/>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5"/>
      <c r="Q35" s="1559" t="str">
        <f t="shared" si="11"/>
        <v>建筑品质</v>
      </c>
      <c r="R35" s="1560" t="s">
        <v>11</v>
      </c>
      <c r="S35" s="1561">
        <f t="shared" si="12"/>
        <v>100</v>
      </c>
      <c r="T35" s="1560" t="s">
        <v>11</v>
      </c>
      <c r="U35" s="1561">
        <f t="shared" si="13"/>
        <v>100</v>
      </c>
      <c r="V35" s="1560" t="s">
        <v>11</v>
      </c>
      <c r="W35" s="1561">
        <f t="shared" si="14"/>
        <v>100</v>
      </c>
      <c r="X35" s="1554"/>
      <c r="Y35" s="3405"/>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5"/>
      <c r="Q36" s="1559" t="str">
        <f t="shared" si="11"/>
        <v>公共部分装修</v>
      </c>
      <c r="R36" s="1560" t="s">
        <v>11</v>
      </c>
      <c r="S36" s="1561">
        <f t="shared" si="12"/>
        <v>100</v>
      </c>
      <c r="T36" s="1560" t="s">
        <v>11</v>
      </c>
      <c r="U36" s="1561">
        <f t="shared" si="13"/>
        <v>100</v>
      </c>
      <c r="V36" s="1560" t="s">
        <v>11</v>
      </c>
      <c r="W36" s="1561">
        <f t="shared" si="14"/>
        <v>100</v>
      </c>
      <c r="X36" s="1554"/>
      <c r="Y36" s="3405"/>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5"/>
      <c r="Q37" s="1147" t="str">
        <f t="shared" si="11"/>
        <v>成新度</v>
      </c>
      <c r="R37" s="1555" t="s">
        <v>11</v>
      </c>
      <c r="S37" s="1556" t="e">
        <f t="shared" si="12"/>
        <v>#N/A</v>
      </c>
      <c r="T37" s="1555" t="s">
        <v>11</v>
      </c>
      <c r="U37" s="1556" t="e">
        <f t="shared" si="13"/>
        <v>#N/A</v>
      </c>
      <c r="V37" s="1555" t="s">
        <v>11</v>
      </c>
      <c r="W37" s="1556" t="e">
        <f t="shared" si="14"/>
        <v>#N/A</v>
      </c>
      <c r="X37" s="1557"/>
      <c r="Y37" s="3405"/>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5" t="s">
        <v>550</v>
      </c>
      <c r="Q38" s="1559" t="str">
        <f t="shared" si="11"/>
        <v>物业管理</v>
      </c>
      <c r="R38" s="1560" t="s">
        <v>11</v>
      </c>
      <c r="S38" s="1561">
        <f t="shared" si="12"/>
        <v>100</v>
      </c>
      <c r="T38" s="1560" t="s">
        <v>11</v>
      </c>
      <c r="U38" s="1561">
        <f t="shared" si="13"/>
        <v>100</v>
      </c>
      <c r="V38" s="1560" t="s">
        <v>11</v>
      </c>
      <c r="W38" s="1561">
        <f t="shared" si="14"/>
        <v>100</v>
      </c>
      <c r="X38" s="1554"/>
      <c r="Y38" s="3405"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5"/>
      <c r="Q39" s="1559" t="str">
        <f t="shared" si="11"/>
        <v>市政基础设施</v>
      </c>
      <c r="R39" s="1560" t="s">
        <v>11</v>
      </c>
      <c r="S39" s="1561">
        <f t="shared" si="12"/>
        <v>100</v>
      </c>
      <c r="T39" s="1560" t="s">
        <v>11</v>
      </c>
      <c r="U39" s="1561">
        <f t="shared" si="13"/>
        <v>100</v>
      </c>
      <c r="V39" s="1560" t="s">
        <v>11</v>
      </c>
      <c r="W39" s="1561">
        <f t="shared" si="14"/>
        <v>100</v>
      </c>
      <c r="X39" s="1554"/>
      <c r="Y39" s="340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5"/>
      <c r="Q40" s="1559" t="str">
        <f t="shared" si="11"/>
        <v>房型</v>
      </c>
      <c r="R40" s="1560" t="s">
        <v>11</v>
      </c>
      <c r="S40" s="1561">
        <f t="shared" si="12"/>
        <v>100</v>
      </c>
      <c r="T40" s="1560" t="s">
        <v>11</v>
      </c>
      <c r="U40" s="1561">
        <f t="shared" si="13"/>
        <v>100</v>
      </c>
      <c r="V40" s="1560" t="s">
        <v>11</v>
      </c>
      <c r="W40" s="1561">
        <f t="shared" si="14"/>
        <v>100</v>
      </c>
      <c r="X40" s="1554"/>
      <c r="Y40" s="3405"/>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5"/>
      <c r="Q41" s="1591" t="str">
        <f t="shared" si="11"/>
        <v>单套/主力户型建筑面积</v>
      </c>
      <c r="R41" s="1564" t="s">
        <v>11</v>
      </c>
      <c r="S41" s="1565">
        <f t="shared" si="12"/>
        <v>100</v>
      </c>
      <c r="T41" s="1564" t="s">
        <v>11</v>
      </c>
      <c r="U41" s="1565">
        <f t="shared" si="13"/>
        <v>100</v>
      </c>
      <c r="V41" s="1564" t="s">
        <v>11</v>
      </c>
      <c r="W41" s="1565">
        <f t="shared" si="14"/>
        <v>100</v>
      </c>
      <c r="X41" s="1566"/>
      <c r="Y41" s="3405"/>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5"/>
      <c r="Q42" s="1559" t="str">
        <f t="shared" si="11"/>
        <v>内部装修</v>
      </c>
      <c r="R42" s="1560" t="s">
        <v>11</v>
      </c>
      <c r="S42" s="1561">
        <f t="shared" si="12"/>
        <v>100</v>
      </c>
      <c r="T42" s="1560" t="s">
        <v>11</v>
      </c>
      <c r="U42" s="1561">
        <f t="shared" si="13"/>
        <v>100</v>
      </c>
      <c r="V42" s="1560" t="s">
        <v>11</v>
      </c>
      <c r="W42" s="1561">
        <f t="shared" si="14"/>
        <v>100</v>
      </c>
      <c r="X42" s="1554"/>
      <c r="Y42" s="3405"/>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5"/>
      <c r="Q43" s="1559" t="str">
        <f t="shared" si="11"/>
        <v>内部装修维护情况</v>
      </c>
      <c r="R43" s="1560" t="s">
        <v>11</v>
      </c>
      <c r="S43" s="1561">
        <f t="shared" si="12"/>
        <v>100</v>
      </c>
      <c r="T43" s="1560" t="s">
        <v>11</v>
      </c>
      <c r="U43" s="1561">
        <f t="shared" si="13"/>
        <v>100</v>
      </c>
      <c r="V43" s="1560" t="s">
        <v>11</v>
      </c>
      <c r="W43" s="1561">
        <f t="shared" si="14"/>
        <v>100</v>
      </c>
      <c r="X43" s="1554"/>
      <c r="Y43" s="340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5"/>
      <c r="Q44" s="1147">
        <f t="shared" si="11"/>
        <v>111</v>
      </c>
      <c r="R44" s="1555" t="s">
        <v>11</v>
      </c>
      <c r="S44" s="1556">
        <f t="shared" si="12"/>
        <v>100</v>
      </c>
      <c r="T44" s="1555" t="s">
        <v>11</v>
      </c>
      <c r="U44" s="1556">
        <f t="shared" si="13"/>
        <v>100</v>
      </c>
      <c r="V44" s="1555" t="s">
        <v>11</v>
      </c>
      <c r="W44" s="1556">
        <f t="shared" si="14"/>
        <v>100</v>
      </c>
      <c r="X44" s="1557"/>
      <c r="Y44" s="340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5"/>
      <c r="Q45" s="1559">
        <f t="shared" si="11"/>
        <v>111</v>
      </c>
      <c r="R45" s="1560" t="s">
        <v>11</v>
      </c>
      <c r="S45" s="1561">
        <f t="shared" si="12"/>
        <v>100</v>
      </c>
      <c r="T45" s="1560" t="s">
        <v>11</v>
      </c>
      <c r="U45" s="1561">
        <f t="shared" si="13"/>
        <v>100</v>
      </c>
      <c r="V45" s="1560" t="s">
        <v>11</v>
      </c>
      <c r="W45" s="1561">
        <f t="shared" si="14"/>
        <v>100</v>
      </c>
      <c r="X45" s="1554"/>
      <c r="Y45" s="340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6"/>
      <c r="Q46" s="1559">
        <f t="shared" si="11"/>
        <v>111</v>
      </c>
      <c r="R46" s="1560" t="s">
        <v>10</v>
      </c>
      <c r="S46" s="1561">
        <f t="shared" si="12"/>
        <v>100</v>
      </c>
      <c r="T46" s="1560" t="s">
        <v>10</v>
      </c>
      <c r="U46" s="1561">
        <f t="shared" si="13"/>
        <v>100</v>
      </c>
      <c r="V46" s="1560" t="s">
        <v>10</v>
      </c>
      <c r="W46" s="1561">
        <f t="shared" si="14"/>
        <v>100</v>
      </c>
      <c r="X46" s="1554"/>
      <c r="Y46" s="3486"/>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68" t="str">
        <f>A47</f>
        <v>成交单价（元/平方米）</v>
      </c>
      <c r="Q47" s="3368"/>
      <c r="R47" s="3485">
        <f>E47</f>
        <v>0</v>
      </c>
      <c r="S47" s="3485"/>
      <c r="T47" s="3485">
        <f>G47</f>
        <v>0</v>
      </c>
      <c r="U47" s="3485"/>
      <c r="V47" s="3485">
        <f>I47</f>
        <v>0</v>
      </c>
      <c r="W47" s="3485"/>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68" t="str">
        <f>A48</f>
        <v>比较价格（元/平方米）</v>
      </c>
      <c r="Q48" s="3368"/>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4"/>
      <c r="L49" s="2130"/>
      <c r="M49" s="2131"/>
      <c r="N49" s="2131"/>
      <c r="O49" s="2131"/>
      <c r="P49" s="3365" t="str">
        <f>A49</f>
        <v>估价对象XX用房的比较价格（楼面单价，元/平方米）</v>
      </c>
      <c r="Q49" s="3366"/>
      <c r="R49" s="3484" t="e">
        <f>IF(F1="售价",ROUND(AVERAGE(R48:V48),0),ROUND(AVERAGE(R48:V48),1))</f>
        <v>#DIV/0!</v>
      </c>
      <c r="S49" s="3484"/>
      <c r="T49" s="3484"/>
      <c r="U49" s="3484"/>
      <c r="V49" s="3484"/>
      <c r="W49" s="348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4" t="s">
        <v>522</v>
      </c>
      <c r="D4" s="3375"/>
      <c r="E4" s="3408" t="s">
        <v>523</v>
      </c>
      <c r="F4" s="3409"/>
      <c r="G4" s="3374" t="s">
        <v>524</v>
      </c>
      <c r="H4" s="3375"/>
      <c r="I4" s="3374" t="s">
        <v>525</v>
      </c>
      <c r="J4" s="3375"/>
      <c r="K4" s="514" t="s">
        <v>526</v>
      </c>
      <c r="L4" s="2119"/>
      <c r="M4" s="2120"/>
      <c r="N4" s="2120"/>
      <c r="O4" s="2120"/>
      <c r="P4" s="3376" t="s">
        <v>527</v>
      </c>
      <c r="Q4" s="3377"/>
      <c r="R4" s="3382" t="s">
        <v>523</v>
      </c>
      <c r="S4" s="3383"/>
      <c r="T4" s="3382" t="s">
        <v>524</v>
      </c>
      <c r="U4" s="3383"/>
      <c r="V4" s="3369" t="s">
        <v>525</v>
      </c>
      <c r="W4" s="3369"/>
      <c r="X4" s="1554"/>
      <c r="Y4" s="3382" t="s">
        <v>527</v>
      </c>
      <c r="Z4" s="3383"/>
      <c r="AA4" s="3371" t="s">
        <v>523</v>
      </c>
      <c r="AB4" s="3369" t="s">
        <v>524</v>
      </c>
      <c r="AC4" s="3371" t="s">
        <v>525</v>
      </c>
    </row>
    <row r="5" spans="1:29" ht="15">
      <c r="A5" s="515"/>
      <c r="B5" s="516"/>
      <c r="C5" s="3390" t="s">
        <v>2927</v>
      </c>
      <c r="D5" s="3391"/>
      <c r="E5" s="3410" t="s">
        <v>2928</v>
      </c>
      <c r="F5" s="3411"/>
      <c r="G5" s="3390" t="s">
        <v>2929</v>
      </c>
      <c r="H5" s="3391"/>
      <c r="I5" s="3390" t="s">
        <v>2930</v>
      </c>
      <c r="J5" s="3391"/>
      <c r="K5" s="514"/>
      <c r="L5" s="2119"/>
      <c r="M5" s="2120"/>
      <c r="N5" s="2120"/>
      <c r="O5" s="2120"/>
      <c r="P5" s="3378"/>
      <c r="Q5" s="3379"/>
      <c r="R5" s="3384"/>
      <c r="S5" s="3385"/>
      <c r="T5" s="3384"/>
      <c r="U5" s="3385"/>
      <c r="V5" s="3369"/>
      <c r="W5" s="3369"/>
      <c r="X5" s="1554"/>
      <c r="Y5" s="3384"/>
      <c r="Z5" s="3385"/>
      <c r="AA5" s="3372"/>
      <c r="AB5" s="3369"/>
      <c r="AC5" s="3372"/>
    </row>
    <row r="6" spans="1:29" ht="15.75" thickBot="1">
      <c r="A6" s="517"/>
      <c r="B6" s="518"/>
      <c r="C6" s="3388" t="s">
        <v>2931</v>
      </c>
      <c r="D6" s="3389"/>
      <c r="E6" s="3406" t="s">
        <v>2931</v>
      </c>
      <c r="F6" s="3407"/>
      <c r="G6" s="3388" t="s">
        <v>2931</v>
      </c>
      <c r="H6" s="3389"/>
      <c r="I6" s="3388" t="s">
        <v>2931</v>
      </c>
      <c r="J6" s="3389"/>
      <c r="K6" s="514" t="s">
        <v>528</v>
      </c>
      <c r="L6" s="2119"/>
      <c r="M6" s="2120"/>
      <c r="N6" s="2120"/>
      <c r="O6" s="2120"/>
      <c r="P6" s="3380"/>
      <c r="Q6" s="3381"/>
      <c r="R6" s="3384"/>
      <c r="S6" s="3385"/>
      <c r="T6" s="3386"/>
      <c r="U6" s="3387"/>
      <c r="V6" s="3369"/>
      <c r="W6" s="3369"/>
      <c r="X6" s="1554"/>
      <c r="Y6" s="3386"/>
      <c r="Z6" s="3387"/>
      <c r="AA6" s="3373"/>
      <c r="AB6" s="3369"/>
      <c r="AC6" s="3373"/>
    </row>
    <row r="7" spans="1:29" s="1216" customFormat="1" ht="15.75" thickBot="1">
      <c r="A7" s="2868"/>
      <c r="B7" s="2875" t="s">
        <v>529</v>
      </c>
      <c r="C7" s="519">
        <f>'数据-取费表'!B2</f>
        <v>43700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9" t="s">
        <v>530</v>
      </c>
      <c r="Q7" s="3401"/>
      <c r="R7" s="1555" t="s">
        <v>8</v>
      </c>
      <c r="S7" s="1556">
        <f t="shared" ref="S7:S15" si="0">F7</f>
        <v>0</v>
      </c>
      <c r="T7" s="1555" t="s">
        <v>8</v>
      </c>
      <c r="U7" s="1556">
        <f t="shared" ref="U7:U15" si="1">H7</f>
        <v>0</v>
      </c>
      <c r="V7" s="1555" t="s">
        <v>8</v>
      </c>
      <c r="W7" s="1556">
        <f t="shared" ref="W7:W15" si="2">J7</f>
        <v>0</v>
      </c>
      <c r="X7" s="1557"/>
      <c r="Y7" s="3399" t="s">
        <v>530</v>
      </c>
      <c r="Z7" s="3400"/>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9" t="s">
        <v>533</v>
      </c>
      <c r="Q8" s="3400"/>
      <c r="R8" s="1555" t="s">
        <v>8</v>
      </c>
      <c r="S8" s="1556">
        <f t="shared" si="0"/>
        <v>0</v>
      </c>
      <c r="T8" s="1555" t="s">
        <v>8</v>
      </c>
      <c r="U8" s="1556">
        <f t="shared" si="1"/>
        <v>0</v>
      </c>
      <c r="V8" s="1555" t="s">
        <v>8</v>
      </c>
      <c r="W8" s="1556">
        <f t="shared" si="2"/>
        <v>0</v>
      </c>
      <c r="X8" s="1557"/>
      <c r="Y8" s="3399" t="s">
        <v>533</v>
      </c>
      <c r="Z8" s="3400"/>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8" t="s">
        <v>535</v>
      </c>
      <c r="Q9" s="1147" t="str">
        <f t="shared" ref="Q9:Q15" si="6">B9</f>
        <v>用途</v>
      </c>
      <c r="R9" s="1555" t="s">
        <v>8</v>
      </c>
      <c r="S9" s="1556">
        <f t="shared" si="0"/>
        <v>100</v>
      </c>
      <c r="T9" s="1555" t="s">
        <v>8</v>
      </c>
      <c r="U9" s="1556">
        <f t="shared" si="1"/>
        <v>100</v>
      </c>
      <c r="V9" s="1555" t="s">
        <v>8</v>
      </c>
      <c r="W9" s="1556">
        <f t="shared" si="2"/>
        <v>100</v>
      </c>
      <c r="X9" s="1557"/>
      <c r="Y9" s="3314"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8"/>
      <c r="Q11" s="1147" t="str">
        <f t="shared" si="6"/>
        <v>容积率</v>
      </c>
      <c r="R11" s="1555" t="s">
        <v>8</v>
      </c>
      <c r="S11" s="1556" t="e">
        <f t="shared" si="0"/>
        <v>#N/A</v>
      </c>
      <c r="T11" s="1555" t="s">
        <v>8</v>
      </c>
      <c r="U11" s="1556" t="e">
        <f t="shared" si="1"/>
        <v>#N/A</v>
      </c>
      <c r="V11" s="1555" t="s">
        <v>8</v>
      </c>
      <c r="W11" s="1556" t="e">
        <f t="shared" si="2"/>
        <v>#N/A</v>
      </c>
      <c r="X11" s="1557"/>
      <c r="Y11" s="331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8"/>
      <c r="Q12" s="1147">
        <f t="shared" si="6"/>
        <v>111</v>
      </c>
      <c r="R12" s="1555" t="s">
        <v>8</v>
      </c>
      <c r="S12" s="1556">
        <f t="shared" si="0"/>
        <v>100</v>
      </c>
      <c r="T12" s="1555" t="s">
        <v>8</v>
      </c>
      <c r="U12" s="1556">
        <f t="shared" si="1"/>
        <v>100</v>
      </c>
      <c r="V12" s="1555" t="s">
        <v>8</v>
      </c>
      <c r="W12" s="1556">
        <f t="shared" si="2"/>
        <v>100</v>
      </c>
      <c r="X12" s="1557"/>
      <c r="Y12" s="3314"/>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8"/>
      <c r="Q13" s="1147">
        <f t="shared" si="6"/>
        <v>111</v>
      </c>
      <c r="R13" s="1555" t="s">
        <v>8</v>
      </c>
      <c r="S13" s="1556">
        <f t="shared" si="0"/>
        <v>100</v>
      </c>
      <c r="T13" s="1555" t="s">
        <v>8</v>
      </c>
      <c r="U13" s="1556">
        <f t="shared" si="1"/>
        <v>100</v>
      </c>
      <c r="V13" s="1555" t="s">
        <v>8</v>
      </c>
      <c r="W13" s="1556">
        <f t="shared" si="2"/>
        <v>100</v>
      </c>
      <c r="X13" s="1557"/>
      <c r="Y13" s="3314"/>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8"/>
      <c r="Q14" s="1147">
        <f t="shared" si="6"/>
        <v>111</v>
      </c>
      <c r="R14" s="1555" t="s">
        <v>8</v>
      </c>
      <c r="S14" s="1556">
        <f t="shared" si="0"/>
        <v>100</v>
      </c>
      <c r="T14" s="1555" t="s">
        <v>8</v>
      </c>
      <c r="U14" s="1556">
        <f t="shared" si="1"/>
        <v>100</v>
      </c>
      <c r="V14" s="1555" t="s">
        <v>8</v>
      </c>
      <c r="W14" s="1556">
        <f t="shared" si="2"/>
        <v>100</v>
      </c>
      <c r="X14" s="1557"/>
      <c r="Y14" s="3314"/>
      <c r="Z14" s="1146">
        <f t="shared" si="7"/>
        <v>111</v>
      </c>
      <c r="AA14" s="1558">
        <f t="shared" si="3"/>
        <v>1</v>
      </c>
      <c r="AB14" s="1558">
        <f t="shared" si="4"/>
        <v>1</v>
      </c>
      <c r="AC14" s="1558">
        <f t="shared" si="5"/>
        <v>1</v>
      </c>
    </row>
    <row r="15" spans="1:29" ht="15">
      <c r="A15" s="2866" t="s">
        <v>2754</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2" t="s">
        <v>540</v>
      </c>
      <c r="Q15" s="1559" t="str">
        <f t="shared" si="6"/>
        <v>商业繁华度</v>
      </c>
      <c r="R15" s="1560" t="s">
        <v>8</v>
      </c>
      <c r="S15" s="1561">
        <f t="shared" si="0"/>
        <v>100</v>
      </c>
      <c r="T15" s="1560" t="s">
        <v>8</v>
      </c>
      <c r="U15" s="1561">
        <f t="shared" si="1"/>
        <v>100</v>
      </c>
      <c r="V15" s="1560" t="s">
        <v>8</v>
      </c>
      <c r="W15" s="1561">
        <f t="shared" si="2"/>
        <v>100</v>
      </c>
      <c r="X15" s="1554"/>
      <c r="Y15" s="340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3"/>
      <c r="Q16" s="1559"/>
      <c r="R16" s="1560"/>
      <c r="S16" s="1561"/>
      <c r="T16" s="1560"/>
      <c r="U16" s="1561"/>
      <c r="V16" s="1560"/>
      <c r="W16" s="1561"/>
      <c r="X16" s="1554"/>
      <c r="Y16" s="3403"/>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3"/>
      <c r="Q17" s="1559" t="str">
        <f>B17</f>
        <v>交通便捷度</v>
      </c>
      <c r="R17" s="1560" t="s">
        <v>8</v>
      </c>
      <c r="S17" s="1561">
        <f>F17</f>
        <v>100</v>
      </c>
      <c r="T17" s="1560" t="s">
        <v>8</v>
      </c>
      <c r="U17" s="1561">
        <f>H17</f>
        <v>100</v>
      </c>
      <c r="V17" s="1560" t="s">
        <v>8</v>
      </c>
      <c r="W17" s="1561">
        <f>J17</f>
        <v>100</v>
      </c>
      <c r="X17" s="1554"/>
      <c r="Y17" s="340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3"/>
      <c r="Q18" s="1559"/>
      <c r="R18" s="1560"/>
      <c r="S18" s="1561"/>
      <c r="T18" s="1560"/>
      <c r="U18" s="1561"/>
      <c r="V18" s="1560"/>
      <c r="W18" s="1561"/>
      <c r="X18" s="1554"/>
      <c r="Y18" s="3403"/>
      <c r="Z18" s="1562"/>
      <c r="AA18" s="1563">
        <v>1</v>
      </c>
      <c r="AB18" s="1563">
        <v>1</v>
      </c>
      <c r="AC18" s="1563">
        <v>1</v>
      </c>
    </row>
    <row r="19" spans="1:29" ht="15">
      <c r="A19" s="532"/>
      <c r="B19" s="2565"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3"/>
      <c r="Q19" s="1559" t="str">
        <f>B19</f>
        <v>公共配套设施</v>
      </c>
      <c r="R19" s="1560" t="s">
        <v>8</v>
      </c>
      <c r="S19" s="1561">
        <f>F19</f>
        <v>100</v>
      </c>
      <c r="T19" s="1560" t="s">
        <v>8</v>
      </c>
      <c r="U19" s="1561">
        <f>H19</f>
        <v>100</v>
      </c>
      <c r="V19" s="1560" t="s">
        <v>8</v>
      </c>
      <c r="W19" s="1561">
        <f>J19</f>
        <v>100</v>
      </c>
      <c r="X19" s="1554"/>
      <c r="Y19" s="340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3"/>
      <c r="Q20" s="1559"/>
      <c r="R20" s="1560"/>
      <c r="S20" s="1561"/>
      <c r="T20" s="1560"/>
      <c r="U20" s="1561"/>
      <c r="V20" s="1560"/>
      <c r="W20" s="1561"/>
      <c r="X20" s="1554"/>
      <c r="Y20" s="3403"/>
      <c r="Z20" s="1562"/>
      <c r="AA20" s="1563">
        <v>1</v>
      </c>
      <c r="AB20" s="1563">
        <v>1</v>
      </c>
      <c r="AC20" s="1563">
        <v>1</v>
      </c>
    </row>
    <row r="21" spans="1:29" ht="15">
      <c r="A21" s="532"/>
      <c r="B21" s="2558"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3"/>
      <c r="Q21" s="2544" t="str">
        <f>B21</f>
        <v>基础设施水平</v>
      </c>
      <c r="R21" s="1560" t="s">
        <v>8</v>
      </c>
      <c r="S21" s="1561">
        <f>F21</f>
        <v>100</v>
      </c>
      <c r="T21" s="1560" t="s">
        <v>8</v>
      </c>
      <c r="U21" s="1561">
        <f>H21</f>
        <v>100</v>
      </c>
      <c r="V21" s="1560" t="s">
        <v>8</v>
      </c>
      <c r="W21" s="1561">
        <f>J21</f>
        <v>100</v>
      </c>
      <c r="X21" s="2546"/>
      <c r="Y21" s="340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3"/>
      <c r="Q22" s="2544"/>
      <c r="R22" s="1560"/>
      <c r="S22" s="1561"/>
      <c r="T22" s="1560"/>
      <c r="U22" s="1561"/>
      <c r="V22" s="1560"/>
      <c r="W22" s="1561"/>
      <c r="X22" s="2546"/>
      <c r="Y22" s="3403"/>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3"/>
      <c r="Q23" s="1559" t="str">
        <f>B23</f>
        <v>自然及人文环境</v>
      </c>
      <c r="R23" s="1560" t="s">
        <v>8</v>
      </c>
      <c r="S23" s="1561">
        <f>F23</f>
        <v>100</v>
      </c>
      <c r="T23" s="1560" t="s">
        <v>8</v>
      </c>
      <c r="U23" s="1561">
        <f>H23</f>
        <v>100</v>
      </c>
      <c r="V23" s="1560" t="s">
        <v>8</v>
      </c>
      <c r="W23" s="1561">
        <f>J23</f>
        <v>100</v>
      </c>
      <c r="X23" s="1554"/>
      <c r="Y23" s="340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3"/>
      <c r="Q24" s="1559"/>
      <c r="R24" s="1560"/>
      <c r="S24" s="1561"/>
      <c r="T24" s="1560"/>
      <c r="U24" s="1561"/>
      <c r="V24" s="1560"/>
      <c r="W24" s="1561"/>
      <c r="X24" s="1554"/>
      <c r="Y24" s="340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3"/>
      <c r="Q25" s="1559" t="str">
        <f t="shared" ref="Q25:Q46" si="11">B25</f>
        <v>临街状况</v>
      </c>
      <c r="R25" s="1560" t="s">
        <v>8</v>
      </c>
      <c r="S25" s="1561">
        <f>F25</f>
        <v>100</v>
      </c>
      <c r="T25" s="1560" t="s">
        <v>8</v>
      </c>
      <c r="U25" s="1561">
        <f>H25</f>
        <v>100</v>
      </c>
      <c r="V25" s="1560" t="s">
        <v>8</v>
      </c>
      <c r="W25" s="1561">
        <f>J25</f>
        <v>100</v>
      </c>
      <c r="X25" s="1554"/>
      <c r="Y25" s="340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3"/>
      <c r="Q26" s="1559" t="str">
        <f t="shared" si="11"/>
        <v>平面位置/可视性</v>
      </c>
      <c r="R26" s="1560" t="s">
        <v>8</v>
      </c>
      <c r="S26" s="1561">
        <f>F26</f>
        <v>100</v>
      </c>
      <c r="T26" s="1560" t="s">
        <v>8</v>
      </c>
      <c r="U26" s="1561">
        <f>H26</f>
        <v>100</v>
      </c>
      <c r="V26" s="1560" t="s">
        <v>8</v>
      </c>
      <c r="W26" s="1561">
        <f>J26</f>
        <v>100</v>
      </c>
      <c r="X26" s="1554"/>
      <c r="Y26" s="340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3"/>
      <c r="Q27" s="1147" t="str">
        <f t="shared" si="11"/>
        <v>人流量</v>
      </c>
      <c r="R27" s="1555" t="s">
        <v>8</v>
      </c>
      <c r="S27" s="1556">
        <f>F27</f>
        <v>100</v>
      </c>
      <c r="T27" s="1555" t="s">
        <v>8</v>
      </c>
      <c r="U27" s="1556">
        <f>H27</f>
        <v>100</v>
      </c>
      <c r="V27" s="1555" t="s">
        <v>8</v>
      </c>
      <c r="W27" s="1556">
        <f>J27</f>
        <v>100</v>
      </c>
      <c r="X27" s="1557"/>
      <c r="Y27" s="340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3"/>
      <c r="Q29" s="1559">
        <f t="shared" si="11"/>
        <v>111</v>
      </c>
      <c r="R29" s="1560" t="s">
        <v>8</v>
      </c>
      <c r="S29" s="1561">
        <f t="shared" si="12"/>
        <v>100</v>
      </c>
      <c r="T29" s="1560" t="s">
        <v>8</v>
      </c>
      <c r="U29" s="1561">
        <f t="shared" si="13"/>
        <v>100</v>
      </c>
      <c r="V29" s="1560" t="s">
        <v>8</v>
      </c>
      <c r="W29" s="1561">
        <f t="shared" si="14"/>
        <v>100</v>
      </c>
      <c r="X29" s="1554"/>
      <c r="Y29" s="340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3"/>
      <c r="Q30" s="1559">
        <f t="shared" si="11"/>
        <v>111</v>
      </c>
      <c r="R30" s="1560" t="s">
        <v>8</v>
      </c>
      <c r="S30" s="1561">
        <f t="shared" si="12"/>
        <v>100</v>
      </c>
      <c r="T30" s="1560" t="s">
        <v>8</v>
      </c>
      <c r="U30" s="1561">
        <f t="shared" si="13"/>
        <v>100</v>
      </c>
      <c r="V30" s="1560" t="s">
        <v>8</v>
      </c>
      <c r="W30" s="1561">
        <f t="shared" si="14"/>
        <v>100</v>
      </c>
      <c r="X30" s="1554"/>
      <c r="Y30" s="3403"/>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3"/>
      <c r="Q31" s="1559">
        <f t="shared" si="11"/>
        <v>111</v>
      </c>
      <c r="R31" s="1560" t="s">
        <v>8</v>
      </c>
      <c r="S31" s="1561">
        <f t="shared" si="12"/>
        <v>100</v>
      </c>
      <c r="T31" s="1560" t="s">
        <v>8</v>
      </c>
      <c r="U31" s="1561">
        <f t="shared" si="13"/>
        <v>100</v>
      </c>
      <c r="V31" s="1560" t="s">
        <v>8</v>
      </c>
      <c r="W31" s="1561">
        <f t="shared" si="14"/>
        <v>100</v>
      </c>
      <c r="X31" s="1554"/>
      <c r="Y31" s="3403"/>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4" t="s">
        <v>550</v>
      </c>
      <c r="Q32" s="1559" t="str">
        <f t="shared" si="11"/>
        <v>商业类型</v>
      </c>
      <c r="R32" s="1560" t="s">
        <v>8</v>
      </c>
      <c r="S32" s="1561">
        <f t="shared" si="12"/>
        <v>100</v>
      </c>
      <c r="T32" s="1560" t="s">
        <v>8</v>
      </c>
      <c r="U32" s="1561">
        <f t="shared" si="13"/>
        <v>100</v>
      </c>
      <c r="V32" s="1560" t="s">
        <v>8</v>
      </c>
      <c r="W32" s="1561">
        <f t="shared" si="14"/>
        <v>100</v>
      </c>
      <c r="X32" s="1554"/>
      <c r="Y32" s="340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5"/>
      <c r="Q33" s="1591" t="str">
        <f t="shared" si="11"/>
        <v>项目建筑规模</v>
      </c>
      <c r="R33" s="1564" t="s">
        <v>8</v>
      </c>
      <c r="S33" s="1565" t="e">
        <f t="shared" si="12"/>
        <v>#N/A</v>
      </c>
      <c r="T33" s="1564" t="s">
        <v>8</v>
      </c>
      <c r="U33" s="1565" t="e">
        <f t="shared" si="13"/>
        <v>#N/A</v>
      </c>
      <c r="V33" s="1564" t="s">
        <v>8</v>
      </c>
      <c r="W33" s="1565" t="e">
        <f t="shared" si="14"/>
        <v>#N/A</v>
      </c>
      <c r="X33" s="1566"/>
      <c r="Y33" s="340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5"/>
      <c r="Q34" s="1559" t="str">
        <f t="shared" si="11"/>
        <v>建筑结构</v>
      </c>
      <c r="R34" s="1560" t="s">
        <v>8</v>
      </c>
      <c r="S34" s="1561">
        <f t="shared" si="12"/>
        <v>100</v>
      </c>
      <c r="T34" s="1560" t="s">
        <v>8</v>
      </c>
      <c r="U34" s="1561">
        <f t="shared" si="13"/>
        <v>100</v>
      </c>
      <c r="V34" s="1560" t="s">
        <v>8</v>
      </c>
      <c r="W34" s="1561">
        <f t="shared" si="14"/>
        <v>100</v>
      </c>
      <c r="X34" s="1554"/>
      <c r="Y34" s="340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5"/>
      <c r="Q35" s="1559" t="str">
        <f t="shared" si="11"/>
        <v>公共部分装修</v>
      </c>
      <c r="R35" s="1560" t="s">
        <v>8</v>
      </c>
      <c r="S35" s="1561">
        <f t="shared" si="12"/>
        <v>100</v>
      </c>
      <c r="T35" s="1560" t="s">
        <v>8</v>
      </c>
      <c r="U35" s="1561">
        <f t="shared" si="13"/>
        <v>100</v>
      </c>
      <c r="V35" s="1560" t="s">
        <v>8</v>
      </c>
      <c r="W35" s="1561">
        <f t="shared" si="14"/>
        <v>100</v>
      </c>
      <c r="X35" s="1554"/>
      <c r="Y35" s="340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5"/>
      <c r="Q36" s="1559" t="str">
        <f t="shared" si="11"/>
        <v>成新度</v>
      </c>
      <c r="R36" s="1560" t="s">
        <v>8</v>
      </c>
      <c r="S36" s="1561" t="e">
        <f t="shared" si="12"/>
        <v>#N/A</v>
      </c>
      <c r="T36" s="1560" t="s">
        <v>8</v>
      </c>
      <c r="U36" s="1561" t="e">
        <f t="shared" si="13"/>
        <v>#N/A</v>
      </c>
      <c r="V36" s="1560" t="s">
        <v>8</v>
      </c>
      <c r="W36" s="1561" t="e">
        <f t="shared" si="14"/>
        <v>#N/A</v>
      </c>
      <c r="X36" s="1554"/>
      <c r="Y36" s="3405"/>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5"/>
      <c r="Q37" s="1147" t="str">
        <f t="shared" si="11"/>
        <v>市政基础设施</v>
      </c>
      <c r="R37" s="1555" t="s">
        <v>8</v>
      </c>
      <c r="S37" s="1556">
        <f t="shared" si="12"/>
        <v>100</v>
      </c>
      <c r="T37" s="1555" t="s">
        <v>8</v>
      </c>
      <c r="U37" s="1556">
        <f t="shared" si="13"/>
        <v>100</v>
      </c>
      <c r="V37" s="1555" t="s">
        <v>8</v>
      </c>
      <c r="W37" s="1556">
        <f t="shared" si="14"/>
        <v>100</v>
      </c>
      <c r="X37" s="1557"/>
      <c r="Y37" s="340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5" t="s">
        <v>766</v>
      </c>
      <c r="Q38" s="1559" t="str">
        <f t="shared" si="11"/>
        <v>业态</v>
      </c>
      <c r="R38" s="1560" t="s">
        <v>8</v>
      </c>
      <c r="S38" s="1561">
        <f t="shared" si="12"/>
        <v>100</v>
      </c>
      <c r="T38" s="1560" t="s">
        <v>8</v>
      </c>
      <c r="U38" s="1561">
        <f t="shared" si="13"/>
        <v>100</v>
      </c>
      <c r="V38" s="1560" t="s">
        <v>8</v>
      </c>
      <c r="W38" s="1561">
        <f t="shared" si="14"/>
        <v>100</v>
      </c>
      <c r="X38" s="1554"/>
      <c r="Y38" s="340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5"/>
      <c r="Q39" s="1559" t="str">
        <f t="shared" si="11"/>
        <v>层高</v>
      </c>
      <c r="R39" s="1560" t="s">
        <v>8</v>
      </c>
      <c r="S39" s="1561">
        <f t="shared" si="12"/>
        <v>100</v>
      </c>
      <c r="T39" s="1560" t="s">
        <v>8</v>
      </c>
      <c r="U39" s="1561">
        <f t="shared" si="13"/>
        <v>100</v>
      </c>
      <c r="V39" s="1560" t="s">
        <v>8</v>
      </c>
      <c r="W39" s="1561">
        <f t="shared" si="14"/>
        <v>100</v>
      </c>
      <c r="X39" s="1554"/>
      <c r="Y39" s="340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5"/>
      <c r="Q40" s="1559" t="str">
        <f t="shared" si="11"/>
        <v>单套建筑面积</v>
      </c>
      <c r="R40" s="1560" t="s">
        <v>8</v>
      </c>
      <c r="S40" s="1561">
        <f t="shared" si="12"/>
        <v>100</v>
      </c>
      <c r="T40" s="1560" t="s">
        <v>8</v>
      </c>
      <c r="U40" s="1561">
        <f t="shared" si="13"/>
        <v>100</v>
      </c>
      <c r="V40" s="1560" t="s">
        <v>8</v>
      </c>
      <c r="W40" s="1561">
        <f t="shared" si="14"/>
        <v>100</v>
      </c>
      <c r="X40" s="1554"/>
      <c r="Y40" s="340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5"/>
      <c r="Q41" s="1591" t="str">
        <f t="shared" si="11"/>
        <v>进深比</v>
      </c>
      <c r="R41" s="1564" t="s">
        <v>8</v>
      </c>
      <c r="S41" s="1565">
        <f t="shared" si="12"/>
        <v>100</v>
      </c>
      <c r="T41" s="1564" t="s">
        <v>8</v>
      </c>
      <c r="U41" s="1565">
        <f t="shared" si="13"/>
        <v>100</v>
      </c>
      <c r="V41" s="1564" t="s">
        <v>8</v>
      </c>
      <c r="W41" s="1565">
        <f t="shared" si="14"/>
        <v>100</v>
      </c>
      <c r="X41" s="1566"/>
      <c r="Y41" s="340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5"/>
      <c r="Q42" s="1559" t="str">
        <f t="shared" si="11"/>
        <v>内部装修</v>
      </c>
      <c r="R42" s="1560" t="s">
        <v>8</v>
      </c>
      <c r="S42" s="1561">
        <f t="shared" si="12"/>
        <v>100</v>
      </c>
      <c r="T42" s="1560" t="s">
        <v>8</v>
      </c>
      <c r="U42" s="1561">
        <f t="shared" si="13"/>
        <v>100</v>
      </c>
      <c r="V42" s="1560" t="s">
        <v>8</v>
      </c>
      <c r="W42" s="1561">
        <f t="shared" si="14"/>
        <v>100</v>
      </c>
      <c r="X42" s="1554"/>
      <c r="Y42" s="3405"/>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5"/>
      <c r="Q43" s="1559" t="str">
        <f t="shared" si="11"/>
        <v>内部装修维护情况</v>
      </c>
      <c r="R43" s="1560" t="s">
        <v>8</v>
      </c>
      <c r="S43" s="1561">
        <f t="shared" si="12"/>
        <v>100</v>
      </c>
      <c r="T43" s="1560" t="s">
        <v>8</v>
      </c>
      <c r="U43" s="1561">
        <f t="shared" si="13"/>
        <v>100</v>
      </c>
      <c r="V43" s="1560" t="s">
        <v>8</v>
      </c>
      <c r="W43" s="1561">
        <f t="shared" si="14"/>
        <v>100</v>
      </c>
      <c r="X43" s="1554"/>
      <c r="Y43" s="340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5"/>
      <c r="Q44" s="1147">
        <f t="shared" si="11"/>
        <v>111</v>
      </c>
      <c r="R44" s="1555" t="s">
        <v>8</v>
      </c>
      <c r="S44" s="1556">
        <f t="shared" si="12"/>
        <v>100</v>
      </c>
      <c r="T44" s="1555" t="s">
        <v>8</v>
      </c>
      <c r="U44" s="1556">
        <f t="shared" si="13"/>
        <v>100</v>
      </c>
      <c r="V44" s="1555" t="s">
        <v>8</v>
      </c>
      <c r="W44" s="1556">
        <f t="shared" si="14"/>
        <v>100</v>
      </c>
      <c r="X44" s="1557"/>
      <c r="Y44" s="340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5"/>
      <c r="Q45" s="1559">
        <f t="shared" si="11"/>
        <v>111</v>
      </c>
      <c r="R45" s="1560" t="s">
        <v>8</v>
      </c>
      <c r="S45" s="1561">
        <f t="shared" si="12"/>
        <v>100</v>
      </c>
      <c r="T45" s="1560" t="s">
        <v>8</v>
      </c>
      <c r="U45" s="1561">
        <f t="shared" si="13"/>
        <v>100</v>
      </c>
      <c r="V45" s="1560" t="s">
        <v>8</v>
      </c>
      <c r="W45" s="1561">
        <f t="shared" si="14"/>
        <v>100</v>
      </c>
      <c r="X45" s="1554"/>
      <c r="Y45" s="340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6"/>
      <c r="Q46" s="1559">
        <f t="shared" si="11"/>
        <v>111</v>
      </c>
      <c r="R46" s="1560" t="s">
        <v>8</v>
      </c>
      <c r="S46" s="1561">
        <f t="shared" si="12"/>
        <v>100</v>
      </c>
      <c r="T46" s="1560" t="s">
        <v>8</v>
      </c>
      <c r="U46" s="1561">
        <f t="shared" si="13"/>
        <v>100</v>
      </c>
      <c r="V46" s="1560" t="s">
        <v>8</v>
      </c>
      <c r="W46" s="1561">
        <f t="shared" si="14"/>
        <v>100</v>
      </c>
      <c r="X46" s="1554"/>
      <c r="Y46" s="3486"/>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8" t="str">
        <f>A47</f>
        <v>成交单价（元/平方米）</v>
      </c>
      <c r="Q47" s="3368"/>
      <c r="R47" s="3485">
        <f>E47</f>
        <v>0</v>
      </c>
      <c r="S47" s="3485"/>
      <c r="T47" s="3485">
        <f>G47</f>
        <v>0</v>
      </c>
      <c r="U47" s="3485"/>
      <c r="V47" s="3485">
        <f>I47</f>
        <v>0</v>
      </c>
      <c r="W47" s="3485"/>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68" t="str">
        <f>A48</f>
        <v>比较价格（元/平方米）</v>
      </c>
      <c r="Q48" s="3368"/>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9"/>
      <c r="L49" s="2130"/>
      <c r="M49" s="2131"/>
      <c r="N49" s="2120"/>
      <c r="O49" s="2131"/>
      <c r="P49" s="3365" t="str">
        <f>A49</f>
        <v>估价对象XX用房的比较价格（楼面单价，元/平方米）</v>
      </c>
      <c r="Q49" s="3366"/>
      <c r="R49" s="3484" t="e">
        <f>IF(F1="售价",ROUND(AVERAGE(R48:V48),0),ROUND(AVERAGE(R48:V48),1))</f>
        <v>#DIV/0!</v>
      </c>
      <c r="S49" s="3484"/>
      <c r="T49" s="3484"/>
      <c r="U49" s="3484"/>
      <c r="V49" s="3484"/>
      <c r="W49" s="348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4" t="s">
        <v>522</v>
      </c>
      <c r="D4" s="3375"/>
      <c r="E4" s="3408" t="s">
        <v>523</v>
      </c>
      <c r="F4" s="3409"/>
      <c r="G4" s="3374" t="s">
        <v>524</v>
      </c>
      <c r="H4" s="3375"/>
      <c r="I4" s="3374" t="s">
        <v>525</v>
      </c>
      <c r="J4" s="3375"/>
      <c r="K4" s="514" t="s">
        <v>526</v>
      </c>
      <c r="L4" s="2119"/>
      <c r="M4" s="2120"/>
      <c r="N4" s="2120"/>
      <c r="O4" s="2120"/>
      <c r="P4" s="3488" t="s">
        <v>527</v>
      </c>
      <c r="Q4" s="3377"/>
      <c r="R4" s="3382" t="s">
        <v>523</v>
      </c>
      <c r="S4" s="3383"/>
      <c r="T4" s="3382" t="s">
        <v>524</v>
      </c>
      <c r="U4" s="3383"/>
      <c r="V4" s="3369" t="s">
        <v>525</v>
      </c>
      <c r="W4" s="3369"/>
      <c r="X4" s="1554"/>
      <c r="Y4" s="3382" t="s">
        <v>527</v>
      </c>
      <c r="Z4" s="3383"/>
      <c r="AA4" s="3371" t="s">
        <v>523</v>
      </c>
      <c r="AB4" s="3371" t="s">
        <v>524</v>
      </c>
      <c r="AC4" s="3371" t="s">
        <v>525</v>
      </c>
    </row>
    <row r="5" spans="1:29" ht="15">
      <c r="A5" s="515"/>
      <c r="B5" s="516"/>
      <c r="C5" s="3390" t="s">
        <v>2927</v>
      </c>
      <c r="D5" s="3391"/>
      <c r="E5" s="3410" t="s">
        <v>2928</v>
      </c>
      <c r="F5" s="3411"/>
      <c r="G5" s="3390" t="s">
        <v>2929</v>
      </c>
      <c r="H5" s="3391"/>
      <c r="I5" s="3390" t="s">
        <v>2930</v>
      </c>
      <c r="J5" s="3391"/>
      <c r="K5" s="514"/>
      <c r="L5" s="2119"/>
      <c r="M5" s="2120"/>
      <c r="N5" s="2120"/>
      <c r="O5" s="2120"/>
      <c r="P5" s="3489"/>
      <c r="Q5" s="3379"/>
      <c r="R5" s="3384"/>
      <c r="S5" s="3385"/>
      <c r="T5" s="3384"/>
      <c r="U5" s="3385"/>
      <c r="V5" s="3369"/>
      <c r="W5" s="3369"/>
      <c r="X5" s="1554"/>
      <c r="Y5" s="3384"/>
      <c r="Z5" s="3385"/>
      <c r="AA5" s="3372"/>
      <c r="AB5" s="3372"/>
      <c r="AC5" s="3372"/>
    </row>
    <row r="6" spans="1:29" ht="15.75" thickBot="1">
      <c r="A6" s="517"/>
      <c r="B6" s="518"/>
      <c r="C6" s="3388" t="s">
        <v>2931</v>
      </c>
      <c r="D6" s="3389"/>
      <c r="E6" s="3406" t="s">
        <v>2931</v>
      </c>
      <c r="F6" s="3407"/>
      <c r="G6" s="3388" t="s">
        <v>2931</v>
      </c>
      <c r="H6" s="3389"/>
      <c r="I6" s="3388" t="s">
        <v>2931</v>
      </c>
      <c r="J6" s="3389"/>
      <c r="K6" s="514" t="s">
        <v>528</v>
      </c>
      <c r="L6" s="2119"/>
      <c r="M6" s="2120"/>
      <c r="N6" s="2120"/>
      <c r="O6" s="2120"/>
      <c r="P6" s="3490"/>
      <c r="Q6" s="3381"/>
      <c r="R6" s="3384"/>
      <c r="S6" s="3385"/>
      <c r="T6" s="3386"/>
      <c r="U6" s="3387"/>
      <c r="V6" s="3369"/>
      <c r="W6" s="3369"/>
      <c r="X6" s="1554"/>
      <c r="Y6" s="3386"/>
      <c r="Z6" s="3387"/>
      <c r="AA6" s="3373"/>
      <c r="AB6" s="3373"/>
      <c r="AC6" s="3373"/>
    </row>
    <row r="7" spans="1:29" s="1216" customFormat="1" ht="15.75" thickBot="1">
      <c r="A7" s="2868"/>
      <c r="B7" s="2875" t="s">
        <v>529</v>
      </c>
      <c r="C7" s="519">
        <f>'数据-取费表'!B2</f>
        <v>43700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1" t="s">
        <v>530</v>
      </c>
      <c r="Q7" s="3401"/>
      <c r="R7" s="1555" t="s">
        <v>8</v>
      </c>
      <c r="S7" s="1556">
        <f t="shared" ref="S7:S15" si="0">F7</f>
        <v>0</v>
      </c>
      <c r="T7" s="1555" t="s">
        <v>8</v>
      </c>
      <c r="U7" s="1556">
        <f t="shared" ref="U7:U15" si="1">H7</f>
        <v>0</v>
      </c>
      <c r="V7" s="1555" t="s">
        <v>8</v>
      </c>
      <c r="W7" s="1556">
        <f t="shared" ref="W7:W15" si="2">J7</f>
        <v>0</v>
      </c>
      <c r="X7" s="1557"/>
      <c r="Y7" s="3399" t="s">
        <v>530</v>
      </c>
      <c r="Z7" s="3400"/>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1" t="s">
        <v>533</v>
      </c>
      <c r="Q8" s="3400"/>
      <c r="R8" s="1555" t="s">
        <v>8</v>
      </c>
      <c r="S8" s="1556">
        <f t="shared" si="0"/>
        <v>0</v>
      </c>
      <c r="T8" s="1555" t="s">
        <v>8</v>
      </c>
      <c r="U8" s="1556">
        <f t="shared" si="1"/>
        <v>0</v>
      </c>
      <c r="V8" s="1555" t="s">
        <v>8</v>
      </c>
      <c r="W8" s="1556">
        <f t="shared" si="2"/>
        <v>0</v>
      </c>
      <c r="X8" s="1557"/>
      <c r="Y8" s="3399" t="s">
        <v>533</v>
      </c>
      <c r="Z8" s="3400"/>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8" t="s">
        <v>535</v>
      </c>
      <c r="Q9" s="1147" t="str">
        <f t="shared" ref="Q9:Q15" si="6">B9</f>
        <v>用途</v>
      </c>
      <c r="R9" s="1555" t="s">
        <v>8</v>
      </c>
      <c r="S9" s="1556">
        <f t="shared" si="0"/>
        <v>100</v>
      </c>
      <c r="T9" s="1555" t="s">
        <v>8</v>
      </c>
      <c r="U9" s="1556">
        <f t="shared" si="1"/>
        <v>100</v>
      </c>
      <c r="V9" s="1555" t="s">
        <v>8</v>
      </c>
      <c r="W9" s="1556">
        <f t="shared" si="2"/>
        <v>100</v>
      </c>
      <c r="X9" s="1557"/>
      <c r="Y9" s="3314"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8"/>
      <c r="Q11" s="1147" t="str">
        <f t="shared" si="6"/>
        <v>容积率</v>
      </c>
      <c r="R11" s="1555" t="s">
        <v>8</v>
      </c>
      <c r="S11" s="1556" t="e">
        <f t="shared" si="0"/>
        <v>#N/A</v>
      </c>
      <c r="T11" s="1555" t="s">
        <v>8</v>
      </c>
      <c r="U11" s="1556" t="e">
        <f t="shared" si="1"/>
        <v>#N/A</v>
      </c>
      <c r="V11" s="1555" t="s">
        <v>8</v>
      </c>
      <c r="W11" s="1556" t="e">
        <f t="shared" si="2"/>
        <v>#N/A</v>
      </c>
      <c r="X11" s="1557"/>
      <c r="Y11" s="331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8"/>
      <c r="Q12" s="1147">
        <f t="shared" si="6"/>
        <v>111</v>
      </c>
      <c r="R12" s="1555" t="s">
        <v>8</v>
      </c>
      <c r="S12" s="1556">
        <f t="shared" si="0"/>
        <v>100</v>
      </c>
      <c r="T12" s="1555" t="s">
        <v>8</v>
      </c>
      <c r="U12" s="1556">
        <f t="shared" si="1"/>
        <v>100</v>
      </c>
      <c r="V12" s="1555" t="s">
        <v>8</v>
      </c>
      <c r="W12" s="1556">
        <f t="shared" si="2"/>
        <v>100</v>
      </c>
      <c r="X12" s="1557"/>
      <c r="Y12" s="3314"/>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8"/>
      <c r="Q13" s="1147">
        <f t="shared" si="6"/>
        <v>111</v>
      </c>
      <c r="R13" s="1555" t="s">
        <v>8</v>
      </c>
      <c r="S13" s="1556">
        <f t="shared" si="0"/>
        <v>100</v>
      </c>
      <c r="T13" s="1555" t="s">
        <v>8</v>
      </c>
      <c r="U13" s="1556">
        <f t="shared" si="1"/>
        <v>100</v>
      </c>
      <c r="V13" s="1555" t="s">
        <v>8</v>
      </c>
      <c r="W13" s="1556">
        <f t="shared" si="2"/>
        <v>100</v>
      </c>
      <c r="X13" s="1557"/>
      <c r="Y13" s="3314"/>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8"/>
      <c r="Q14" s="1147">
        <f t="shared" si="6"/>
        <v>111</v>
      </c>
      <c r="R14" s="1555" t="s">
        <v>8</v>
      </c>
      <c r="S14" s="1556">
        <f t="shared" si="0"/>
        <v>100</v>
      </c>
      <c r="T14" s="1555" t="s">
        <v>8</v>
      </c>
      <c r="U14" s="1556">
        <f t="shared" si="1"/>
        <v>100</v>
      </c>
      <c r="V14" s="1555" t="s">
        <v>8</v>
      </c>
      <c r="W14" s="1556">
        <f t="shared" si="2"/>
        <v>100</v>
      </c>
      <c r="X14" s="1557"/>
      <c r="Y14" s="3314"/>
      <c r="Z14" s="1146">
        <f t="shared" si="7"/>
        <v>111</v>
      </c>
      <c r="AA14" s="1558">
        <f t="shared" si="3"/>
        <v>1</v>
      </c>
      <c r="AB14" s="1558">
        <f t="shared" si="4"/>
        <v>1</v>
      </c>
      <c r="AC14" s="1558">
        <f t="shared" si="5"/>
        <v>1</v>
      </c>
    </row>
    <row r="15" spans="1:29" ht="15">
      <c r="A15" s="2866" t="s">
        <v>2754</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2" t="s">
        <v>540</v>
      </c>
      <c r="Q15" s="1559" t="str">
        <f t="shared" si="6"/>
        <v>办公集聚程度</v>
      </c>
      <c r="R15" s="1560" t="s">
        <v>8</v>
      </c>
      <c r="S15" s="1561">
        <f t="shared" si="0"/>
        <v>100</v>
      </c>
      <c r="T15" s="1560" t="s">
        <v>8</v>
      </c>
      <c r="U15" s="1561">
        <f t="shared" si="1"/>
        <v>100</v>
      </c>
      <c r="V15" s="1560" t="s">
        <v>8</v>
      </c>
      <c r="W15" s="1561">
        <f t="shared" si="2"/>
        <v>100</v>
      </c>
      <c r="X15" s="1554"/>
      <c r="Y15" s="340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3"/>
      <c r="Q16" s="1559"/>
      <c r="R16" s="1560"/>
      <c r="S16" s="1561"/>
      <c r="T16" s="1560"/>
      <c r="U16" s="1561"/>
      <c r="V16" s="1560"/>
      <c r="W16" s="1561"/>
      <c r="X16" s="1554"/>
      <c r="Y16" s="3403"/>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3"/>
      <c r="Q17" s="1559" t="str">
        <f>B17</f>
        <v>交通便捷度</v>
      </c>
      <c r="R17" s="1560" t="s">
        <v>8</v>
      </c>
      <c r="S17" s="1561">
        <f>F17</f>
        <v>100</v>
      </c>
      <c r="T17" s="1560" t="s">
        <v>8</v>
      </c>
      <c r="U17" s="1561">
        <f>H17</f>
        <v>100</v>
      </c>
      <c r="V17" s="1560" t="s">
        <v>8</v>
      </c>
      <c r="W17" s="1561">
        <f>J17</f>
        <v>100</v>
      </c>
      <c r="X17" s="1554"/>
      <c r="Y17" s="340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3"/>
      <c r="Q18" s="1559"/>
      <c r="R18" s="1560"/>
      <c r="S18" s="1561"/>
      <c r="T18" s="1560"/>
      <c r="U18" s="1561"/>
      <c r="V18" s="1560"/>
      <c r="W18" s="1561"/>
      <c r="X18" s="1554"/>
      <c r="Y18" s="3403"/>
      <c r="Z18" s="1562"/>
      <c r="AA18" s="1563">
        <v>1</v>
      </c>
      <c r="AB18" s="1563">
        <v>1</v>
      </c>
      <c r="AC18" s="1563">
        <v>1</v>
      </c>
    </row>
    <row r="19" spans="1:29" ht="15">
      <c r="A19" s="532"/>
      <c r="B19" s="2568" t="s">
        <v>2546</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3"/>
      <c r="Q19" s="1559" t="str">
        <f>B19</f>
        <v>公共配套设施</v>
      </c>
      <c r="R19" s="1560" t="s">
        <v>8</v>
      </c>
      <c r="S19" s="1561">
        <f>F19</f>
        <v>100</v>
      </c>
      <c r="T19" s="1560" t="s">
        <v>8</v>
      </c>
      <c r="U19" s="1561">
        <f>H19</f>
        <v>100</v>
      </c>
      <c r="V19" s="1560" t="s">
        <v>8</v>
      </c>
      <c r="W19" s="1561">
        <f>J19</f>
        <v>100</v>
      </c>
      <c r="X19" s="1554"/>
      <c r="Y19" s="340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3"/>
      <c r="Q20" s="1559"/>
      <c r="R20" s="1560"/>
      <c r="S20" s="1561"/>
      <c r="T20" s="1560"/>
      <c r="U20" s="1561"/>
      <c r="V20" s="1560"/>
      <c r="W20" s="1561"/>
      <c r="X20" s="1554"/>
      <c r="Y20" s="3403"/>
      <c r="Z20" s="1562"/>
      <c r="AA20" s="1563">
        <v>1</v>
      </c>
      <c r="AB20" s="1563">
        <v>1</v>
      </c>
      <c r="AC20" s="1563">
        <v>1</v>
      </c>
    </row>
    <row r="21" spans="1:29" ht="15">
      <c r="A21" s="532"/>
      <c r="B21" s="2556" t="s">
        <v>2558</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3"/>
      <c r="Q21" s="2544" t="str">
        <f>B21</f>
        <v>基础设施水平</v>
      </c>
      <c r="R21" s="1560" t="s">
        <v>8</v>
      </c>
      <c r="S21" s="1561">
        <f>F21</f>
        <v>100</v>
      </c>
      <c r="T21" s="1560" t="s">
        <v>8</v>
      </c>
      <c r="U21" s="1561">
        <f>H21</f>
        <v>100</v>
      </c>
      <c r="V21" s="1560" t="s">
        <v>8</v>
      </c>
      <c r="W21" s="1561">
        <f>J21</f>
        <v>100</v>
      </c>
      <c r="X21" s="2546"/>
      <c r="Y21" s="3403"/>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3"/>
      <c r="Q22" s="2544"/>
      <c r="R22" s="1560"/>
      <c r="S22" s="1561"/>
      <c r="T22" s="1560"/>
      <c r="U22" s="1561"/>
      <c r="V22" s="1560"/>
      <c r="W22" s="1561"/>
      <c r="X22" s="2546"/>
      <c r="Y22" s="3403"/>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3"/>
      <c r="Q23" s="1559" t="str">
        <f>B23</f>
        <v>环境质量</v>
      </c>
      <c r="R23" s="1560" t="s">
        <v>8</v>
      </c>
      <c r="S23" s="1561">
        <f>F23</f>
        <v>100</v>
      </c>
      <c r="T23" s="1560" t="s">
        <v>8</v>
      </c>
      <c r="U23" s="1561">
        <f>H23</f>
        <v>100</v>
      </c>
      <c r="V23" s="1560" t="s">
        <v>8</v>
      </c>
      <c r="W23" s="1561">
        <f>J23</f>
        <v>100</v>
      </c>
      <c r="X23" s="1554"/>
      <c r="Y23" s="340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3"/>
      <c r="Q24" s="1559"/>
      <c r="R24" s="1560"/>
      <c r="S24" s="1561"/>
      <c r="T24" s="1560"/>
      <c r="U24" s="1561"/>
      <c r="V24" s="1560"/>
      <c r="W24" s="1561"/>
      <c r="X24" s="1554"/>
      <c r="Y24" s="3403"/>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3"/>
      <c r="Q25" s="1559" t="str">
        <f>B25</f>
        <v>毗邻道路的类型与等级</v>
      </c>
      <c r="R25" s="1560" t="s">
        <v>8</v>
      </c>
      <c r="S25" s="1561">
        <f>F25</f>
        <v>100</v>
      </c>
      <c r="T25" s="1560" t="s">
        <v>8</v>
      </c>
      <c r="U25" s="1561">
        <f>H25</f>
        <v>100</v>
      </c>
      <c r="V25" s="1560" t="s">
        <v>8</v>
      </c>
      <c r="W25" s="1561">
        <f>J25</f>
        <v>100</v>
      </c>
      <c r="X25" s="1554"/>
      <c r="Y25" s="340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3"/>
      <c r="Q26" s="1559"/>
      <c r="R26" s="1560"/>
      <c r="S26" s="1561"/>
      <c r="T26" s="1560"/>
      <c r="U26" s="1561"/>
      <c r="V26" s="1560"/>
      <c r="W26" s="1561"/>
      <c r="X26" s="1554"/>
      <c r="Y26" s="340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3"/>
      <c r="Q27" s="1559" t="str">
        <f t="shared" ref="Q27:Q47" si="11">B27</f>
        <v>楼层</v>
      </c>
      <c r="R27" s="1560" t="s">
        <v>8</v>
      </c>
      <c r="S27" s="1561">
        <f>F27</f>
        <v>100</v>
      </c>
      <c r="T27" s="1560" t="s">
        <v>8</v>
      </c>
      <c r="U27" s="1561">
        <f>H27</f>
        <v>100</v>
      </c>
      <c r="V27" s="1560" t="s">
        <v>8</v>
      </c>
      <c r="W27" s="1561">
        <f>J27</f>
        <v>100</v>
      </c>
      <c r="X27" s="1554"/>
      <c r="Y27" s="340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3"/>
      <c r="Q28" s="1147" t="str">
        <f t="shared" si="11"/>
        <v>朝向</v>
      </c>
      <c r="R28" s="1555" t="s">
        <v>8</v>
      </c>
      <c r="S28" s="1556">
        <f>F28</f>
        <v>100</v>
      </c>
      <c r="T28" s="1555" t="s">
        <v>8</v>
      </c>
      <c r="U28" s="1556">
        <f>H28</f>
        <v>100</v>
      </c>
      <c r="V28" s="1555" t="s">
        <v>8</v>
      </c>
      <c r="W28" s="1556">
        <f>J28</f>
        <v>100</v>
      </c>
      <c r="X28" s="1557"/>
      <c r="Y28" s="340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3"/>
      <c r="Q29" s="1559">
        <f t="shared" si="11"/>
        <v>111</v>
      </c>
      <c r="R29" s="1560" t="s">
        <v>8</v>
      </c>
      <c r="S29" s="1561">
        <f t="shared" ref="S29:S47" si="12">F29</f>
        <v>100</v>
      </c>
      <c r="T29" s="1560" t="s">
        <v>8</v>
      </c>
      <c r="U29" s="1561">
        <f t="shared" ref="U29:U47" si="13">H29</f>
        <v>100</v>
      </c>
      <c r="V29" s="1560" t="s">
        <v>8</v>
      </c>
      <c r="W29" s="1561">
        <f t="shared" ref="W29:W47" si="14">J29</f>
        <v>100</v>
      </c>
      <c r="X29" s="1554"/>
      <c r="Y29" s="340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3"/>
      <c r="Q30" s="1559">
        <f t="shared" si="11"/>
        <v>111</v>
      </c>
      <c r="R30" s="1560" t="s">
        <v>8</v>
      </c>
      <c r="S30" s="1561">
        <f t="shared" si="12"/>
        <v>100</v>
      </c>
      <c r="T30" s="1560" t="s">
        <v>8</v>
      </c>
      <c r="U30" s="1561">
        <f t="shared" si="13"/>
        <v>100</v>
      </c>
      <c r="V30" s="1560" t="s">
        <v>8</v>
      </c>
      <c r="W30" s="1561">
        <f t="shared" si="14"/>
        <v>100</v>
      </c>
      <c r="X30" s="1554"/>
      <c r="Y30" s="340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3"/>
      <c r="Q31" s="1559">
        <f t="shared" si="11"/>
        <v>111</v>
      </c>
      <c r="R31" s="1560" t="s">
        <v>8</v>
      </c>
      <c r="S31" s="1561">
        <f t="shared" si="12"/>
        <v>100</v>
      </c>
      <c r="T31" s="1560" t="s">
        <v>8</v>
      </c>
      <c r="U31" s="1561">
        <f t="shared" si="13"/>
        <v>100</v>
      </c>
      <c r="V31" s="1560" t="s">
        <v>8</v>
      </c>
      <c r="W31" s="1561">
        <f t="shared" si="14"/>
        <v>100</v>
      </c>
      <c r="X31" s="1554"/>
      <c r="Y31" s="3403"/>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3"/>
      <c r="Q32" s="1559">
        <f t="shared" si="11"/>
        <v>111</v>
      </c>
      <c r="R32" s="1560" t="s">
        <v>8</v>
      </c>
      <c r="S32" s="1561">
        <f t="shared" si="12"/>
        <v>100</v>
      </c>
      <c r="T32" s="1560" t="s">
        <v>8</v>
      </c>
      <c r="U32" s="1561">
        <f t="shared" si="13"/>
        <v>100</v>
      </c>
      <c r="V32" s="1560" t="s">
        <v>8</v>
      </c>
      <c r="W32" s="1561">
        <f t="shared" si="14"/>
        <v>100</v>
      </c>
      <c r="X32" s="1554"/>
      <c r="Y32" s="3403"/>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4" t="s">
        <v>550</v>
      </c>
      <c r="Q33" s="1559" t="str">
        <f t="shared" si="11"/>
        <v>建筑类型</v>
      </c>
      <c r="R33" s="1560" t="s">
        <v>8</v>
      </c>
      <c r="S33" s="1561">
        <f t="shared" si="12"/>
        <v>100</v>
      </c>
      <c r="T33" s="1560" t="s">
        <v>8</v>
      </c>
      <c r="U33" s="1561">
        <f t="shared" si="13"/>
        <v>100</v>
      </c>
      <c r="V33" s="1560" t="s">
        <v>8</v>
      </c>
      <c r="W33" s="1561">
        <f t="shared" si="14"/>
        <v>100</v>
      </c>
      <c r="X33" s="1554"/>
      <c r="Y33" s="340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5"/>
      <c r="Q34" s="1591" t="str">
        <f t="shared" si="11"/>
        <v>项目建筑规模</v>
      </c>
      <c r="R34" s="1564" t="s">
        <v>8</v>
      </c>
      <c r="S34" s="1565" t="e">
        <f t="shared" si="12"/>
        <v>#N/A</v>
      </c>
      <c r="T34" s="1564" t="s">
        <v>8</v>
      </c>
      <c r="U34" s="1565" t="e">
        <f t="shared" si="13"/>
        <v>#N/A</v>
      </c>
      <c r="V34" s="1564" t="s">
        <v>8</v>
      </c>
      <c r="W34" s="1565" t="e">
        <f t="shared" si="14"/>
        <v>#N/A</v>
      </c>
      <c r="X34" s="1566"/>
      <c r="Y34" s="340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5"/>
      <c r="Q35" s="1559" t="str">
        <f t="shared" si="11"/>
        <v>建筑结构</v>
      </c>
      <c r="R35" s="1560" t="s">
        <v>8</v>
      </c>
      <c r="S35" s="1561">
        <f t="shared" si="12"/>
        <v>100</v>
      </c>
      <c r="T35" s="1560" t="s">
        <v>8</v>
      </c>
      <c r="U35" s="1561">
        <f t="shared" si="13"/>
        <v>100</v>
      </c>
      <c r="V35" s="1560" t="s">
        <v>8</v>
      </c>
      <c r="W35" s="1561">
        <f t="shared" si="14"/>
        <v>100</v>
      </c>
      <c r="X35" s="1554"/>
      <c r="Y35" s="340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5"/>
      <c r="Q36" s="1559" t="str">
        <f t="shared" si="11"/>
        <v>公共部分装修</v>
      </c>
      <c r="R36" s="1560" t="s">
        <v>8</v>
      </c>
      <c r="S36" s="1561">
        <f t="shared" si="12"/>
        <v>100</v>
      </c>
      <c r="T36" s="1560" t="s">
        <v>8</v>
      </c>
      <c r="U36" s="1561">
        <f t="shared" si="13"/>
        <v>100</v>
      </c>
      <c r="V36" s="1560" t="s">
        <v>8</v>
      </c>
      <c r="W36" s="1561">
        <f t="shared" si="14"/>
        <v>100</v>
      </c>
      <c r="X36" s="1554"/>
      <c r="Y36" s="340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5"/>
      <c r="Q37" s="1559" t="str">
        <f t="shared" si="11"/>
        <v>成新度</v>
      </c>
      <c r="R37" s="1560" t="s">
        <v>8</v>
      </c>
      <c r="S37" s="1561" t="e">
        <f t="shared" si="12"/>
        <v>#N/A</v>
      </c>
      <c r="T37" s="1560" t="s">
        <v>8</v>
      </c>
      <c r="U37" s="1561" t="e">
        <f t="shared" si="13"/>
        <v>#N/A</v>
      </c>
      <c r="V37" s="1560" t="s">
        <v>8</v>
      </c>
      <c r="W37" s="1561" t="e">
        <f t="shared" si="14"/>
        <v>#N/A</v>
      </c>
      <c r="X37" s="1554"/>
      <c r="Y37" s="340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5"/>
      <c r="Q38" s="1147" t="str">
        <f t="shared" si="11"/>
        <v>写字楼等级</v>
      </c>
      <c r="R38" s="1555" t="s">
        <v>8</v>
      </c>
      <c r="S38" s="1556">
        <f t="shared" si="12"/>
        <v>100</v>
      </c>
      <c r="T38" s="1555" t="s">
        <v>8</v>
      </c>
      <c r="U38" s="1556">
        <f t="shared" si="13"/>
        <v>100</v>
      </c>
      <c r="V38" s="1555" t="s">
        <v>8</v>
      </c>
      <c r="W38" s="1556">
        <f t="shared" si="14"/>
        <v>100</v>
      </c>
      <c r="X38" s="1557"/>
      <c r="Y38" s="340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5" t="s">
        <v>550</v>
      </c>
      <c r="Q39" s="1559" t="str">
        <f t="shared" si="11"/>
        <v>物业管理</v>
      </c>
      <c r="R39" s="1560" t="s">
        <v>8</v>
      </c>
      <c r="S39" s="1561">
        <f t="shared" si="12"/>
        <v>100</v>
      </c>
      <c r="T39" s="1560" t="s">
        <v>8</v>
      </c>
      <c r="U39" s="1561">
        <f t="shared" si="13"/>
        <v>100</v>
      </c>
      <c r="V39" s="1560" t="s">
        <v>8</v>
      </c>
      <c r="W39" s="1561">
        <f t="shared" si="14"/>
        <v>100</v>
      </c>
      <c r="X39" s="1554"/>
      <c r="Y39" s="3405"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5"/>
      <c r="Q40" s="1559" t="str">
        <f t="shared" si="11"/>
        <v>市政基础设施</v>
      </c>
      <c r="R40" s="1560" t="s">
        <v>8</v>
      </c>
      <c r="S40" s="1561">
        <f t="shared" si="12"/>
        <v>100</v>
      </c>
      <c r="T40" s="1560" t="s">
        <v>8</v>
      </c>
      <c r="U40" s="1561">
        <f t="shared" si="13"/>
        <v>100</v>
      </c>
      <c r="V40" s="1560" t="s">
        <v>8</v>
      </c>
      <c r="W40" s="1561">
        <f t="shared" si="14"/>
        <v>100</v>
      </c>
      <c r="X40" s="1554"/>
      <c r="Y40" s="340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5"/>
      <c r="Q41" s="1559" t="str">
        <f t="shared" si="11"/>
        <v>层高</v>
      </c>
      <c r="R41" s="1560" t="s">
        <v>8</v>
      </c>
      <c r="S41" s="1561">
        <f t="shared" si="12"/>
        <v>100</v>
      </c>
      <c r="T41" s="1560" t="s">
        <v>8</v>
      </c>
      <c r="U41" s="1561">
        <f t="shared" si="13"/>
        <v>100</v>
      </c>
      <c r="V41" s="1560" t="s">
        <v>8</v>
      </c>
      <c r="W41" s="1561">
        <f t="shared" si="14"/>
        <v>100</v>
      </c>
      <c r="X41" s="1554"/>
      <c r="Y41" s="340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5"/>
      <c r="Q42" s="1591" t="str">
        <f t="shared" si="11"/>
        <v>单套建筑面积</v>
      </c>
      <c r="R42" s="1564" t="s">
        <v>8</v>
      </c>
      <c r="S42" s="1565">
        <f t="shared" si="12"/>
        <v>100</v>
      </c>
      <c r="T42" s="1564" t="s">
        <v>8</v>
      </c>
      <c r="U42" s="1565">
        <f t="shared" si="13"/>
        <v>100</v>
      </c>
      <c r="V42" s="1564" t="s">
        <v>8</v>
      </c>
      <c r="W42" s="1565">
        <f t="shared" si="14"/>
        <v>100</v>
      </c>
      <c r="X42" s="1566"/>
      <c r="Y42" s="340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5"/>
      <c r="Q43" s="1559" t="str">
        <f t="shared" si="11"/>
        <v>内部装修</v>
      </c>
      <c r="R43" s="1560" t="s">
        <v>8</v>
      </c>
      <c r="S43" s="1561">
        <f t="shared" si="12"/>
        <v>100</v>
      </c>
      <c r="T43" s="1560" t="s">
        <v>8</v>
      </c>
      <c r="U43" s="1561">
        <f t="shared" si="13"/>
        <v>100</v>
      </c>
      <c r="V43" s="1560" t="s">
        <v>8</v>
      </c>
      <c r="W43" s="1561">
        <f t="shared" si="14"/>
        <v>100</v>
      </c>
      <c r="X43" s="1554"/>
      <c r="Y43" s="3405"/>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5"/>
      <c r="Q44" s="1559" t="str">
        <f t="shared" si="11"/>
        <v>内部装修维护情况</v>
      </c>
      <c r="R44" s="1560" t="s">
        <v>8</v>
      </c>
      <c r="S44" s="1561">
        <f t="shared" si="12"/>
        <v>100</v>
      </c>
      <c r="T44" s="1560" t="s">
        <v>8</v>
      </c>
      <c r="U44" s="1561">
        <f t="shared" si="13"/>
        <v>100</v>
      </c>
      <c r="V44" s="1560" t="s">
        <v>8</v>
      </c>
      <c r="W44" s="1561">
        <f t="shared" si="14"/>
        <v>100</v>
      </c>
      <c r="X44" s="1554"/>
      <c r="Y44" s="340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5"/>
      <c r="Q45" s="1147">
        <f t="shared" si="11"/>
        <v>111</v>
      </c>
      <c r="R45" s="1555" t="s">
        <v>8</v>
      </c>
      <c r="S45" s="1556">
        <f t="shared" si="12"/>
        <v>100</v>
      </c>
      <c r="T45" s="1555" t="s">
        <v>8</v>
      </c>
      <c r="U45" s="1556">
        <f t="shared" si="13"/>
        <v>100</v>
      </c>
      <c r="V45" s="1555" t="s">
        <v>8</v>
      </c>
      <c r="W45" s="1556">
        <f t="shared" si="14"/>
        <v>100</v>
      </c>
      <c r="X45" s="1557"/>
      <c r="Y45" s="340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5"/>
      <c r="Q46" s="1559">
        <f t="shared" si="11"/>
        <v>111</v>
      </c>
      <c r="R46" s="1560" t="s">
        <v>8</v>
      </c>
      <c r="S46" s="1561">
        <f t="shared" si="12"/>
        <v>100</v>
      </c>
      <c r="T46" s="1560" t="s">
        <v>8</v>
      </c>
      <c r="U46" s="1561">
        <f t="shared" si="13"/>
        <v>100</v>
      </c>
      <c r="V46" s="1560" t="s">
        <v>8</v>
      </c>
      <c r="W46" s="1561">
        <f t="shared" si="14"/>
        <v>100</v>
      </c>
      <c r="X46" s="1554"/>
      <c r="Y46" s="340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6"/>
      <c r="Q47" s="1559">
        <f t="shared" si="11"/>
        <v>111</v>
      </c>
      <c r="R47" s="1560" t="s">
        <v>8</v>
      </c>
      <c r="S47" s="1561">
        <f t="shared" si="12"/>
        <v>100</v>
      </c>
      <c r="T47" s="1560" t="s">
        <v>8</v>
      </c>
      <c r="U47" s="1561">
        <f t="shared" si="13"/>
        <v>100</v>
      </c>
      <c r="V47" s="1560" t="s">
        <v>8</v>
      </c>
      <c r="W47" s="1561">
        <f t="shared" si="14"/>
        <v>100</v>
      </c>
      <c r="X47" s="1554"/>
      <c r="Y47" s="3486"/>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66" t="str">
        <f>A48</f>
        <v>成交单价（元/平方米）</v>
      </c>
      <c r="Q48" s="3368"/>
      <c r="R48" s="3485">
        <f>E48</f>
        <v>0</v>
      </c>
      <c r="S48" s="3485"/>
      <c r="T48" s="3485">
        <f>G48</f>
        <v>0</v>
      </c>
      <c r="U48" s="3485"/>
      <c r="V48" s="3485">
        <f>I48</f>
        <v>0</v>
      </c>
      <c r="W48" s="3485"/>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66" t="str">
        <f>A49</f>
        <v>比较价格（元/平方米）</v>
      </c>
      <c r="Q49" s="3368"/>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46"/>
      <c r="Y49" s="1546"/>
      <c r="Z49" s="1546"/>
      <c r="AA49" s="1546"/>
      <c r="AB49" s="1546"/>
      <c r="AC49" s="1546"/>
    </row>
    <row r="50" spans="1:29" ht="15.75" thickBot="1">
      <c r="A50" s="621" t="s">
        <v>2933</v>
      </c>
      <c r="B50" s="622"/>
      <c r="C50" s="2601" t="e">
        <f>R50</f>
        <v>#DIV/0!</v>
      </c>
      <c r="D50" s="2601"/>
      <c r="E50" s="2601"/>
      <c r="F50" s="2601"/>
      <c r="G50" s="2601"/>
      <c r="H50" s="2601"/>
      <c r="I50" s="2601"/>
      <c r="J50" s="2601"/>
      <c r="K50" s="1599"/>
      <c r="L50" s="2130"/>
      <c r="M50" s="2120"/>
      <c r="N50" s="2120"/>
      <c r="O50" s="2120"/>
      <c r="P50" s="3487" t="str">
        <f>A50</f>
        <v>估价对象XX用房的比较价格（楼面单价，元/平方米）</v>
      </c>
      <c r="Q50" s="3366"/>
      <c r="R50" s="3484" t="e">
        <f>IF(F1="售价",ROUND(AVERAGE(R49:V49),0),ROUND(AVERAGE(R49:V49),1))</f>
        <v>#DIV/0!</v>
      </c>
      <c r="S50" s="3484"/>
      <c r="T50" s="3484"/>
      <c r="U50" s="3484"/>
      <c r="V50" s="3484"/>
      <c r="W50" s="348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4" t="s">
        <v>522</v>
      </c>
      <c r="D4" s="3375"/>
      <c r="E4" s="3408" t="s">
        <v>523</v>
      </c>
      <c r="F4" s="3409"/>
      <c r="G4" s="3374" t="s">
        <v>524</v>
      </c>
      <c r="H4" s="3375"/>
      <c r="I4" s="3374" t="s">
        <v>525</v>
      </c>
      <c r="J4" s="3375"/>
      <c r="K4" s="514" t="s">
        <v>526</v>
      </c>
      <c r="L4" s="2119"/>
      <c r="M4" s="2120"/>
      <c r="N4" s="2120"/>
      <c r="O4" s="2120"/>
      <c r="P4" s="3376" t="s">
        <v>527</v>
      </c>
      <c r="Q4" s="3377"/>
      <c r="R4" s="3382" t="s">
        <v>523</v>
      </c>
      <c r="S4" s="3383"/>
      <c r="T4" s="3382" t="s">
        <v>524</v>
      </c>
      <c r="U4" s="3383"/>
      <c r="V4" s="3369" t="s">
        <v>525</v>
      </c>
      <c r="W4" s="3369"/>
      <c r="X4" s="1554"/>
      <c r="Y4" s="3382" t="s">
        <v>527</v>
      </c>
      <c r="Z4" s="3383"/>
      <c r="AA4" s="3371" t="s">
        <v>523</v>
      </c>
      <c r="AB4" s="3372" t="s">
        <v>524</v>
      </c>
      <c r="AC4" s="3371" t="s">
        <v>525</v>
      </c>
    </row>
    <row r="5" spans="1:29" ht="15">
      <c r="A5" s="515"/>
      <c r="B5" s="516"/>
      <c r="C5" s="3390" t="s">
        <v>2927</v>
      </c>
      <c r="D5" s="3391"/>
      <c r="E5" s="3410" t="s">
        <v>2928</v>
      </c>
      <c r="F5" s="3411"/>
      <c r="G5" s="3390" t="s">
        <v>2929</v>
      </c>
      <c r="H5" s="3391"/>
      <c r="I5" s="3390" t="s">
        <v>2930</v>
      </c>
      <c r="J5" s="3391"/>
      <c r="K5" s="514"/>
      <c r="L5" s="2119"/>
      <c r="M5" s="2120"/>
      <c r="N5" s="2120"/>
      <c r="O5" s="2120"/>
      <c r="P5" s="3378"/>
      <c r="Q5" s="3379"/>
      <c r="R5" s="3384"/>
      <c r="S5" s="3385"/>
      <c r="T5" s="3384"/>
      <c r="U5" s="3385"/>
      <c r="V5" s="3369"/>
      <c r="W5" s="3369"/>
      <c r="X5" s="1554"/>
      <c r="Y5" s="3384"/>
      <c r="Z5" s="3385"/>
      <c r="AA5" s="3372"/>
      <c r="AB5" s="3372"/>
      <c r="AC5" s="3372"/>
    </row>
    <row r="6" spans="1:29" ht="15.75" thickBot="1">
      <c r="A6" s="517"/>
      <c r="B6" s="518"/>
      <c r="C6" s="3388" t="s">
        <v>2931</v>
      </c>
      <c r="D6" s="3389"/>
      <c r="E6" s="3406" t="s">
        <v>2931</v>
      </c>
      <c r="F6" s="3407"/>
      <c r="G6" s="3388" t="s">
        <v>2931</v>
      </c>
      <c r="H6" s="3389"/>
      <c r="I6" s="3388" t="s">
        <v>2931</v>
      </c>
      <c r="J6" s="3389"/>
      <c r="K6" s="514" t="s">
        <v>528</v>
      </c>
      <c r="L6" s="2119"/>
      <c r="M6" s="2120"/>
      <c r="N6" s="2120"/>
      <c r="O6" s="2120"/>
      <c r="P6" s="3380"/>
      <c r="Q6" s="3381"/>
      <c r="R6" s="3384"/>
      <c r="S6" s="3385"/>
      <c r="T6" s="3386"/>
      <c r="U6" s="3387"/>
      <c r="V6" s="3369"/>
      <c r="W6" s="3369"/>
      <c r="X6" s="1554"/>
      <c r="Y6" s="3386"/>
      <c r="Z6" s="3387"/>
      <c r="AA6" s="3373"/>
      <c r="AB6" s="3373"/>
      <c r="AC6" s="3373"/>
    </row>
    <row r="7" spans="1:29" s="1216" customFormat="1" ht="15.75" thickBot="1">
      <c r="A7" s="2868"/>
      <c r="B7" s="2875" t="s">
        <v>529</v>
      </c>
      <c r="C7" s="519">
        <f>'数据-取费表'!B2</f>
        <v>43700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9" t="s">
        <v>530</v>
      </c>
      <c r="Q7" s="3401"/>
      <c r="R7" s="1555" t="s">
        <v>8</v>
      </c>
      <c r="S7" s="1556">
        <f t="shared" ref="S7:S15" si="0">F7</f>
        <v>0</v>
      </c>
      <c r="T7" s="1555" t="s">
        <v>8</v>
      </c>
      <c r="U7" s="1556">
        <f t="shared" ref="U7:U15" si="1">H7</f>
        <v>0</v>
      </c>
      <c r="V7" s="1555" t="s">
        <v>8</v>
      </c>
      <c r="W7" s="1556">
        <f t="shared" ref="W7:W15" si="2">J7</f>
        <v>0</v>
      </c>
      <c r="X7" s="1557"/>
      <c r="Y7" s="3399" t="s">
        <v>530</v>
      </c>
      <c r="Z7" s="3400"/>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9" t="s">
        <v>533</v>
      </c>
      <c r="Q8" s="3400"/>
      <c r="R8" s="1555" t="s">
        <v>8</v>
      </c>
      <c r="S8" s="1556">
        <f t="shared" si="0"/>
        <v>0</v>
      </c>
      <c r="T8" s="1555" t="s">
        <v>8</v>
      </c>
      <c r="U8" s="1556">
        <f t="shared" si="1"/>
        <v>0</v>
      </c>
      <c r="V8" s="1555" t="s">
        <v>8</v>
      </c>
      <c r="W8" s="1556">
        <f t="shared" si="2"/>
        <v>0</v>
      </c>
      <c r="X8" s="1557"/>
      <c r="Y8" s="3399" t="s">
        <v>533</v>
      </c>
      <c r="Z8" s="3400"/>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8" t="s">
        <v>535</v>
      </c>
      <c r="Q9" s="1147" t="str">
        <f t="shared" ref="Q9:Q15" si="6">B9</f>
        <v>用途</v>
      </c>
      <c r="R9" s="1555" t="s">
        <v>8</v>
      </c>
      <c r="S9" s="1556">
        <f t="shared" si="0"/>
        <v>100</v>
      </c>
      <c r="T9" s="1555" t="s">
        <v>8</v>
      </c>
      <c r="U9" s="1556">
        <f t="shared" si="1"/>
        <v>100</v>
      </c>
      <c r="V9" s="1555" t="s">
        <v>8</v>
      </c>
      <c r="W9" s="1556">
        <f t="shared" si="2"/>
        <v>100</v>
      </c>
      <c r="X9" s="1557"/>
      <c r="Y9" s="3314"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8"/>
      <c r="Q11" s="1147" t="str">
        <f t="shared" si="6"/>
        <v>容积率</v>
      </c>
      <c r="R11" s="1555" t="s">
        <v>8</v>
      </c>
      <c r="S11" s="1556" t="e">
        <f t="shared" si="0"/>
        <v>#N/A</v>
      </c>
      <c r="T11" s="1555" t="s">
        <v>8</v>
      </c>
      <c r="U11" s="1556" t="e">
        <f t="shared" si="1"/>
        <v>#N/A</v>
      </c>
      <c r="V11" s="1555" t="s">
        <v>8</v>
      </c>
      <c r="W11" s="1556" t="e">
        <f t="shared" si="2"/>
        <v>#N/A</v>
      </c>
      <c r="X11" s="1557"/>
      <c r="Y11" s="331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8"/>
      <c r="Q12" s="1147">
        <f t="shared" si="6"/>
        <v>111</v>
      </c>
      <c r="R12" s="1555" t="s">
        <v>8</v>
      </c>
      <c r="S12" s="1556">
        <f t="shared" si="0"/>
        <v>100</v>
      </c>
      <c r="T12" s="1555" t="s">
        <v>8</v>
      </c>
      <c r="U12" s="1556">
        <f t="shared" si="1"/>
        <v>100</v>
      </c>
      <c r="V12" s="1555" t="s">
        <v>8</v>
      </c>
      <c r="W12" s="1556">
        <f t="shared" si="2"/>
        <v>100</v>
      </c>
      <c r="X12" s="1557"/>
      <c r="Y12" s="3314"/>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8"/>
      <c r="Q13" s="1147">
        <f t="shared" si="6"/>
        <v>111</v>
      </c>
      <c r="R13" s="1555" t="s">
        <v>8</v>
      </c>
      <c r="S13" s="1556">
        <f t="shared" si="0"/>
        <v>100</v>
      </c>
      <c r="T13" s="1555" t="s">
        <v>8</v>
      </c>
      <c r="U13" s="1556">
        <f t="shared" si="1"/>
        <v>100</v>
      </c>
      <c r="V13" s="1555" t="s">
        <v>8</v>
      </c>
      <c r="W13" s="1556">
        <f t="shared" si="2"/>
        <v>100</v>
      </c>
      <c r="X13" s="1557"/>
      <c r="Y13" s="3314"/>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8"/>
      <c r="Q14" s="1147">
        <f t="shared" si="6"/>
        <v>111</v>
      </c>
      <c r="R14" s="1555" t="s">
        <v>8</v>
      </c>
      <c r="S14" s="1556">
        <f t="shared" si="0"/>
        <v>100</v>
      </c>
      <c r="T14" s="1555" t="s">
        <v>8</v>
      </c>
      <c r="U14" s="1556">
        <f t="shared" si="1"/>
        <v>100</v>
      </c>
      <c r="V14" s="1555" t="s">
        <v>8</v>
      </c>
      <c r="W14" s="1556">
        <f t="shared" si="2"/>
        <v>100</v>
      </c>
      <c r="X14" s="1557"/>
      <c r="Y14" s="3314"/>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2" t="s">
        <v>540</v>
      </c>
      <c r="Q15" s="1559" t="str">
        <f t="shared" si="6"/>
        <v>产业集聚程度</v>
      </c>
      <c r="R15" s="1560" t="s">
        <v>8</v>
      </c>
      <c r="S15" s="1561">
        <f t="shared" si="0"/>
        <v>100</v>
      </c>
      <c r="T15" s="1560" t="s">
        <v>8</v>
      </c>
      <c r="U15" s="1561">
        <f t="shared" si="1"/>
        <v>100</v>
      </c>
      <c r="V15" s="1560" t="s">
        <v>8</v>
      </c>
      <c r="W15" s="1561">
        <f t="shared" si="2"/>
        <v>100</v>
      </c>
      <c r="X15" s="1554"/>
      <c r="Y15" s="340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3"/>
      <c r="Q16" s="1559"/>
      <c r="R16" s="1560"/>
      <c r="S16" s="1561"/>
      <c r="T16" s="1560"/>
      <c r="U16" s="1561"/>
      <c r="V16" s="1560"/>
      <c r="W16" s="1561"/>
      <c r="X16" s="1554"/>
      <c r="Y16" s="3403"/>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3"/>
      <c r="Q17" s="1559" t="str">
        <f>B17</f>
        <v>交通便捷度</v>
      </c>
      <c r="R17" s="1560" t="s">
        <v>8</v>
      </c>
      <c r="S17" s="1561">
        <f>F17</f>
        <v>100</v>
      </c>
      <c r="T17" s="1560" t="s">
        <v>8</v>
      </c>
      <c r="U17" s="1561">
        <f>H17</f>
        <v>100</v>
      </c>
      <c r="V17" s="1560" t="s">
        <v>8</v>
      </c>
      <c r="W17" s="1561">
        <f>J17</f>
        <v>100</v>
      </c>
      <c r="X17" s="1554"/>
      <c r="Y17" s="340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3"/>
      <c r="Q18" s="1559"/>
      <c r="R18" s="1560"/>
      <c r="S18" s="1561"/>
      <c r="T18" s="1560"/>
      <c r="U18" s="1561"/>
      <c r="V18" s="1560"/>
      <c r="W18" s="1561"/>
      <c r="X18" s="1554"/>
      <c r="Y18" s="3403"/>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3"/>
      <c r="Q19" s="1559" t="str">
        <f>B19</f>
        <v>公共配套设施</v>
      </c>
      <c r="R19" s="1560" t="s">
        <v>8</v>
      </c>
      <c r="S19" s="1561">
        <f>F19</f>
        <v>100</v>
      </c>
      <c r="T19" s="1560" t="s">
        <v>8</v>
      </c>
      <c r="U19" s="1561">
        <f>H19</f>
        <v>100</v>
      </c>
      <c r="V19" s="1560" t="s">
        <v>8</v>
      </c>
      <c r="W19" s="1561">
        <f>J19</f>
        <v>100</v>
      </c>
      <c r="X19" s="1554"/>
      <c r="Y19" s="340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3"/>
      <c r="Q20" s="1559"/>
      <c r="R20" s="1560"/>
      <c r="S20" s="1561"/>
      <c r="T20" s="1560"/>
      <c r="U20" s="1561"/>
      <c r="V20" s="1560"/>
      <c r="W20" s="1561"/>
      <c r="X20" s="1554"/>
      <c r="Y20" s="3403"/>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3"/>
      <c r="Q21" s="2544" t="str">
        <f>B21</f>
        <v>基础设施水平</v>
      </c>
      <c r="R21" s="1560" t="s">
        <v>8</v>
      </c>
      <c r="S21" s="1561">
        <f>F21</f>
        <v>100</v>
      </c>
      <c r="T21" s="1560" t="s">
        <v>8</v>
      </c>
      <c r="U21" s="1561">
        <f>H21</f>
        <v>100</v>
      </c>
      <c r="V21" s="1560" t="s">
        <v>8</v>
      </c>
      <c r="W21" s="1561">
        <f>J21</f>
        <v>100</v>
      </c>
      <c r="X21" s="2546"/>
      <c r="Y21" s="3403"/>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3"/>
      <c r="Q22" s="2544"/>
      <c r="R22" s="1560"/>
      <c r="S22" s="1561"/>
      <c r="T22" s="1560"/>
      <c r="U22" s="1561"/>
      <c r="V22" s="1560"/>
      <c r="W22" s="1561"/>
      <c r="X22" s="2546"/>
      <c r="Y22" s="3403"/>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3"/>
      <c r="Q23" s="1559" t="str">
        <f>B23</f>
        <v>环境质量</v>
      </c>
      <c r="R23" s="1560" t="s">
        <v>8</v>
      </c>
      <c r="S23" s="1561">
        <f>F23</f>
        <v>100</v>
      </c>
      <c r="T23" s="1560" t="s">
        <v>8</v>
      </c>
      <c r="U23" s="1561">
        <f>H23</f>
        <v>100</v>
      </c>
      <c r="V23" s="1560" t="s">
        <v>8</v>
      </c>
      <c r="W23" s="1561">
        <f>J23</f>
        <v>100</v>
      </c>
      <c r="X23" s="1554"/>
      <c r="Y23" s="340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3"/>
      <c r="Q24" s="1559"/>
      <c r="R24" s="1560"/>
      <c r="S24" s="1561"/>
      <c r="T24" s="1560"/>
      <c r="U24" s="1561"/>
      <c r="V24" s="1560"/>
      <c r="W24" s="1561"/>
      <c r="X24" s="1554"/>
      <c r="Y24" s="340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3"/>
      <c r="Q25" s="1559">
        <f>B25</f>
        <v>111</v>
      </c>
      <c r="R25" s="1560" t="s">
        <v>8</v>
      </c>
      <c r="S25" s="1561">
        <f>F25</f>
        <v>100</v>
      </c>
      <c r="T25" s="1560" t="s">
        <v>8</v>
      </c>
      <c r="U25" s="1561">
        <f>H25</f>
        <v>100</v>
      </c>
      <c r="V25" s="1560" t="s">
        <v>8</v>
      </c>
      <c r="W25" s="1561">
        <f>J25</f>
        <v>100</v>
      </c>
      <c r="X25" s="1554"/>
      <c r="Y25" s="340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3"/>
      <c r="Q26" s="1559">
        <f t="shared" ref="Q26:Q40" si="11">B26</f>
        <v>111</v>
      </c>
      <c r="R26" s="1560" t="s">
        <v>8</v>
      </c>
      <c r="S26" s="1561">
        <f>F26</f>
        <v>100</v>
      </c>
      <c r="T26" s="1560" t="s">
        <v>8</v>
      </c>
      <c r="U26" s="1561">
        <f>H26</f>
        <v>100</v>
      </c>
      <c r="V26" s="1560" t="s">
        <v>8</v>
      </c>
      <c r="W26" s="1561">
        <f>J26</f>
        <v>100</v>
      </c>
      <c r="X26" s="1554"/>
      <c r="Y26" s="340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3"/>
      <c r="Q27" s="1147">
        <f t="shared" si="11"/>
        <v>111</v>
      </c>
      <c r="R27" s="1555" t="s">
        <v>8</v>
      </c>
      <c r="S27" s="1556">
        <f>F27</f>
        <v>100</v>
      </c>
      <c r="T27" s="1555" t="s">
        <v>8</v>
      </c>
      <c r="U27" s="1556">
        <f>H27</f>
        <v>100</v>
      </c>
      <c r="V27" s="1555" t="s">
        <v>8</v>
      </c>
      <c r="W27" s="1556">
        <f>J27</f>
        <v>100</v>
      </c>
      <c r="X27" s="1557"/>
      <c r="Y27" s="3403"/>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3"/>
      <c r="Q28" s="1559">
        <f t="shared" si="11"/>
        <v>111</v>
      </c>
      <c r="R28" s="1560" t="s">
        <v>8</v>
      </c>
      <c r="S28" s="1561">
        <f t="shared" ref="S28:S40" si="12">F28</f>
        <v>100</v>
      </c>
      <c r="T28" s="1560" t="s">
        <v>8</v>
      </c>
      <c r="U28" s="1561">
        <f t="shared" ref="U28:U40" si="13">H28</f>
        <v>100</v>
      </c>
      <c r="V28" s="1560" t="s">
        <v>8</v>
      </c>
      <c r="W28" s="1561">
        <f t="shared" ref="W28:W40" si="14">J28</f>
        <v>100</v>
      </c>
      <c r="X28" s="1554"/>
      <c r="Y28" s="3403"/>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4" t="s">
        <v>550</v>
      </c>
      <c r="Q29" s="1559" t="str">
        <f t="shared" si="11"/>
        <v>建筑类型</v>
      </c>
      <c r="R29" s="1560" t="s">
        <v>8</v>
      </c>
      <c r="S29" s="1561">
        <f t="shared" si="12"/>
        <v>100</v>
      </c>
      <c r="T29" s="1560" t="s">
        <v>8</v>
      </c>
      <c r="U29" s="1561">
        <f t="shared" si="13"/>
        <v>100</v>
      </c>
      <c r="V29" s="1560" t="s">
        <v>8</v>
      </c>
      <c r="W29" s="1561">
        <f t="shared" si="14"/>
        <v>100</v>
      </c>
      <c r="X29" s="1554"/>
      <c r="Y29" s="340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5"/>
      <c r="Q30" s="1591" t="str">
        <f t="shared" si="11"/>
        <v>项目建筑规模</v>
      </c>
      <c r="R30" s="1564" t="s">
        <v>8</v>
      </c>
      <c r="S30" s="1565" t="e">
        <f t="shared" si="12"/>
        <v>#N/A</v>
      </c>
      <c r="T30" s="1564" t="s">
        <v>8</v>
      </c>
      <c r="U30" s="1565" t="e">
        <f t="shared" si="13"/>
        <v>#N/A</v>
      </c>
      <c r="V30" s="1564" t="s">
        <v>8</v>
      </c>
      <c r="W30" s="1565" t="e">
        <f t="shared" si="14"/>
        <v>#N/A</v>
      </c>
      <c r="X30" s="1566"/>
      <c r="Y30" s="340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5"/>
      <c r="Q31" s="1559" t="str">
        <f t="shared" si="11"/>
        <v>建筑结构</v>
      </c>
      <c r="R31" s="1560" t="s">
        <v>8</v>
      </c>
      <c r="S31" s="1561">
        <f t="shared" si="12"/>
        <v>100</v>
      </c>
      <c r="T31" s="1560" t="s">
        <v>8</v>
      </c>
      <c r="U31" s="1561">
        <f t="shared" si="13"/>
        <v>100</v>
      </c>
      <c r="V31" s="1560" t="s">
        <v>8</v>
      </c>
      <c r="W31" s="1561">
        <f t="shared" si="14"/>
        <v>100</v>
      </c>
      <c r="X31" s="1554"/>
      <c r="Y31" s="340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5"/>
      <c r="Q32" s="1559" t="str">
        <f t="shared" si="11"/>
        <v>公共部分装修</v>
      </c>
      <c r="R32" s="1560" t="s">
        <v>8</v>
      </c>
      <c r="S32" s="1561">
        <f t="shared" si="12"/>
        <v>100</v>
      </c>
      <c r="T32" s="1560" t="s">
        <v>8</v>
      </c>
      <c r="U32" s="1561">
        <f t="shared" si="13"/>
        <v>100</v>
      </c>
      <c r="V32" s="1560" t="s">
        <v>8</v>
      </c>
      <c r="W32" s="1561">
        <f t="shared" si="14"/>
        <v>100</v>
      </c>
      <c r="X32" s="1554"/>
      <c r="Y32" s="340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5"/>
      <c r="Q33" s="1559" t="str">
        <f t="shared" si="11"/>
        <v>成新度</v>
      </c>
      <c r="R33" s="1560" t="s">
        <v>8</v>
      </c>
      <c r="S33" s="1561" t="e">
        <f t="shared" si="12"/>
        <v>#N/A</v>
      </c>
      <c r="T33" s="1560" t="s">
        <v>8</v>
      </c>
      <c r="U33" s="1561" t="e">
        <f t="shared" si="13"/>
        <v>#N/A</v>
      </c>
      <c r="V33" s="1560" t="s">
        <v>8</v>
      </c>
      <c r="W33" s="1561" t="e">
        <f t="shared" si="14"/>
        <v>#N/A</v>
      </c>
      <c r="X33" s="1554"/>
      <c r="Y33" s="340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5"/>
      <c r="Q34" s="1147" t="str">
        <f t="shared" si="11"/>
        <v>物业管理</v>
      </c>
      <c r="R34" s="1555" t="s">
        <v>8</v>
      </c>
      <c r="S34" s="1556">
        <f t="shared" si="12"/>
        <v>100</v>
      </c>
      <c r="T34" s="1555" t="s">
        <v>8</v>
      </c>
      <c r="U34" s="1556">
        <f t="shared" si="13"/>
        <v>100</v>
      </c>
      <c r="V34" s="1555" t="s">
        <v>8</v>
      </c>
      <c r="W34" s="1556">
        <f t="shared" si="14"/>
        <v>100</v>
      </c>
      <c r="X34" s="1557"/>
      <c r="Y34" s="3405"/>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5" t="s">
        <v>550</v>
      </c>
      <c r="Q35" s="1559" t="str">
        <f t="shared" si="11"/>
        <v>市政基础设施</v>
      </c>
      <c r="R35" s="1560" t="s">
        <v>8</v>
      </c>
      <c r="S35" s="1561">
        <f t="shared" si="12"/>
        <v>100</v>
      </c>
      <c r="T35" s="1560" t="s">
        <v>8</v>
      </c>
      <c r="U35" s="1561">
        <f t="shared" si="13"/>
        <v>100</v>
      </c>
      <c r="V35" s="1560" t="s">
        <v>8</v>
      </c>
      <c r="W35" s="1561">
        <f t="shared" si="14"/>
        <v>100</v>
      </c>
      <c r="X35" s="1554"/>
      <c r="Y35" s="340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5"/>
      <c r="Q36" s="1559" t="str">
        <f t="shared" si="11"/>
        <v>内部装修</v>
      </c>
      <c r="R36" s="1560" t="s">
        <v>8</v>
      </c>
      <c r="S36" s="1561">
        <f t="shared" si="12"/>
        <v>100</v>
      </c>
      <c r="T36" s="1560" t="s">
        <v>8</v>
      </c>
      <c r="U36" s="1561">
        <f t="shared" si="13"/>
        <v>100</v>
      </c>
      <c r="V36" s="1560" t="s">
        <v>8</v>
      </c>
      <c r="W36" s="1561">
        <f t="shared" si="14"/>
        <v>100</v>
      </c>
      <c r="X36" s="1554"/>
      <c r="Y36" s="340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5"/>
      <c r="Q37" s="1559" t="str">
        <f t="shared" si="11"/>
        <v>内部装修状况</v>
      </c>
      <c r="R37" s="1560" t="s">
        <v>8</v>
      </c>
      <c r="S37" s="1561">
        <f t="shared" si="12"/>
        <v>100</v>
      </c>
      <c r="T37" s="1560" t="s">
        <v>8</v>
      </c>
      <c r="U37" s="1561">
        <f t="shared" si="13"/>
        <v>100</v>
      </c>
      <c r="V37" s="1560" t="s">
        <v>8</v>
      </c>
      <c r="W37" s="1561">
        <f t="shared" si="14"/>
        <v>100</v>
      </c>
      <c r="X37" s="1554"/>
      <c r="Y37" s="340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5"/>
      <c r="Q38" s="1591">
        <f t="shared" si="11"/>
        <v>111</v>
      </c>
      <c r="R38" s="1564" t="s">
        <v>8</v>
      </c>
      <c r="S38" s="1565">
        <f t="shared" si="12"/>
        <v>100</v>
      </c>
      <c r="T38" s="1564" t="s">
        <v>8</v>
      </c>
      <c r="U38" s="1565">
        <f t="shared" si="13"/>
        <v>100</v>
      </c>
      <c r="V38" s="1564" t="s">
        <v>8</v>
      </c>
      <c r="W38" s="1565">
        <f t="shared" si="14"/>
        <v>100</v>
      </c>
      <c r="X38" s="1566"/>
      <c r="Y38" s="340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5"/>
      <c r="Q39" s="1559">
        <f t="shared" si="11"/>
        <v>111</v>
      </c>
      <c r="R39" s="1560" t="s">
        <v>8</v>
      </c>
      <c r="S39" s="1561">
        <f t="shared" si="12"/>
        <v>100</v>
      </c>
      <c r="T39" s="1560" t="s">
        <v>8</v>
      </c>
      <c r="U39" s="1561">
        <f t="shared" si="13"/>
        <v>100</v>
      </c>
      <c r="V39" s="1560" t="s">
        <v>8</v>
      </c>
      <c r="W39" s="1561">
        <f t="shared" si="14"/>
        <v>100</v>
      </c>
      <c r="X39" s="1554"/>
      <c r="Y39" s="340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6"/>
      <c r="Q40" s="1559">
        <f t="shared" si="11"/>
        <v>111</v>
      </c>
      <c r="R40" s="1560" t="s">
        <v>8</v>
      </c>
      <c r="S40" s="1561">
        <f t="shared" si="12"/>
        <v>100</v>
      </c>
      <c r="T40" s="1560" t="s">
        <v>8</v>
      </c>
      <c r="U40" s="1561">
        <f t="shared" si="13"/>
        <v>100</v>
      </c>
      <c r="V40" s="1560" t="s">
        <v>8</v>
      </c>
      <c r="W40" s="1561">
        <f t="shared" si="14"/>
        <v>100</v>
      </c>
      <c r="X40" s="1554"/>
      <c r="Y40" s="3486"/>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8" t="str">
        <f>A41</f>
        <v>成交单价（元/平方米）</v>
      </c>
      <c r="Q41" s="3368"/>
      <c r="R41" s="3485">
        <f>E41</f>
        <v>0</v>
      </c>
      <c r="S41" s="3485"/>
      <c r="T41" s="3485">
        <f>G41</f>
        <v>0</v>
      </c>
      <c r="U41" s="3485"/>
      <c r="V41" s="3485">
        <f>I41</f>
        <v>0</v>
      </c>
      <c r="W41" s="3485"/>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68" t="str">
        <f>A42</f>
        <v>比较价格（元/平方米）</v>
      </c>
      <c r="Q42" s="3368"/>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46"/>
      <c r="Y42" s="1546"/>
      <c r="Z42" s="1546"/>
      <c r="AA42" s="1546"/>
      <c r="AB42" s="1546"/>
      <c r="AC42" s="1546"/>
    </row>
    <row r="43" spans="1:29" ht="15.75" thickBot="1">
      <c r="A43" s="621" t="s">
        <v>2933</v>
      </c>
      <c r="B43" s="622"/>
      <c r="C43" s="2601" t="e">
        <f>R43</f>
        <v>#DIV/0!</v>
      </c>
      <c r="D43" s="2601"/>
      <c r="E43" s="2601"/>
      <c r="F43" s="2601"/>
      <c r="G43" s="2601"/>
      <c r="H43" s="2601"/>
      <c r="I43" s="2601"/>
      <c r="J43" s="2601"/>
      <c r="K43" s="1599"/>
      <c r="L43" s="2130"/>
      <c r="M43" s="2131"/>
      <c r="N43" s="2131"/>
      <c r="O43" s="2131"/>
      <c r="P43" s="3365" t="str">
        <f>A43</f>
        <v>估价对象XX用房的比较价格（楼面单价，元/平方米）</v>
      </c>
      <c r="Q43" s="3366"/>
      <c r="R43" s="3484" t="e">
        <f>IF(F1="售价",ROUND(AVERAGE(R42:V42),0),ROUND(AVERAGE(R42:V42),1))</f>
        <v>#DIV/0!</v>
      </c>
      <c r="S43" s="3484"/>
      <c r="T43" s="3484"/>
      <c r="U43" s="3484"/>
      <c r="V43" s="3484"/>
      <c r="W43" s="348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4" t="s">
        <v>798</v>
      </c>
      <c r="D4" s="3375"/>
      <c r="E4" s="3374" t="s">
        <v>799</v>
      </c>
      <c r="F4" s="3375"/>
      <c r="G4" s="3374" t="s">
        <v>800</v>
      </c>
      <c r="H4" s="3375"/>
      <c r="I4" s="3374" t="s">
        <v>801</v>
      </c>
      <c r="J4" s="3375"/>
      <c r="K4" s="514" t="s">
        <v>802</v>
      </c>
      <c r="L4" s="2119"/>
      <c r="M4" s="2120"/>
      <c r="N4" s="2120"/>
      <c r="O4" s="2120"/>
      <c r="P4" s="3376" t="s">
        <v>803</v>
      </c>
      <c r="Q4" s="3377"/>
      <c r="R4" s="3382" t="s">
        <v>799</v>
      </c>
      <c r="S4" s="3383"/>
      <c r="T4" s="3382" t="s">
        <v>800</v>
      </c>
      <c r="U4" s="3383"/>
      <c r="V4" s="3369" t="s">
        <v>801</v>
      </c>
      <c r="W4" s="3369"/>
      <c r="X4" s="1554"/>
      <c r="Y4" s="3382" t="s">
        <v>803</v>
      </c>
      <c r="Z4" s="3383"/>
      <c r="AA4" s="3371" t="s">
        <v>799</v>
      </c>
      <c r="AB4" s="3372" t="s">
        <v>800</v>
      </c>
      <c r="AC4" s="3371" t="s">
        <v>801</v>
      </c>
    </row>
    <row r="5" spans="1:29" ht="15">
      <c r="A5" s="515"/>
      <c r="B5" s="516"/>
      <c r="C5" s="3390" t="s">
        <v>2927</v>
      </c>
      <c r="D5" s="3391"/>
      <c r="E5" s="3390" t="s">
        <v>2928</v>
      </c>
      <c r="F5" s="3391"/>
      <c r="G5" s="3390" t="s">
        <v>2929</v>
      </c>
      <c r="H5" s="3391"/>
      <c r="I5" s="3390" t="s">
        <v>2930</v>
      </c>
      <c r="J5" s="3391"/>
      <c r="K5" s="514"/>
      <c r="L5" s="2119"/>
      <c r="M5" s="2120"/>
      <c r="N5" s="2120"/>
      <c r="O5" s="2120"/>
      <c r="P5" s="3378"/>
      <c r="Q5" s="3379"/>
      <c r="R5" s="3384"/>
      <c r="S5" s="3385"/>
      <c r="T5" s="3384"/>
      <c r="U5" s="3385"/>
      <c r="V5" s="3369"/>
      <c r="W5" s="3369"/>
      <c r="X5" s="1554"/>
      <c r="Y5" s="3384"/>
      <c r="Z5" s="3385"/>
      <c r="AA5" s="3372"/>
      <c r="AB5" s="3372"/>
      <c r="AC5" s="3372"/>
    </row>
    <row r="6" spans="1:29" ht="15.75" thickBot="1">
      <c r="A6" s="517"/>
      <c r="B6" s="518"/>
      <c r="C6" s="3388" t="s">
        <v>2931</v>
      </c>
      <c r="D6" s="3389"/>
      <c r="E6" s="3392" t="s">
        <v>2931</v>
      </c>
      <c r="F6" s="3393"/>
      <c r="G6" s="3388" t="s">
        <v>2931</v>
      </c>
      <c r="H6" s="3389"/>
      <c r="I6" s="3388" t="s">
        <v>2931</v>
      </c>
      <c r="J6" s="3389"/>
      <c r="K6" s="514" t="s">
        <v>528</v>
      </c>
      <c r="L6" s="2119"/>
      <c r="M6" s="2120"/>
      <c r="N6" s="2120"/>
      <c r="O6" s="2120"/>
      <c r="P6" s="3380"/>
      <c r="Q6" s="3381"/>
      <c r="R6" s="3384"/>
      <c r="S6" s="3385"/>
      <c r="T6" s="3386"/>
      <c r="U6" s="3387"/>
      <c r="V6" s="3369"/>
      <c r="W6" s="3369"/>
      <c r="X6" s="1554"/>
      <c r="Y6" s="3386"/>
      <c r="Z6" s="3387"/>
      <c r="AA6" s="3373"/>
      <c r="AB6" s="3373"/>
      <c r="AC6" s="3373"/>
    </row>
    <row r="7" spans="1:29" s="1216" customFormat="1" ht="15.75" thickBot="1">
      <c r="A7" s="2868"/>
      <c r="B7" s="2875" t="s">
        <v>529</v>
      </c>
      <c r="C7" s="519">
        <f>'数据-取费表'!B2</f>
        <v>43700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9" t="s">
        <v>530</v>
      </c>
      <c r="Q7" s="3401"/>
      <c r="R7" s="1555" t="s">
        <v>8</v>
      </c>
      <c r="S7" s="1556">
        <f t="shared" ref="S7:S14" si="0">F7</f>
        <v>0</v>
      </c>
      <c r="T7" s="1555" t="s">
        <v>8</v>
      </c>
      <c r="U7" s="1556">
        <f t="shared" ref="U7:U14" si="1">H7</f>
        <v>0</v>
      </c>
      <c r="V7" s="1555" t="s">
        <v>8</v>
      </c>
      <c r="W7" s="1556">
        <f t="shared" ref="W7:W14" si="2">J7</f>
        <v>0</v>
      </c>
      <c r="X7" s="1557"/>
      <c r="Y7" s="3399" t="s">
        <v>530</v>
      </c>
      <c r="Z7" s="3400"/>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9" t="s">
        <v>533</v>
      </c>
      <c r="Q8" s="3400"/>
      <c r="R8" s="1555" t="s">
        <v>8</v>
      </c>
      <c r="S8" s="1556">
        <f t="shared" si="0"/>
        <v>0</v>
      </c>
      <c r="T8" s="1555" t="s">
        <v>8</v>
      </c>
      <c r="U8" s="1556">
        <f t="shared" si="1"/>
        <v>0</v>
      </c>
      <c r="V8" s="1555" t="s">
        <v>8</v>
      </c>
      <c r="W8" s="1556">
        <f t="shared" si="2"/>
        <v>0</v>
      </c>
      <c r="X8" s="1557"/>
      <c r="Y8" s="3399" t="s">
        <v>533</v>
      </c>
      <c r="Z8" s="3400"/>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8" t="s">
        <v>535</v>
      </c>
      <c r="Q9" s="1147" t="str">
        <f t="shared" ref="Q9:Q14" si="6">B9</f>
        <v>用途</v>
      </c>
      <c r="R9" s="1555" t="s">
        <v>8</v>
      </c>
      <c r="S9" s="1556">
        <f t="shared" si="0"/>
        <v>100</v>
      </c>
      <c r="T9" s="1555" t="s">
        <v>8</v>
      </c>
      <c r="U9" s="1556">
        <f t="shared" si="1"/>
        <v>100</v>
      </c>
      <c r="V9" s="1555" t="s">
        <v>8</v>
      </c>
      <c r="W9" s="1556">
        <f t="shared" si="2"/>
        <v>100</v>
      </c>
      <c r="X9" s="1557"/>
      <c r="Y9" s="3314"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8"/>
      <c r="Q11" s="1147">
        <f t="shared" si="6"/>
        <v>111</v>
      </c>
      <c r="R11" s="1555" t="s">
        <v>8</v>
      </c>
      <c r="S11" s="1556">
        <f t="shared" si="0"/>
        <v>100</v>
      </c>
      <c r="T11" s="1555" t="s">
        <v>8</v>
      </c>
      <c r="U11" s="1556">
        <f t="shared" si="1"/>
        <v>100</v>
      </c>
      <c r="V11" s="1555" t="s">
        <v>8</v>
      </c>
      <c r="W11" s="1556">
        <f t="shared" si="2"/>
        <v>100</v>
      </c>
      <c r="X11" s="1557"/>
      <c r="Y11" s="3314"/>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8"/>
      <c r="Q12" s="1147">
        <f t="shared" si="6"/>
        <v>111</v>
      </c>
      <c r="R12" s="1555" t="s">
        <v>8</v>
      </c>
      <c r="S12" s="1556">
        <f t="shared" si="0"/>
        <v>100</v>
      </c>
      <c r="T12" s="1555" t="s">
        <v>8</v>
      </c>
      <c r="U12" s="1556">
        <f t="shared" si="1"/>
        <v>100</v>
      </c>
      <c r="V12" s="1555" t="s">
        <v>8</v>
      </c>
      <c r="W12" s="1556">
        <f t="shared" si="2"/>
        <v>100</v>
      </c>
      <c r="X12" s="1557"/>
      <c r="Y12" s="3314"/>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8"/>
      <c r="Q13" s="1147">
        <f t="shared" si="6"/>
        <v>111</v>
      </c>
      <c r="R13" s="1555" t="s">
        <v>8</v>
      </c>
      <c r="S13" s="1556">
        <f t="shared" si="0"/>
        <v>100</v>
      </c>
      <c r="T13" s="1555" t="s">
        <v>8</v>
      </c>
      <c r="U13" s="1556">
        <f t="shared" si="1"/>
        <v>100</v>
      </c>
      <c r="V13" s="1555" t="s">
        <v>8</v>
      </c>
      <c r="W13" s="1556">
        <f t="shared" si="2"/>
        <v>100</v>
      </c>
      <c r="X13" s="1557"/>
      <c r="Y13" s="3314"/>
      <c r="Z13" s="1146">
        <f t="shared" si="7"/>
        <v>111</v>
      </c>
      <c r="AA13" s="1558">
        <f t="shared" si="3"/>
        <v>1</v>
      </c>
      <c r="AB13" s="1558">
        <f t="shared" si="4"/>
        <v>1</v>
      </c>
      <c r="AC13" s="1558">
        <f t="shared" si="5"/>
        <v>1</v>
      </c>
    </row>
    <row r="14" spans="1:29" ht="15">
      <c r="A14" s="2866" t="s">
        <v>2754</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2" t="s">
        <v>540</v>
      </c>
      <c r="Q14" s="1559" t="str">
        <f t="shared" si="6"/>
        <v>交通便捷度</v>
      </c>
      <c r="R14" s="1560" t="s">
        <v>8</v>
      </c>
      <c r="S14" s="1561">
        <f t="shared" si="0"/>
        <v>100</v>
      </c>
      <c r="T14" s="1560" t="s">
        <v>8</v>
      </c>
      <c r="U14" s="1561">
        <f t="shared" si="1"/>
        <v>100</v>
      </c>
      <c r="V14" s="1560" t="s">
        <v>8</v>
      </c>
      <c r="W14" s="1561">
        <f t="shared" si="2"/>
        <v>100</v>
      </c>
      <c r="X14" s="1554"/>
      <c r="Y14" s="340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3"/>
      <c r="Q15" s="1559"/>
      <c r="R15" s="1560"/>
      <c r="S15" s="1561"/>
      <c r="T15" s="1560"/>
      <c r="U15" s="1561"/>
      <c r="V15" s="1560"/>
      <c r="W15" s="1561"/>
      <c r="X15" s="1554"/>
      <c r="Y15" s="3403"/>
      <c r="Z15" s="1562"/>
      <c r="AA15" s="1563">
        <v>1</v>
      </c>
      <c r="AB15" s="1563">
        <v>1</v>
      </c>
      <c r="AC15" s="1563">
        <v>1</v>
      </c>
    </row>
    <row r="16" spans="1:29" ht="15">
      <c r="A16" s="515"/>
      <c r="B16" s="2568" t="s">
        <v>2546</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3"/>
      <c r="Q16" s="1559" t="str">
        <f>B16</f>
        <v>公共配套设施</v>
      </c>
      <c r="R16" s="1560" t="s">
        <v>8</v>
      </c>
      <c r="S16" s="1561">
        <f>F16</f>
        <v>100</v>
      </c>
      <c r="T16" s="1560" t="s">
        <v>8</v>
      </c>
      <c r="U16" s="1561">
        <f>H16</f>
        <v>100</v>
      </c>
      <c r="V16" s="1560" t="s">
        <v>8</v>
      </c>
      <c r="W16" s="1561">
        <f>J16</f>
        <v>100</v>
      </c>
      <c r="X16" s="1554"/>
      <c r="Y16" s="340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3"/>
      <c r="Q17" s="1559"/>
      <c r="R17" s="1560"/>
      <c r="S17" s="1561"/>
      <c r="T17" s="1560"/>
      <c r="U17" s="1561"/>
      <c r="V17" s="1560"/>
      <c r="W17" s="1561"/>
      <c r="X17" s="1554"/>
      <c r="Y17" s="3403"/>
      <c r="Z17" s="1562"/>
      <c r="AA17" s="1563">
        <v>1</v>
      </c>
      <c r="AB17" s="1563">
        <v>1</v>
      </c>
      <c r="AC17" s="1563">
        <v>1</v>
      </c>
    </row>
    <row r="18" spans="1:29" ht="15">
      <c r="A18" s="515"/>
      <c r="B18" s="2556" t="s">
        <v>2558</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3"/>
      <c r="Q18" s="2544" t="str">
        <f>B18</f>
        <v>基础设施水平</v>
      </c>
      <c r="R18" s="1560" t="s">
        <v>8</v>
      </c>
      <c r="S18" s="1561">
        <f>F18</f>
        <v>100</v>
      </c>
      <c r="T18" s="1560" t="s">
        <v>8</v>
      </c>
      <c r="U18" s="1561">
        <f>H18</f>
        <v>100</v>
      </c>
      <c r="V18" s="1560" t="s">
        <v>8</v>
      </c>
      <c r="W18" s="1561">
        <f>J18</f>
        <v>100</v>
      </c>
      <c r="X18" s="2546"/>
      <c r="Y18" s="3403"/>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3"/>
      <c r="Q19" s="2544"/>
      <c r="R19" s="1560"/>
      <c r="S19" s="1561"/>
      <c r="T19" s="1560"/>
      <c r="U19" s="1561"/>
      <c r="V19" s="1560"/>
      <c r="W19" s="1561"/>
      <c r="X19" s="2546"/>
      <c r="Y19" s="3403"/>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3"/>
      <c r="Q20" s="1559" t="str">
        <f>B20</f>
        <v>自然及人文环境</v>
      </c>
      <c r="R20" s="1560" t="s">
        <v>8</v>
      </c>
      <c r="S20" s="1561">
        <f>F20</f>
        <v>100</v>
      </c>
      <c r="T20" s="1560" t="s">
        <v>8</v>
      </c>
      <c r="U20" s="1561">
        <f>H20</f>
        <v>100</v>
      </c>
      <c r="V20" s="1560" t="s">
        <v>8</v>
      </c>
      <c r="W20" s="1561">
        <f>J20</f>
        <v>100</v>
      </c>
      <c r="X20" s="1554"/>
      <c r="Y20" s="340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3"/>
      <c r="Q21" s="1559"/>
      <c r="R21" s="1560"/>
      <c r="S21" s="1561"/>
      <c r="T21" s="1560"/>
      <c r="U21" s="1561"/>
      <c r="V21" s="1560"/>
      <c r="W21" s="1561"/>
      <c r="X21" s="1554"/>
      <c r="Y21" s="340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3"/>
      <c r="Q22" s="1559" t="str">
        <f>B22</f>
        <v>楼层</v>
      </c>
      <c r="R22" s="1560" t="s">
        <v>8</v>
      </c>
      <c r="S22" s="1561">
        <f>F22</f>
        <v>100</v>
      </c>
      <c r="T22" s="1560" t="s">
        <v>8</v>
      </c>
      <c r="U22" s="1561">
        <f>H22</f>
        <v>100</v>
      </c>
      <c r="V22" s="1560" t="s">
        <v>8</v>
      </c>
      <c r="W22" s="1561">
        <f>J22</f>
        <v>100</v>
      </c>
      <c r="X22" s="1554"/>
      <c r="Y22" s="340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3"/>
      <c r="Q23" s="1559">
        <f>B23</f>
        <v>111</v>
      </c>
      <c r="R23" s="1560" t="s">
        <v>8</v>
      </c>
      <c r="S23" s="1561">
        <f>F23</f>
        <v>100</v>
      </c>
      <c r="T23" s="1560" t="s">
        <v>8</v>
      </c>
      <c r="U23" s="1561">
        <f>H23</f>
        <v>100</v>
      </c>
      <c r="V23" s="1560" t="s">
        <v>8</v>
      </c>
      <c r="W23" s="1561">
        <f>J23</f>
        <v>100</v>
      </c>
      <c r="X23" s="1554"/>
      <c r="Y23" s="340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3"/>
      <c r="Q24" s="1559">
        <f t="shared" ref="Q24:Q36" si="11">B24</f>
        <v>111</v>
      </c>
      <c r="R24" s="1560" t="s">
        <v>8</v>
      </c>
      <c r="S24" s="1561">
        <f>F24</f>
        <v>100</v>
      </c>
      <c r="T24" s="1560" t="s">
        <v>8</v>
      </c>
      <c r="U24" s="1561">
        <f>H24</f>
        <v>100</v>
      </c>
      <c r="V24" s="1560" t="s">
        <v>8</v>
      </c>
      <c r="W24" s="1561">
        <f>J24</f>
        <v>100</v>
      </c>
      <c r="X24" s="1554"/>
      <c r="Y24" s="3403"/>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3"/>
      <c r="Q25" s="1147">
        <f t="shared" si="11"/>
        <v>111</v>
      </c>
      <c r="R25" s="1555" t="s">
        <v>8</v>
      </c>
      <c r="S25" s="1556">
        <f>F25</f>
        <v>100</v>
      </c>
      <c r="T25" s="1555" t="s">
        <v>8</v>
      </c>
      <c r="U25" s="1556">
        <f>H25</f>
        <v>100</v>
      </c>
      <c r="V25" s="1555" t="s">
        <v>8</v>
      </c>
      <c r="W25" s="1556">
        <f>J25</f>
        <v>100</v>
      </c>
      <c r="X25" s="1557"/>
      <c r="Y25" s="3403"/>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5"/>
      <c r="Q27" s="1591" t="str">
        <f t="shared" si="11"/>
        <v>项目停车位配比</v>
      </c>
      <c r="R27" s="1564" t="s">
        <v>8</v>
      </c>
      <c r="S27" s="1565">
        <f t="shared" si="12"/>
        <v>100</v>
      </c>
      <c r="T27" s="1564" t="s">
        <v>8</v>
      </c>
      <c r="U27" s="1565">
        <f t="shared" si="13"/>
        <v>100</v>
      </c>
      <c r="V27" s="1564" t="s">
        <v>8</v>
      </c>
      <c r="W27" s="1565">
        <f t="shared" si="14"/>
        <v>100</v>
      </c>
      <c r="X27" s="1566"/>
      <c r="Y27" s="340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5"/>
      <c r="Q28" s="1559" t="str">
        <f t="shared" si="11"/>
        <v>公共部分装修</v>
      </c>
      <c r="R28" s="1560" t="s">
        <v>8</v>
      </c>
      <c r="S28" s="1561">
        <f t="shared" si="12"/>
        <v>100</v>
      </c>
      <c r="T28" s="1560" t="s">
        <v>8</v>
      </c>
      <c r="U28" s="1561">
        <f t="shared" si="13"/>
        <v>100</v>
      </c>
      <c r="V28" s="1560" t="s">
        <v>8</v>
      </c>
      <c r="W28" s="1561">
        <f t="shared" si="14"/>
        <v>100</v>
      </c>
      <c r="X28" s="1554"/>
      <c r="Y28" s="340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5"/>
      <c r="Q29" s="1559" t="str">
        <f t="shared" si="11"/>
        <v>成新率</v>
      </c>
      <c r="R29" s="1560" t="s">
        <v>8</v>
      </c>
      <c r="S29" s="1561" t="e">
        <f t="shared" si="12"/>
        <v>#N/A</v>
      </c>
      <c r="T29" s="1560" t="s">
        <v>8</v>
      </c>
      <c r="U29" s="1561" t="e">
        <f t="shared" si="13"/>
        <v>#N/A</v>
      </c>
      <c r="V29" s="1560" t="s">
        <v>8</v>
      </c>
      <c r="W29" s="1561" t="e">
        <f t="shared" si="14"/>
        <v>#N/A</v>
      </c>
      <c r="X29" s="1554"/>
      <c r="Y29" s="340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5"/>
      <c r="Q30" s="1559" t="str">
        <f t="shared" si="11"/>
        <v>物业等级</v>
      </c>
      <c r="R30" s="1560" t="s">
        <v>8</v>
      </c>
      <c r="S30" s="1561">
        <f t="shared" si="12"/>
        <v>100</v>
      </c>
      <c r="T30" s="1560" t="s">
        <v>8</v>
      </c>
      <c r="U30" s="1561">
        <f t="shared" si="13"/>
        <v>100</v>
      </c>
      <c r="V30" s="1560" t="s">
        <v>8</v>
      </c>
      <c r="W30" s="1561">
        <f t="shared" si="14"/>
        <v>100</v>
      </c>
      <c r="X30" s="1554"/>
      <c r="Y30" s="340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5"/>
      <c r="Q31" s="1147" t="str">
        <f t="shared" si="11"/>
        <v>停车位面积</v>
      </c>
      <c r="R31" s="1555" t="s">
        <v>8</v>
      </c>
      <c r="S31" s="1556" t="e">
        <f t="shared" si="12"/>
        <v>#N/A</v>
      </c>
      <c r="T31" s="1555" t="s">
        <v>8</v>
      </c>
      <c r="U31" s="1556" t="e">
        <f t="shared" si="13"/>
        <v>#N/A</v>
      </c>
      <c r="V31" s="1555" t="s">
        <v>8</v>
      </c>
      <c r="W31" s="1556" t="e">
        <f t="shared" si="14"/>
        <v>#N/A</v>
      </c>
      <c r="X31" s="1557"/>
      <c r="Y31" s="340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5" t="s">
        <v>550</v>
      </c>
      <c r="Q32" s="1559" t="str">
        <f t="shared" si="11"/>
        <v>车位类型</v>
      </c>
      <c r="R32" s="1560" t="s">
        <v>8</v>
      </c>
      <c r="S32" s="1561">
        <f t="shared" si="12"/>
        <v>100</v>
      </c>
      <c r="T32" s="1560" t="s">
        <v>8</v>
      </c>
      <c r="U32" s="1561">
        <f t="shared" si="13"/>
        <v>100</v>
      </c>
      <c r="V32" s="1560" t="s">
        <v>8</v>
      </c>
      <c r="W32" s="1561">
        <f t="shared" si="14"/>
        <v>100</v>
      </c>
      <c r="X32" s="1554"/>
      <c r="Y32" s="340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5"/>
      <c r="Q33" s="1559" t="str">
        <f t="shared" si="11"/>
        <v>是否直接入户</v>
      </c>
      <c r="R33" s="1560" t="s">
        <v>8</v>
      </c>
      <c r="S33" s="1561">
        <f t="shared" si="12"/>
        <v>100</v>
      </c>
      <c r="T33" s="1560" t="s">
        <v>8</v>
      </c>
      <c r="U33" s="1561">
        <f t="shared" si="13"/>
        <v>100</v>
      </c>
      <c r="V33" s="1560" t="s">
        <v>8</v>
      </c>
      <c r="W33" s="1561">
        <f t="shared" si="14"/>
        <v>100</v>
      </c>
      <c r="X33" s="1554"/>
      <c r="Y33" s="340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5"/>
      <c r="Q34" s="1559">
        <f t="shared" si="11"/>
        <v>111</v>
      </c>
      <c r="R34" s="1560" t="s">
        <v>8</v>
      </c>
      <c r="S34" s="1561">
        <f t="shared" si="12"/>
        <v>100</v>
      </c>
      <c r="T34" s="1560" t="s">
        <v>8</v>
      </c>
      <c r="U34" s="1561">
        <f t="shared" si="13"/>
        <v>100</v>
      </c>
      <c r="V34" s="1560" t="s">
        <v>8</v>
      </c>
      <c r="W34" s="1561">
        <f t="shared" si="14"/>
        <v>100</v>
      </c>
      <c r="X34" s="1554"/>
      <c r="Y34" s="340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5"/>
      <c r="Q35" s="1591">
        <f t="shared" si="11"/>
        <v>111</v>
      </c>
      <c r="R35" s="1564" t="s">
        <v>8</v>
      </c>
      <c r="S35" s="1565">
        <f t="shared" si="12"/>
        <v>100</v>
      </c>
      <c r="T35" s="1564" t="s">
        <v>8</v>
      </c>
      <c r="U35" s="1565">
        <f t="shared" si="13"/>
        <v>100</v>
      </c>
      <c r="V35" s="1564" t="s">
        <v>8</v>
      </c>
      <c r="W35" s="1565">
        <f t="shared" si="14"/>
        <v>100</v>
      </c>
      <c r="X35" s="1566"/>
      <c r="Y35" s="340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5"/>
      <c r="Q36" s="1559">
        <f t="shared" si="11"/>
        <v>111</v>
      </c>
      <c r="R36" s="1560" t="s">
        <v>8</v>
      </c>
      <c r="S36" s="1561">
        <f t="shared" si="12"/>
        <v>100</v>
      </c>
      <c r="T36" s="1560" t="s">
        <v>8</v>
      </c>
      <c r="U36" s="1561">
        <f t="shared" si="13"/>
        <v>100</v>
      </c>
      <c r="V36" s="1560" t="s">
        <v>8</v>
      </c>
      <c r="W36" s="1561">
        <f t="shared" si="14"/>
        <v>100</v>
      </c>
      <c r="X36" s="1554"/>
      <c r="Y36" s="3405"/>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68" t="str">
        <f>A37</f>
        <v>成交单价</v>
      </c>
      <c r="Q37" s="3368"/>
      <c r="R37" s="3485">
        <f>E37</f>
        <v>0</v>
      </c>
      <c r="S37" s="3485"/>
      <c r="T37" s="3485">
        <f>G37</f>
        <v>0</v>
      </c>
      <c r="U37" s="3485"/>
      <c r="V37" s="3485">
        <f>I37</f>
        <v>0</v>
      </c>
      <c r="W37" s="3485"/>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68" t="str">
        <f>A38</f>
        <v>比较价格（元/平方米）</v>
      </c>
      <c r="Q38" s="3368"/>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46"/>
      <c r="Y38" s="1546"/>
      <c r="Z38" s="1546"/>
      <c r="AA38" s="1546"/>
      <c r="AB38" s="1546"/>
      <c r="AC38" s="1546"/>
    </row>
    <row r="39" spans="1:29" ht="15.75" thickBot="1">
      <c r="A39" s="621" t="s">
        <v>2933</v>
      </c>
      <c r="B39" s="622"/>
      <c r="C39" s="2601" t="e">
        <f>R39</f>
        <v>#DIV/0!</v>
      </c>
      <c r="D39" s="2601"/>
      <c r="E39" s="2601"/>
      <c r="F39" s="2601"/>
      <c r="G39" s="2601"/>
      <c r="H39" s="2601"/>
      <c r="I39" s="2601"/>
      <c r="J39" s="2601"/>
      <c r="K39" s="1599"/>
      <c r="L39" s="2130"/>
      <c r="M39" s="2131"/>
      <c r="N39" s="2131"/>
      <c r="O39" s="2131"/>
      <c r="P39" s="3365" t="str">
        <f>A39</f>
        <v>估价对象XX用房的比较价格（楼面单价，元/平方米）</v>
      </c>
      <c r="Q39" s="3366"/>
      <c r="R39" s="3484" t="e">
        <f>IF(F1="售价",ROUND(AVERAGE(R38:V38),0),ROUND(AVERAGE(R38:V38),1))</f>
        <v>#DIV/0!</v>
      </c>
      <c r="S39" s="3484"/>
      <c r="T39" s="3484"/>
      <c r="U39" s="3484"/>
      <c r="V39" s="3484"/>
      <c r="W39" s="348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120300.2平方米。根据《建设工程规划许可证》[]、《出让合同》[]，估价对象规划建筑面积为102255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2019年8月23日（评估专业人员勘察现场之日）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根据《国有土地使用证》[]，估价对象（分摊）出让国有建设用地使用权面积为120300.2平方米。根据《建设工程规划许可证》[]、《出让合同》[]，估价对象规划建筑面积为102255平方米。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4" t="s">
        <v>798</v>
      </c>
      <c r="D4" s="3375"/>
      <c r="E4" s="3408" t="s">
        <v>799</v>
      </c>
      <c r="F4" s="3409"/>
      <c r="G4" s="3374" t="s">
        <v>800</v>
      </c>
      <c r="H4" s="3375"/>
      <c r="I4" s="3374" t="s">
        <v>801</v>
      </c>
      <c r="J4" s="3375"/>
      <c r="K4" s="514" t="s">
        <v>802</v>
      </c>
      <c r="L4" s="2119"/>
      <c r="M4" s="2120"/>
      <c r="N4" s="2120"/>
      <c r="O4" s="2120"/>
      <c r="P4" s="3376" t="s">
        <v>803</v>
      </c>
      <c r="Q4" s="3377"/>
      <c r="R4" s="3382" t="s">
        <v>799</v>
      </c>
      <c r="S4" s="3383"/>
      <c r="T4" s="3382" t="s">
        <v>800</v>
      </c>
      <c r="U4" s="3383"/>
      <c r="V4" s="3369" t="s">
        <v>801</v>
      </c>
      <c r="W4" s="3369"/>
      <c r="X4" s="1554"/>
      <c r="Y4" s="3382" t="s">
        <v>803</v>
      </c>
      <c r="Z4" s="3383"/>
      <c r="AA4" s="3371" t="s">
        <v>799</v>
      </c>
      <c r="AB4" s="3372" t="s">
        <v>800</v>
      </c>
      <c r="AC4" s="3371" t="s">
        <v>801</v>
      </c>
    </row>
    <row r="5" spans="1:29" ht="15">
      <c r="A5" s="515"/>
      <c r="B5" s="516"/>
      <c r="C5" s="3390" t="s">
        <v>2927</v>
      </c>
      <c r="D5" s="3391"/>
      <c r="E5" s="3410" t="s">
        <v>2928</v>
      </c>
      <c r="F5" s="3411"/>
      <c r="G5" s="3390" t="s">
        <v>2929</v>
      </c>
      <c r="H5" s="3391"/>
      <c r="I5" s="3390" t="s">
        <v>2930</v>
      </c>
      <c r="J5" s="3391"/>
      <c r="K5" s="514"/>
      <c r="L5" s="2119"/>
      <c r="M5" s="2120"/>
      <c r="N5" s="2120"/>
      <c r="O5" s="2120"/>
      <c r="P5" s="3378"/>
      <c r="Q5" s="3379"/>
      <c r="R5" s="3384"/>
      <c r="S5" s="3385"/>
      <c r="T5" s="3384"/>
      <c r="U5" s="3385"/>
      <c r="V5" s="3369"/>
      <c r="W5" s="3369"/>
      <c r="X5" s="1554"/>
      <c r="Y5" s="3384"/>
      <c r="Z5" s="3385"/>
      <c r="AA5" s="3372"/>
      <c r="AB5" s="3372"/>
      <c r="AC5" s="3372"/>
    </row>
    <row r="6" spans="1:29" ht="15.75" thickBot="1">
      <c r="A6" s="517"/>
      <c r="B6" s="518"/>
      <c r="C6" s="3388" t="s">
        <v>2931</v>
      </c>
      <c r="D6" s="3389"/>
      <c r="E6" s="3406" t="s">
        <v>2931</v>
      </c>
      <c r="F6" s="3407"/>
      <c r="G6" s="3388" t="s">
        <v>2931</v>
      </c>
      <c r="H6" s="3389"/>
      <c r="I6" s="3388" t="s">
        <v>2931</v>
      </c>
      <c r="J6" s="3389"/>
      <c r="K6" s="514" t="s">
        <v>528</v>
      </c>
      <c r="L6" s="2119"/>
      <c r="M6" s="2120"/>
      <c r="N6" s="2120"/>
      <c r="O6" s="2120"/>
      <c r="P6" s="3380"/>
      <c r="Q6" s="3381"/>
      <c r="R6" s="3384"/>
      <c r="S6" s="3385"/>
      <c r="T6" s="3386"/>
      <c r="U6" s="3387"/>
      <c r="V6" s="3369"/>
      <c r="W6" s="3369"/>
      <c r="X6" s="1554"/>
      <c r="Y6" s="3386"/>
      <c r="Z6" s="3387"/>
      <c r="AA6" s="3373"/>
      <c r="AB6" s="3373"/>
      <c r="AC6" s="3373"/>
    </row>
    <row r="7" spans="1:29" s="1216" customFormat="1" ht="15.75" thickBot="1">
      <c r="A7" s="2868"/>
      <c r="B7" s="2875" t="s">
        <v>529</v>
      </c>
      <c r="C7" s="519">
        <f>'数据-取费表'!B2</f>
        <v>43700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9" t="s">
        <v>530</v>
      </c>
      <c r="Q7" s="3401"/>
      <c r="R7" s="1555" t="s">
        <v>8</v>
      </c>
      <c r="S7" s="1556">
        <f t="shared" ref="S7:S14" si="0">F7</f>
        <v>0</v>
      </c>
      <c r="T7" s="1555" t="s">
        <v>8</v>
      </c>
      <c r="U7" s="1556">
        <f t="shared" ref="U7:U14" si="1">H7</f>
        <v>0</v>
      </c>
      <c r="V7" s="1555" t="s">
        <v>8</v>
      </c>
      <c r="W7" s="1556">
        <f t="shared" ref="W7:W14" si="2">J7</f>
        <v>0</v>
      </c>
      <c r="X7" s="1557"/>
      <c r="Y7" s="3399" t="s">
        <v>530</v>
      </c>
      <c r="Z7" s="3400"/>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9" t="s">
        <v>533</v>
      </c>
      <c r="Q8" s="3400"/>
      <c r="R8" s="1555" t="s">
        <v>8</v>
      </c>
      <c r="S8" s="1556">
        <f t="shared" si="0"/>
        <v>0</v>
      </c>
      <c r="T8" s="1555" t="s">
        <v>8</v>
      </c>
      <c r="U8" s="1556">
        <f t="shared" si="1"/>
        <v>0</v>
      </c>
      <c r="V8" s="1555" t="s">
        <v>8</v>
      </c>
      <c r="W8" s="1556">
        <f t="shared" si="2"/>
        <v>0</v>
      </c>
      <c r="X8" s="1557"/>
      <c r="Y8" s="3399" t="s">
        <v>533</v>
      </c>
      <c r="Z8" s="3400"/>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8" t="s">
        <v>535</v>
      </c>
      <c r="Q9" s="1147" t="str">
        <f t="shared" ref="Q9:Q14" si="6">B9</f>
        <v>用途</v>
      </c>
      <c r="R9" s="1555" t="s">
        <v>8</v>
      </c>
      <c r="S9" s="1556">
        <f t="shared" si="0"/>
        <v>100</v>
      </c>
      <c r="T9" s="1555" t="s">
        <v>8</v>
      </c>
      <c r="U9" s="1556">
        <f t="shared" si="1"/>
        <v>100</v>
      </c>
      <c r="V9" s="1555" t="s">
        <v>8</v>
      </c>
      <c r="W9" s="1556">
        <f t="shared" si="2"/>
        <v>100</v>
      </c>
      <c r="X9" s="1557"/>
      <c r="Y9" s="3314"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8"/>
      <c r="Q10" s="1147" t="str">
        <f t="shared" si="6"/>
        <v>土地使用年限（年）</v>
      </c>
      <c r="R10" s="1555" t="s">
        <v>8</v>
      </c>
      <c r="S10" s="1556">
        <f t="shared" si="0"/>
        <v>100</v>
      </c>
      <c r="T10" s="1555" t="s">
        <v>8</v>
      </c>
      <c r="U10" s="1556">
        <f t="shared" si="1"/>
        <v>100</v>
      </c>
      <c r="V10" s="1555" t="s">
        <v>8</v>
      </c>
      <c r="W10" s="1556">
        <f t="shared" si="2"/>
        <v>100</v>
      </c>
      <c r="X10" s="1557"/>
      <c r="Y10" s="3314"/>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8"/>
      <c r="Q11" s="1147">
        <f t="shared" si="6"/>
        <v>111</v>
      </c>
      <c r="R11" s="1555" t="s">
        <v>8</v>
      </c>
      <c r="S11" s="1556">
        <f t="shared" si="0"/>
        <v>100</v>
      </c>
      <c r="T11" s="1555" t="s">
        <v>8</v>
      </c>
      <c r="U11" s="1556">
        <f t="shared" si="1"/>
        <v>100</v>
      </c>
      <c r="V11" s="1555" t="s">
        <v>8</v>
      </c>
      <c r="W11" s="1556">
        <f t="shared" si="2"/>
        <v>100</v>
      </c>
      <c r="X11" s="1557"/>
      <c r="Y11" s="3314"/>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8"/>
      <c r="Q12" s="1147">
        <f t="shared" si="6"/>
        <v>111</v>
      </c>
      <c r="R12" s="1555" t="s">
        <v>8</v>
      </c>
      <c r="S12" s="1556">
        <f t="shared" si="0"/>
        <v>100</v>
      </c>
      <c r="T12" s="1555" t="s">
        <v>8</v>
      </c>
      <c r="U12" s="1556">
        <f t="shared" si="1"/>
        <v>100</v>
      </c>
      <c r="V12" s="1555" t="s">
        <v>8</v>
      </c>
      <c r="W12" s="1556">
        <f t="shared" si="2"/>
        <v>100</v>
      </c>
      <c r="X12" s="1557"/>
      <c r="Y12" s="3314"/>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8"/>
      <c r="Q13" s="1147">
        <f t="shared" si="6"/>
        <v>111</v>
      </c>
      <c r="R13" s="1555" t="s">
        <v>8</v>
      </c>
      <c r="S13" s="1556">
        <f t="shared" si="0"/>
        <v>100</v>
      </c>
      <c r="T13" s="1555" t="s">
        <v>8</v>
      </c>
      <c r="U13" s="1556">
        <f t="shared" si="1"/>
        <v>100</v>
      </c>
      <c r="V13" s="1555" t="s">
        <v>8</v>
      </c>
      <c r="W13" s="1556">
        <f t="shared" si="2"/>
        <v>100</v>
      </c>
      <c r="X13" s="1557"/>
      <c r="Y13" s="3314"/>
      <c r="Z13" s="1146">
        <f t="shared" si="7"/>
        <v>111</v>
      </c>
      <c r="AA13" s="1558">
        <f t="shared" si="3"/>
        <v>1</v>
      </c>
      <c r="AB13" s="1558">
        <f t="shared" si="4"/>
        <v>1</v>
      </c>
      <c r="AC13" s="1558">
        <f t="shared" si="5"/>
        <v>1</v>
      </c>
    </row>
    <row r="14" spans="1:29" ht="15">
      <c r="A14" s="2866" t="s">
        <v>2754</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2" t="s">
        <v>540</v>
      </c>
      <c r="Q14" s="1559" t="str">
        <f t="shared" si="6"/>
        <v>交通便捷度</v>
      </c>
      <c r="R14" s="1560" t="s">
        <v>8</v>
      </c>
      <c r="S14" s="1561">
        <f t="shared" si="0"/>
        <v>100</v>
      </c>
      <c r="T14" s="1560" t="s">
        <v>8</v>
      </c>
      <c r="U14" s="1561">
        <f t="shared" si="1"/>
        <v>100</v>
      </c>
      <c r="V14" s="1560" t="s">
        <v>8</v>
      </c>
      <c r="W14" s="1561">
        <f t="shared" si="2"/>
        <v>100</v>
      </c>
      <c r="X14" s="1554"/>
      <c r="Y14" s="340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3"/>
      <c r="Q15" s="1559"/>
      <c r="R15" s="1560"/>
      <c r="S15" s="1561"/>
      <c r="T15" s="1560"/>
      <c r="U15" s="1561"/>
      <c r="V15" s="1560"/>
      <c r="W15" s="1561"/>
      <c r="X15" s="1554"/>
      <c r="Y15" s="3403"/>
      <c r="Z15" s="1562"/>
      <c r="AA15" s="1563">
        <v>1</v>
      </c>
      <c r="AB15" s="1563">
        <v>1</v>
      </c>
      <c r="AC15" s="1563">
        <v>1</v>
      </c>
    </row>
    <row r="16" spans="1:29" ht="15">
      <c r="A16" s="532"/>
      <c r="B16" s="2568" t="s">
        <v>2546</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3"/>
      <c r="Q16" s="1559" t="str">
        <f>B16</f>
        <v>公共配套设施</v>
      </c>
      <c r="R16" s="1560" t="s">
        <v>8</v>
      </c>
      <c r="S16" s="1561">
        <f>F16</f>
        <v>100</v>
      </c>
      <c r="T16" s="1560" t="s">
        <v>8</v>
      </c>
      <c r="U16" s="1561">
        <f>H16</f>
        <v>100</v>
      </c>
      <c r="V16" s="1560" t="s">
        <v>8</v>
      </c>
      <c r="W16" s="1561">
        <f>J16</f>
        <v>100</v>
      </c>
      <c r="X16" s="1554"/>
      <c r="Y16" s="340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3"/>
      <c r="Q17" s="1559"/>
      <c r="R17" s="1560"/>
      <c r="S17" s="1561"/>
      <c r="T17" s="1560"/>
      <c r="U17" s="1561"/>
      <c r="V17" s="1560"/>
      <c r="W17" s="1561"/>
      <c r="X17" s="1554"/>
      <c r="Y17" s="3403"/>
      <c r="Z17" s="1562"/>
      <c r="AA17" s="1563">
        <v>1</v>
      </c>
      <c r="AB17" s="1563">
        <v>1</v>
      </c>
      <c r="AC17" s="1563">
        <v>1</v>
      </c>
    </row>
    <row r="18" spans="1:29" ht="15">
      <c r="A18" s="532"/>
      <c r="B18" s="2556" t="s">
        <v>2558</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3"/>
      <c r="Q18" s="2544" t="str">
        <f>B18</f>
        <v>基础设施水平</v>
      </c>
      <c r="R18" s="1560" t="s">
        <v>8</v>
      </c>
      <c r="S18" s="1561">
        <f>F18</f>
        <v>100</v>
      </c>
      <c r="T18" s="1560" t="s">
        <v>8</v>
      </c>
      <c r="U18" s="1561">
        <f>H18</f>
        <v>100</v>
      </c>
      <c r="V18" s="1560" t="s">
        <v>8</v>
      </c>
      <c r="W18" s="1561">
        <f>J18</f>
        <v>100</v>
      </c>
      <c r="X18" s="2546"/>
      <c r="Y18" s="3403"/>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3"/>
      <c r="Q19" s="2544"/>
      <c r="R19" s="1560"/>
      <c r="S19" s="1561"/>
      <c r="T19" s="1560"/>
      <c r="U19" s="1561"/>
      <c r="V19" s="1560"/>
      <c r="W19" s="1561"/>
      <c r="X19" s="2546"/>
      <c r="Y19" s="3403"/>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3"/>
      <c r="Q20" s="1559" t="str">
        <f>B20</f>
        <v>自然及人文环境</v>
      </c>
      <c r="R20" s="1560" t="s">
        <v>8</v>
      </c>
      <c r="S20" s="1561">
        <f>F20</f>
        <v>100</v>
      </c>
      <c r="T20" s="1560" t="s">
        <v>8</v>
      </c>
      <c r="U20" s="1561">
        <f>H20</f>
        <v>100</v>
      </c>
      <c r="V20" s="1560" t="s">
        <v>8</v>
      </c>
      <c r="W20" s="1561">
        <f>J20</f>
        <v>100</v>
      </c>
      <c r="X20" s="1554"/>
      <c r="Y20" s="340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3"/>
      <c r="Q21" s="1559"/>
      <c r="R21" s="1560"/>
      <c r="S21" s="1561"/>
      <c r="T21" s="1560"/>
      <c r="U21" s="1561"/>
      <c r="V21" s="1560"/>
      <c r="W21" s="1561"/>
      <c r="X21" s="1554"/>
      <c r="Y21" s="340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3"/>
      <c r="Q22" s="1559" t="str">
        <f>B22</f>
        <v>楼层</v>
      </c>
      <c r="R22" s="1560" t="s">
        <v>8</v>
      </c>
      <c r="S22" s="1561">
        <f>F22</f>
        <v>100</v>
      </c>
      <c r="T22" s="1560" t="s">
        <v>8</v>
      </c>
      <c r="U22" s="1561">
        <f>H22</f>
        <v>100</v>
      </c>
      <c r="V22" s="1560" t="s">
        <v>8</v>
      </c>
      <c r="W22" s="1561">
        <f>J22</f>
        <v>100</v>
      </c>
      <c r="X22" s="1554"/>
      <c r="Y22" s="340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3"/>
      <c r="Q23" s="1559">
        <f>B23</f>
        <v>111</v>
      </c>
      <c r="R23" s="1560" t="s">
        <v>8</v>
      </c>
      <c r="S23" s="1561">
        <f>F23</f>
        <v>100</v>
      </c>
      <c r="T23" s="1560" t="s">
        <v>8</v>
      </c>
      <c r="U23" s="1561">
        <f>H23</f>
        <v>100</v>
      </c>
      <c r="V23" s="1560" t="s">
        <v>8</v>
      </c>
      <c r="W23" s="1561">
        <f>J23</f>
        <v>100</v>
      </c>
      <c r="X23" s="1554"/>
      <c r="Y23" s="340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3"/>
      <c r="Q24" s="1559">
        <f t="shared" ref="Q24:Q34" si="11">B24</f>
        <v>111</v>
      </c>
      <c r="R24" s="1560" t="s">
        <v>8</v>
      </c>
      <c r="S24" s="1561">
        <f>F24</f>
        <v>100</v>
      </c>
      <c r="T24" s="1560" t="s">
        <v>8</v>
      </c>
      <c r="U24" s="1561">
        <f>H24</f>
        <v>100</v>
      </c>
      <c r="V24" s="1560" t="s">
        <v>8</v>
      </c>
      <c r="W24" s="1561">
        <f>J24</f>
        <v>100</v>
      </c>
      <c r="X24" s="1554"/>
      <c r="Y24" s="3403"/>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3"/>
      <c r="Q25" s="1147">
        <f t="shared" si="11"/>
        <v>111</v>
      </c>
      <c r="R25" s="1555" t="s">
        <v>8</v>
      </c>
      <c r="S25" s="1556">
        <f>F25</f>
        <v>100</v>
      </c>
      <c r="T25" s="1555" t="s">
        <v>8</v>
      </c>
      <c r="U25" s="1556">
        <f>H25</f>
        <v>100</v>
      </c>
      <c r="V25" s="1555" t="s">
        <v>8</v>
      </c>
      <c r="W25" s="1556">
        <f>J25</f>
        <v>100</v>
      </c>
      <c r="X25" s="1557"/>
      <c r="Y25" s="3403"/>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5"/>
      <c r="Q27" s="1591" t="str">
        <f t="shared" si="11"/>
        <v>成新率</v>
      </c>
      <c r="R27" s="1564" t="s">
        <v>8</v>
      </c>
      <c r="S27" s="1565" t="e">
        <f t="shared" si="12"/>
        <v>#N/A</v>
      </c>
      <c r="T27" s="1564" t="s">
        <v>8</v>
      </c>
      <c r="U27" s="1565" t="e">
        <f t="shared" si="13"/>
        <v>#N/A</v>
      </c>
      <c r="V27" s="1564" t="s">
        <v>8</v>
      </c>
      <c r="W27" s="1565" t="e">
        <f t="shared" si="14"/>
        <v>#N/A</v>
      </c>
      <c r="X27" s="1566"/>
      <c r="Y27" s="340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5"/>
      <c r="Q28" s="1559" t="str">
        <f t="shared" si="11"/>
        <v>物业等级</v>
      </c>
      <c r="R28" s="1560" t="s">
        <v>8</v>
      </c>
      <c r="S28" s="1561">
        <f t="shared" si="12"/>
        <v>100</v>
      </c>
      <c r="T28" s="1560" t="s">
        <v>8</v>
      </c>
      <c r="U28" s="1561">
        <f t="shared" si="13"/>
        <v>100</v>
      </c>
      <c r="V28" s="1560" t="s">
        <v>8</v>
      </c>
      <c r="W28" s="1561">
        <f t="shared" si="14"/>
        <v>100</v>
      </c>
      <c r="X28" s="1554"/>
      <c r="Y28" s="340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5"/>
      <c r="Q29" s="1559" t="str">
        <f t="shared" si="11"/>
        <v>有无电梯</v>
      </c>
      <c r="R29" s="1560" t="s">
        <v>8</v>
      </c>
      <c r="S29" s="1561">
        <f t="shared" si="12"/>
        <v>100</v>
      </c>
      <c r="T29" s="1560" t="s">
        <v>8</v>
      </c>
      <c r="U29" s="1561">
        <f t="shared" si="13"/>
        <v>100</v>
      </c>
      <c r="V29" s="1560" t="s">
        <v>8</v>
      </c>
      <c r="W29" s="1561">
        <f t="shared" si="14"/>
        <v>100</v>
      </c>
      <c r="X29" s="1554"/>
      <c r="Y29" s="340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5"/>
      <c r="Q30" s="1559" t="str">
        <f t="shared" si="11"/>
        <v>建筑面积</v>
      </c>
      <c r="R30" s="1560" t="s">
        <v>8</v>
      </c>
      <c r="S30" s="1561" t="e">
        <f t="shared" si="12"/>
        <v>#N/A</v>
      </c>
      <c r="T30" s="1560" t="s">
        <v>8</v>
      </c>
      <c r="U30" s="1561" t="e">
        <f t="shared" si="13"/>
        <v>#N/A</v>
      </c>
      <c r="V30" s="1560" t="s">
        <v>8</v>
      </c>
      <c r="W30" s="1561" t="e">
        <f t="shared" si="14"/>
        <v>#N/A</v>
      </c>
      <c r="X30" s="1554"/>
      <c r="Y30" s="340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5"/>
      <c r="Q31" s="1147" t="str">
        <f t="shared" si="11"/>
        <v>是否封闭</v>
      </c>
      <c r="R31" s="1555" t="s">
        <v>8</v>
      </c>
      <c r="S31" s="1556">
        <f t="shared" si="12"/>
        <v>100</v>
      </c>
      <c r="T31" s="1555" t="s">
        <v>8</v>
      </c>
      <c r="U31" s="1556">
        <f t="shared" si="13"/>
        <v>100</v>
      </c>
      <c r="V31" s="1555" t="s">
        <v>8</v>
      </c>
      <c r="W31" s="1556">
        <f t="shared" si="14"/>
        <v>100</v>
      </c>
      <c r="X31" s="1557"/>
      <c r="Y31" s="340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5" t="s">
        <v>550</v>
      </c>
      <c r="Q32" s="1559">
        <f t="shared" si="11"/>
        <v>111</v>
      </c>
      <c r="R32" s="1560" t="s">
        <v>8</v>
      </c>
      <c r="S32" s="1561">
        <f t="shared" si="12"/>
        <v>100</v>
      </c>
      <c r="T32" s="1560" t="s">
        <v>8</v>
      </c>
      <c r="U32" s="1561">
        <f t="shared" si="13"/>
        <v>100</v>
      </c>
      <c r="V32" s="1560" t="s">
        <v>8</v>
      </c>
      <c r="W32" s="1561">
        <f t="shared" si="14"/>
        <v>100</v>
      </c>
      <c r="X32" s="1554"/>
      <c r="Y32" s="340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5"/>
      <c r="Q33" s="1559">
        <f t="shared" si="11"/>
        <v>111</v>
      </c>
      <c r="R33" s="1560" t="s">
        <v>8</v>
      </c>
      <c r="S33" s="1561">
        <f t="shared" si="12"/>
        <v>100</v>
      </c>
      <c r="T33" s="1560" t="s">
        <v>8</v>
      </c>
      <c r="U33" s="1561">
        <f t="shared" si="13"/>
        <v>100</v>
      </c>
      <c r="V33" s="1560" t="s">
        <v>8</v>
      </c>
      <c r="W33" s="1561">
        <f t="shared" si="14"/>
        <v>100</v>
      </c>
      <c r="X33" s="1554"/>
      <c r="Y33" s="340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5"/>
      <c r="Q34" s="1559">
        <f t="shared" si="11"/>
        <v>111</v>
      </c>
      <c r="R34" s="1560" t="s">
        <v>8</v>
      </c>
      <c r="S34" s="1561">
        <f t="shared" si="12"/>
        <v>100</v>
      </c>
      <c r="T34" s="1560" t="s">
        <v>8</v>
      </c>
      <c r="U34" s="1561">
        <f t="shared" si="13"/>
        <v>100</v>
      </c>
      <c r="V34" s="1560" t="s">
        <v>8</v>
      </c>
      <c r="W34" s="1561">
        <f t="shared" si="14"/>
        <v>100</v>
      </c>
      <c r="X34" s="1554"/>
      <c r="Y34" s="3405"/>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8" t="str">
        <f>A35</f>
        <v>成交单价（元/平方米）</v>
      </c>
      <c r="Q35" s="3368"/>
      <c r="R35" s="3485">
        <f>E35</f>
        <v>0</v>
      </c>
      <c r="S35" s="3485"/>
      <c r="T35" s="3485">
        <f>G35</f>
        <v>0</v>
      </c>
      <c r="U35" s="3485"/>
      <c r="V35" s="3485">
        <f>I35</f>
        <v>0</v>
      </c>
      <c r="W35" s="3485"/>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68" t="str">
        <f>A36</f>
        <v>比较价格（元/平方米）</v>
      </c>
      <c r="Q36" s="3368"/>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46"/>
      <c r="Y36" s="1546"/>
      <c r="Z36" s="1546"/>
      <c r="AA36" s="1546"/>
      <c r="AB36" s="1546"/>
      <c r="AC36" s="1546"/>
    </row>
    <row r="37" spans="1:29" ht="15.75" thickBot="1">
      <c r="A37" s="621" t="s">
        <v>2933</v>
      </c>
      <c r="B37" s="622"/>
      <c r="C37" s="2601" t="e">
        <f>R37</f>
        <v>#DIV/0!</v>
      </c>
      <c r="D37" s="2601"/>
      <c r="E37" s="2601"/>
      <c r="F37" s="2601"/>
      <c r="G37" s="2601"/>
      <c r="H37" s="2601"/>
      <c r="I37" s="2601"/>
      <c r="J37" s="2601"/>
      <c r="K37" s="1599"/>
      <c r="L37" s="2130"/>
      <c r="M37" s="2131"/>
      <c r="N37" s="2131"/>
      <c r="O37" s="2131"/>
      <c r="P37" s="3365" t="str">
        <f>A37</f>
        <v>估价对象XX用房的比较价格（楼面单价，元/平方米）</v>
      </c>
      <c r="Q37" s="3366"/>
      <c r="R37" s="3484" t="e">
        <f>IF(F1="售价",ROUND(AVERAGE(R36:V36),0),ROUND(AVERAGE(R36:V36),1))</f>
        <v>#DIV/0!</v>
      </c>
      <c r="S37" s="3484"/>
      <c r="T37" s="3484"/>
      <c r="U37" s="3484"/>
      <c r="V37" s="3484"/>
      <c r="W37" s="348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4" t="s">
        <v>2304</v>
      </c>
      <c r="D1" s="3495"/>
      <c r="E1" s="3495"/>
      <c r="F1" s="3495"/>
      <c r="G1" s="3495"/>
      <c r="H1" s="3495"/>
      <c r="I1" s="3495"/>
      <c r="J1" s="3495"/>
      <c r="K1" s="3495"/>
      <c r="L1" s="3495"/>
      <c r="M1" s="3495"/>
      <c r="N1" s="3495"/>
      <c r="O1" s="3495"/>
      <c r="P1" s="3495"/>
      <c r="Q1" s="3495"/>
      <c r="R1" s="3495"/>
      <c r="S1" s="3496"/>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2926</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2925</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2924</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2937</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0" t="s">
        <v>2923</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2922</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91" t="s">
        <v>20</v>
      </c>
      <c r="D22" s="3492"/>
      <c r="E22" s="3492"/>
      <c r="F22" s="3492"/>
      <c r="G22" s="3492"/>
      <c r="H22" s="3492"/>
      <c r="I22" s="3492"/>
      <c r="J22" s="3492"/>
      <c r="K22" s="3492"/>
      <c r="L22" s="3492"/>
      <c r="M22" s="3492"/>
      <c r="N22" s="3492"/>
      <c r="O22" s="3492"/>
      <c r="P22" s="3492"/>
      <c r="Q22" s="3493"/>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43700</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2038</v>
      </c>
      <c r="B1" s="3204"/>
      <c r="C1" s="3204"/>
      <c r="D1" s="3204"/>
      <c r="E1" s="3204"/>
      <c r="F1" s="3204"/>
      <c r="G1" s="3204"/>
      <c r="H1" s="3204"/>
      <c r="I1" s="3204"/>
      <c r="J1" s="3204"/>
      <c r="K1" s="3204"/>
      <c r="L1" s="3204"/>
      <c r="M1" s="3204"/>
      <c r="N1" s="3204"/>
      <c r="O1" s="3204"/>
      <c r="P1" s="3204"/>
      <c r="Q1" s="3204"/>
      <c r="R1" s="3204"/>
    </row>
    <row r="2" spans="1:18">
      <c r="A2" s="1793" t="s">
        <v>2040</v>
      </c>
      <c r="B2" s="1793"/>
      <c r="C2" s="1793"/>
      <c r="D2" s="1793"/>
      <c r="E2" s="1793"/>
      <c r="F2" s="1793"/>
      <c r="G2" s="1793"/>
      <c r="H2" s="1793"/>
      <c r="I2" s="1794"/>
      <c r="J2" s="1794"/>
      <c r="K2" s="1795" t="str">
        <f>"估价期日："&amp;TEXT(项目基本情况!D3,"yyyy年m月d日;;")</f>
        <v>估价期日：2019年8月23日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5" t="s">
        <v>2029</v>
      </c>
      <c r="B3" s="3205" t="s">
        <v>2731</v>
      </c>
      <c r="C3" s="3206" t="s">
        <v>2030</v>
      </c>
      <c r="D3" s="3205" t="s">
        <v>2735</v>
      </c>
      <c r="E3" s="3208" t="s">
        <v>2031</v>
      </c>
      <c r="F3" s="3208"/>
      <c r="G3" s="3208"/>
      <c r="H3" s="3208" t="s">
        <v>2032</v>
      </c>
      <c r="I3" s="3208"/>
      <c r="J3" s="3208"/>
      <c r="K3" s="3206" t="s">
        <v>2033</v>
      </c>
      <c r="L3" s="3206" t="s">
        <v>2034</v>
      </c>
      <c r="M3" s="3205" t="s">
        <v>2732</v>
      </c>
      <c r="N3" s="3207" t="str">
        <f>"（分摊）"&amp;项目基本情况!B16&amp;"国有建设用地使用权面积/㎡"</f>
        <v>（分摊）出让国有建设用地使用权面积/㎡</v>
      </c>
      <c r="O3" s="3205" t="s">
        <v>2063</v>
      </c>
      <c r="P3" s="3206" t="s">
        <v>2043</v>
      </c>
      <c r="Q3" s="3206" t="s">
        <v>2064</v>
      </c>
      <c r="R3" s="3206" t="s">
        <v>2035</v>
      </c>
    </row>
    <row r="4" spans="1:18" ht="36.75" customHeight="1">
      <c r="A4" s="3205"/>
      <c r="B4" s="3205"/>
      <c r="C4" s="3206"/>
      <c r="D4" s="3205"/>
      <c r="E4" s="2614" t="s">
        <v>2042</v>
      </c>
      <c r="F4" s="2614" t="s">
        <v>2744</v>
      </c>
      <c r="G4" s="2614" t="s">
        <v>2036</v>
      </c>
      <c r="H4" s="2614" t="s">
        <v>2037</v>
      </c>
      <c r="I4" s="2614" t="s">
        <v>2745</v>
      </c>
      <c r="J4" s="2614" t="s">
        <v>2036</v>
      </c>
      <c r="K4" s="3206"/>
      <c r="L4" s="3206"/>
      <c r="M4" s="3205"/>
      <c r="N4" s="3207"/>
      <c r="O4" s="3205"/>
      <c r="P4" s="3206"/>
      <c r="Q4" s="3206"/>
      <c r="R4" s="3206"/>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120300.2</v>
      </c>
      <c r="O5" s="1796">
        <f>项目基本情况!C21</f>
        <v>102255</v>
      </c>
      <c r="P5" s="1796">
        <f ca="1">结果表!E42</f>
        <v>1581</v>
      </c>
      <c r="Q5" s="1796">
        <f ca="1">结果表!D42</f>
        <v>1860</v>
      </c>
      <c r="R5" s="1797">
        <f ca="1">结果表!C42</f>
        <v>19024</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8" t="str">
        <f>结果表!O39</f>
        <v>——</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8" t="str">
        <f>结果表!O40</f>
        <v>——</v>
      </c>
    </row>
    <row r="8" spans="1:18">
      <c r="A8" s="3201">
        <f>IF(项目基本情况!B9="市场价格","——",项目基本情况!E9)</f>
        <v>0</v>
      </c>
      <c r="B8" s="3202"/>
      <c r="C8" s="3202"/>
      <c r="D8" s="3202"/>
      <c r="E8" s="3202"/>
      <c r="F8" s="3202"/>
      <c r="G8" s="3202"/>
      <c r="H8" s="3202"/>
      <c r="I8" s="3202"/>
      <c r="J8" s="3202"/>
      <c r="K8" s="3202"/>
      <c r="L8" s="3202"/>
      <c r="M8" s="3202"/>
      <c r="N8" s="3202"/>
      <c r="O8" s="3202"/>
      <c r="P8" s="3202"/>
      <c r="Q8" s="3203"/>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0" t="s">
        <v>2065</v>
      </c>
      <c r="B1" s="3210"/>
      <c r="C1" s="3210"/>
      <c r="D1" s="3210"/>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09" t="s">
        <v>2066</v>
      </c>
      <c r="B5" s="3209"/>
      <c r="C5" s="3209"/>
      <c r="D5" s="3209"/>
    </row>
    <row r="6" spans="1:4">
      <c r="A6" s="3210" t="s">
        <v>2044</v>
      </c>
      <c r="B6" s="3210"/>
      <c r="C6" s="3210"/>
      <c r="D6" s="3210"/>
    </row>
    <row r="7" spans="1:4" ht="33" customHeight="1">
      <c r="A7" s="3210" t="s">
        <v>2575</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09" t="s">
        <v>2068</v>
      </c>
      <c r="B12" s="3209"/>
      <c r="C12" s="3209"/>
      <c r="D12" s="3209"/>
    </row>
    <row r="13" spans="1:4">
      <c r="A13" s="3213" t="s">
        <v>2746</v>
      </c>
      <c r="B13" s="3213"/>
      <c r="C13" s="3213"/>
      <c r="D13" s="3213"/>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2702</v>
      </c>
      <c r="B17" s="3210"/>
      <c r="C17" s="3210"/>
      <c r="D17" s="3210"/>
    </row>
    <row r="18" spans="1:4">
      <c r="A18" s="3210" t="s">
        <v>2694</v>
      </c>
      <c r="B18" s="3210"/>
      <c r="C18" s="3210"/>
      <c r="D18" s="3210"/>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10" t="s">
        <v>2699</v>
      </c>
      <c r="B23" s="3210"/>
      <c r="C23" s="3210"/>
      <c r="D23" s="3210"/>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1" t="s">
        <v>53</v>
      </c>
      <c r="B15" s="3222" t="s">
        <v>846</v>
      </c>
      <c r="C15" s="3218"/>
    </row>
    <row r="16" spans="1:7" ht="14.25">
      <c r="A16" s="3221"/>
      <c r="B16" s="3219" t="s">
        <v>54</v>
      </c>
      <c r="C16" s="1168" t="s">
        <v>53</v>
      </c>
    </row>
    <row r="17" spans="1:3" ht="14.25">
      <c r="A17" s="3221"/>
      <c r="B17" s="3219"/>
      <c r="C17" s="1168" t="s">
        <v>55</v>
      </c>
    </row>
    <row r="18" spans="1:3" ht="14.25">
      <c r="A18" s="3221"/>
      <c r="B18" s="3219"/>
      <c r="C18" s="1168" t="s">
        <v>56</v>
      </c>
    </row>
    <row r="19" spans="1:3" ht="14.25">
      <c r="A19" s="3221"/>
      <c r="B19" s="3217" t="s">
        <v>57</v>
      </c>
      <c r="C19" s="3218"/>
    </row>
    <row r="20" spans="1:3" ht="14.25">
      <c r="A20" s="1169" t="s">
        <v>58</v>
      </c>
      <c r="B20" s="1170"/>
      <c r="C20" s="1171"/>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2" t="s">
        <v>837</v>
      </c>
    </row>
    <row r="25" spans="1:3" ht="14.25">
      <c r="A25" s="3220"/>
      <c r="B25" s="3224"/>
      <c r="C25" s="1172" t="s">
        <v>838</v>
      </c>
    </row>
    <row r="26" spans="1:3" ht="14.25">
      <c r="A26" s="3220"/>
      <c r="B26" s="3224"/>
      <c r="C26" s="1172" t="s">
        <v>839</v>
      </c>
    </row>
    <row r="27" spans="1:3" ht="14.25">
      <c r="A27" s="3220"/>
      <c r="B27" s="3224"/>
      <c r="C27" s="1172" t="s">
        <v>840</v>
      </c>
    </row>
    <row r="28" spans="1:3" ht="14.25">
      <c r="A28" s="3220"/>
      <c r="B28" s="3224"/>
      <c r="C28" s="1172" t="s">
        <v>841</v>
      </c>
    </row>
    <row r="29" spans="1:3" ht="14.25">
      <c r="A29" s="3220"/>
      <c r="B29" s="3224"/>
      <c r="C29" s="1172" t="s">
        <v>842</v>
      </c>
    </row>
    <row r="30" spans="1:3" ht="14.25">
      <c r="A30" s="3220"/>
      <c r="B30" s="3224"/>
      <c r="C30" s="1172" t="s">
        <v>843</v>
      </c>
    </row>
    <row r="31" spans="1:3" ht="14.25">
      <c r="A31" s="3220"/>
      <c r="B31" s="3224"/>
      <c r="C31" s="1172" t="s">
        <v>844</v>
      </c>
    </row>
    <row r="32" spans="1:3" ht="14.25">
      <c r="A32" s="3220"/>
      <c r="B32" s="3224"/>
      <c r="C32" s="1172" t="s">
        <v>1646</v>
      </c>
    </row>
    <row r="33" spans="1:3" ht="14.25">
      <c r="A33" s="3220"/>
      <c r="B33" s="3214" t="s">
        <v>1652</v>
      </c>
      <c r="C33" s="1172" t="s">
        <v>1647</v>
      </c>
    </row>
    <row r="34" spans="1:3" ht="14.25">
      <c r="A34" s="3220"/>
      <c r="B34" s="3215"/>
      <c r="C34" s="1177" t="s">
        <v>1648</v>
      </c>
    </row>
    <row r="35" spans="1:3" ht="14.25">
      <c r="A35" s="3220"/>
      <c r="B35" s="3215"/>
      <c r="C35" s="1178" t="s">
        <v>1649</v>
      </c>
    </row>
    <row r="36" spans="1:3" ht="14.25">
      <c r="A36" s="3220"/>
      <c r="B36" s="3215"/>
      <c r="C36" s="1178" t="s">
        <v>1650</v>
      </c>
    </row>
    <row r="37" spans="1:3" ht="14.25">
      <c r="A37" s="3220"/>
      <c r="B37" s="321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43703</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2574</v>
      </c>
      <c r="B15" s="3130">
        <f ca="1">IF(C15&lt;B2,"已过期",1120070085)</f>
        <v>1120070085</v>
      </c>
      <c r="C15" s="3134">
        <v>43814</v>
      </c>
      <c r="D15" s="3130" t="s">
        <v>2980</v>
      </c>
      <c r="E15" s="3130">
        <f ca="1">IF(F15&lt;B2,"已过期",2004110128)</f>
        <v>2004110128</v>
      </c>
      <c r="F15" s="3136">
        <v>47118</v>
      </c>
    </row>
    <row r="16" spans="1:6" ht="20.25" customHeight="1">
      <c r="A16" s="3130" t="s">
        <v>1923</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25" t="s">
        <v>1926</v>
      </c>
      <c r="B25" s="3225"/>
      <c r="C25" s="3225"/>
      <c r="D25" s="3225"/>
      <c r="E25" s="3225"/>
      <c r="F25" s="3225"/>
      <c r="G25" s="3225"/>
    </row>
    <row r="26" spans="1:7" ht="20.25" customHeight="1">
      <c r="A26" s="3226" t="s">
        <v>1927</v>
      </c>
      <c r="B26" s="3226"/>
      <c r="C26" s="3226"/>
      <c r="D26" s="3226" t="s">
        <v>1928</v>
      </c>
      <c r="E26" s="3226"/>
      <c r="F26" s="3226"/>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3" t="s">
        <v>2952</v>
      </c>
      <c r="C18" s="1541"/>
    </row>
    <row r="19" spans="1:3">
      <c r="A19" s="8" t="s">
        <v>120</v>
      </c>
      <c r="B19" s="3063" t="s">
        <v>2960</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7"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c r="D53" s="1753"/>
      <c r="E53" s="1753"/>
    </row>
    <row r="54" spans="1:5">
      <c r="A54" s="3227"/>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7"/>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7"/>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7"/>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信息</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2019-08-26T01:47:01Z</dcterms:modified>
</cp:coreProperties>
</file>