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Sheet1" sheetId="80"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4" l="1"/>
  <c r="H10" i="74" l="1"/>
  <c r="I11" i="74" s="1"/>
  <c r="D14" i="74" l="1"/>
  <c r="I47" i="33" l="1"/>
  <c r="G47" i="33"/>
  <c r="I36" i="33" l="1"/>
  <c r="G36" i="33"/>
  <c r="E36" i="33"/>
  <c r="D4" i="31"/>
  <c r="E4" i="31" s="1"/>
  <c r="F4" i="31" s="1"/>
  <c r="E104" i="33"/>
  <c r="F104" i="33"/>
  <c r="D104" i="33"/>
  <c r="G22" i="4"/>
  <c r="J49" i="67"/>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2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24" i="31"/>
  <c r="Y6" i="1"/>
  <c r="N6" i="1"/>
  <c r="N18" i="1"/>
  <c r="F19" i="6" l="1"/>
  <c r="D3" i="4"/>
  <c r="C33" i="33" l="1"/>
  <c r="AB28" i="79"/>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4" i="73" l="1"/>
  <c r="F14" i="73"/>
  <c r="E14" i="73"/>
  <c r="E7" i="1" l="1"/>
  <c r="E8" i="1"/>
  <c r="E9" i="1"/>
  <c r="E10" i="1"/>
  <c r="E11" i="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U28" i="79" s="1"/>
  <c r="M29" i="79"/>
  <c r="L29" i="79"/>
  <c r="S28" i="79" s="1"/>
  <c r="I29" i="79"/>
  <c r="AD29" i="79" s="1"/>
  <c r="U26" i="79"/>
  <c r="T26" i="79"/>
  <c r="W26" i="79" s="1"/>
  <c r="N26" i="79"/>
  <c r="M26" i="79"/>
  <c r="P26" i="79" s="1"/>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N12" i="79"/>
  <c r="M12" i="79"/>
  <c r="L12" i="79"/>
  <c r="K12" i="79"/>
  <c r="I12" i="79"/>
  <c r="AC6" i="79"/>
  <c r="AC3" i="79" s="1"/>
  <c r="AB6" i="79"/>
  <c r="AB3" i="79" s="1"/>
  <c r="AA6" i="79"/>
  <c r="AD6" i="79" s="1"/>
  <c r="Z6" i="79"/>
  <c r="Z3" i="79" s="1"/>
  <c r="Y6" i="79"/>
  <c r="Y3" i="79" s="1"/>
  <c r="O6" i="79"/>
  <c r="N6" i="79"/>
  <c r="U5" i="79" s="1"/>
  <c r="M6" i="79"/>
  <c r="L6" i="79"/>
  <c r="L3" i="79" s="1"/>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V3" i="79" l="1"/>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W34" i="79" s="1"/>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3"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U21" i="33" s="1"/>
  <c r="F21" i="33"/>
  <c r="S21" i="33" s="1"/>
  <c r="E83" i="21"/>
  <c r="S21" i="21"/>
  <c r="H1" i="69"/>
  <c r="AC25" i="40"/>
  <c r="W25" i="40"/>
  <c r="AB25" i="40"/>
  <c r="U25" i="40"/>
  <c r="U29" i="39"/>
  <c r="W29" i="39"/>
  <c r="AC18" i="36"/>
  <c r="W18" i="36"/>
  <c r="AB21" i="37"/>
  <c r="U21" i="37"/>
  <c r="AA21" i="37"/>
  <c r="S21" i="37"/>
  <c r="AB21" i="34"/>
  <c r="U21" i="34"/>
  <c r="AA21" i="33"/>
  <c r="AB18" i="35"/>
  <c r="U18" i="35"/>
  <c r="AC18" i="35"/>
  <c r="W18" i="35"/>
  <c r="G77" i="37"/>
  <c r="J21" i="37"/>
  <c r="G84" i="34"/>
  <c r="J21" i="34"/>
  <c r="G83" i="33"/>
  <c r="J21" i="33"/>
  <c r="W21" i="33" s="1"/>
  <c r="F83" i="21"/>
  <c r="H21" i="21"/>
  <c r="F38" i="69"/>
  <c r="E37" i="69"/>
  <c r="F36" i="69"/>
  <c r="F35" i="69"/>
  <c r="F21" i="69"/>
  <c r="F40" i="69" s="1"/>
  <c r="F20" i="69"/>
  <c r="F39" i="69" s="1"/>
  <c r="E10" i="69"/>
  <c r="E9" i="69"/>
  <c r="C7" i="69"/>
  <c r="AC21" i="37"/>
  <c r="W21" i="37"/>
  <c r="AC21" i="34"/>
  <c r="W21" i="34"/>
  <c r="AC21" i="33"/>
  <c r="AB21" i="21"/>
  <c r="U21" i="21"/>
  <c r="G83" i="21"/>
  <c r="J21" i="21"/>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75" i="31"/>
  <c r="S75" i="31" s="1"/>
  <c r="R76" i="31"/>
  <c r="R77" i="31"/>
  <c r="R78" i="31"/>
  <c r="S78" i="31" s="1"/>
  <c r="R79" i="31"/>
  <c r="S79" i="31" s="1"/>
  <c r="R80" i="31"/>
  <c r="R81" i="31"/>
  <c r="R82" i="31"/>
  <c r="S82" i="31" s="1"/>
  <c r="R83" i="31"/>
  <c r="S83" i="31" s="1"/>
  <c r="R84" i="31"/>
  <c r="R85" i="31"/>
  <c r="R86" i="31"/>
  <c r="S86" i="31" s="1"/>
  <c r="R87" i="31"/>
  <c r="S87" i="31" s="1"/>
  <c r="R88" i="31"/>
  <c r="R89" i="31"/>
  <c r="R90" i="31"/>
  <c r="S90" i="31" s="1"/>
  <c r="R91" i="31"/>
  <c r="S91" i="31" s="1"/>
  <c r="R92" i="31"/>
  <c r="R93" i="31"/>
  <c r="R94" i="31"/>
  <c r="S94" i="31" s="1"/>
  <c r="R95" i="31"/>
  <c r="S95" i="31" s="1"/>
  <c r="R96" i="31"/>
  <c r="R97" i="31"/>
  <c r="R98" i="31"/>
  <c r="S98" i="31" s="1"/>
  <c r="R99" i="31"/>
  <c r="S99" i="31" s="1"/>
  <c r="R100" i="31"/>
  <c r="R101" i="31"/>
  <c r="R102" i="31"/>
  <c r="S102" i="31" s="1"/>
  <c r="R103" i="31"/>
  <c r="S103" i="31" s="1"/>
  <c r="R104" i="31"/>
  <c r="R105" i="31"/>
  <c r="R106" i="31"/>
  <c r="S106" i="31" s="1"/>
  <c r="R107" i="31"/>
  <c r="S107" i="31" s="1"/>
  <c r="R108" i="31"/>
  <c r="R109" i="31"/>
  <c r="R110" i="31"/>
  <c r="S110" i="31" s="1"/>
  <c r="R111" i="31"/>
  <c r="S111" i="31" s="1"/>
  <c r="R112" i="31"/>
  <c r="R113" i="31"/>
  <c r="R114" i="31"/>
  <c r="S114" i="31" s="1"/>
  <c r="R115" i="31"/>
  <c r="S115" i="31" s="1"/>
  <c r="R116" i="31"/>
  <c r="R117" i="31"/>
  <c r="R118" i="31"/>
  <c r="S118" i="31" s="1"/>
  <c r="R119" i="31"/>
  <c r="S119" i="31" s="1"/>
  <c r="R120" i="31"/>
  <c r="R121" i="31"/>
  <c r="R122" i="31"/>
  <c r="S122" i="31" s="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S226" i="31" s="1"/>
  <c r="R227" i="31"/>
  <c r="S227" i="31" s="1"/>
  <c r="R228" i="31"/>
  <c r="R229" i="31"/>
  <c r="R230" i="31"/>
  <c r="S230" i="31" s="1"/>
  <c r="R231" i="31"/>
  <c r="S231" i="31" s="1"/>
  <c r="R232" i="31"/>
  <c r="R233" i="31"/>
  <c r="R234" i="31"/>
  <c r="S234" i="31" s="1"/>
  <c r="R235" i="31"/>
  <c r="S235" i="31" s="1"/>
  <c r="R236" i="31"/>
  <c r="R237" i="31"/>
  <c r="R238" i="31"/>
  <c r="S238" i="31" s="1"/>
  <c r="R239" i="31"/>
  <c r="S239" i="31" s="1"/>
  <c r="R240" i="31"/>
  <c r="R241" i="31"/>
  <c r="R242" i="31"/>
  <c r="S242" i="31" s="1"/>
  <c r="R243" i="31"/>
  <c r="S243" i="31" s="1"/>
  <c r="R244" i="31"/>
  <c r="R245" i="31"/>
  <c r="R246" i="31"/>
  <c r="S246" i="31" s="1"/>
  <c r="R247" i="31"/>
  <c r="S247" i="31" s="1"/>
  <c r="R248" i="31"/>
  <c r="R249" i="31"/>
  <c r="R250" i="31"/>
  <c r="S250" i="31" s="1"/>
  <c r="R251" i="31"/>
  <c r="S251" i="31" s="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R279" i="31"/>
  <c r="S279" i="31" s="1"/>
  <c r="R280" i="3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R387" i="31"/>
  <c r="S387" i="31" s="1"/>
  <c r="R388" i="31"/>
  <c r="R389" i="31"/>
  <c r="S389" i="31" s="1"/>
  <c r="R390" i="31"/>
  <c r="S390" i="31" s="1"/>
  <c r="R391" i="31"/>
  <c r="S391" i="31" s="1"/>
  <c r="R392" i="31"/>
  <c r="R393" i="31"/>
  <c r="S393" i="31" s="1"/>
  <c r="R394" i="3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S463" i="31" s="1"/>
  <c r="R464" i="31"/>
  <c r="R465" i="31"/>
  <c r="R466" i="31"/>
  <c r="S466" i="31" s="1"/>
  <c r="R467" i="31"/>
  <c r="S467" i="31" s="1"/>
  <c r="R468" i="31"/>
  <c r="R469" i="31"/>
  <c r="R470" i="31"/>
  <c r="S470" i="31" s="1"/>
  <c r="R471" i="31"/>
  <c r="S471" i="31" s="1"/>
  <c r="R472" i="31"/>
  <c r="R473" i="31"/>
  <c r="R474" i="31"/>
  <c r="S474" i="31" s="1"/>
  <c r="R475" i="31"/>
  <c r="S475" i="31" s="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S491" i="31" s="1"/>
  <c r="R492" i="31"/>
  <c r="R493" i="31"/>
  <c r="R494" i="31"/>
  <c r="S494" i="31" s="1"/>
  <c r="R495" i="31"/>
  <c r="S495" i="31" s="1"/>
  <c r="R496" i="31"/>
  <c r="R497" i="31"/>
  <c r="R498" i="31"/>
  <c r="R499" i="31"/>
  <c r="S499" i="31" s="1"/>
  <c r="R500" i="31"/>
  <c r="R501" i="31"/>
  <c r="R502" i="31"/>
  <c r="S502" i="31" s="1"/>
  <c r="R503" i="31"/>
  <c r="S503" i="31" s="1"/>
  <c r="R504" i="31"/>
  <c r="R505" i="31"/>
  <c r="R506" i="3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16" i="31"/>
  <c r="S412" i="31"/>
  <c r="S410" i="31"/>
  <c r="S408" i="31"/>
  <c r="S404" i="31"/>
  <c r="S402" i="31"/>
  <c r="S400" i="31"/>
  <c r="S396" i="31"/>
  <c r="S394" i="31"/>
  <c r="S392" i="31"/>
  <c r="S388" i="31"/>
  <c r="S386" i="31"/>
  <c r="S384" i="31"/>
  <c r="S380" i="31"/>
  <c r="S378" i="31"/>
  <c r="S376" i="31"/>
  <c r="S372" i="31"/>
  <c r="S370" i="31"/>
  <c r="S368"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6" i="31"/>
  <c r="S284" i="31"/>
  <c r="S282" i="31"/>
  <c r="S280" i="31"/>
  <c r="S278" i="31"/>
  <c r="S276" i="31"/>
  <c r="S272" i="31"/>
  <c r="S268" i="31"/>
  <c r="S264" i="31"/>
  <c r="S260" i="31"/>
  <c r="S256" i="31"/>
  <c r="S253" i="31"/>
  <c r="S252" i="31"/>
  <c r="S249" i="31"/>
  <c r="S248" i="31"/>
  <c r="S245" i="31"/>
  <c r="S244" i="31"/>
  <c r="S241" i="31"/>
  <c r="S240" i="31"/>
  <c r="S237" i="31"/>
  <c r="S236" i="31"/>
  <c r="S233" i="31"/>
  <c r="S232" i="31"/>
  <c r="S229" i="31"/>
  <c r="S228" i="31"/>
  <c r="S225" i="31"/>
  <c r="S224" i="31"/>
  <c r="S429" i="31"/>
  <c r="S428"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3" i="31"/>
  <c r="S492" i="31"/>
  <c r="S489" i="31"/>
  <c r="S488" i="31"/>
  <c r="S485" i="31"/>
  <c r="S484" i="31"/>
  <c r="S481" i="31"/>
  <c r="S480" i="31"/>
  <c r="S477" i="31"/>
  <c r="S476" i="31"/>
  <c r="S473" i="31"/>
  <c r="S472" i="31"/>
  <c r="S469" i="31"/>
  <c r="S468" i="31"/>
  <c r="S444" i="31"/>
  <c r="S442" i="31"/>
  <c r="S441" i="31"/>
  <c r="S440" i="31"/>
  <c r="S438" i="31"/>
  <c r="S437" i="31"/>
  <c r="S436" i="31"/>
  <c r="S434" i="31"/>
  <c r="S433" i="31"/>
  <c r="S432" i="31"/>
  <c r="S430" i="31"/>
  <c r="S121" i="31"/>
  <c r="S120" i="31"/>
  <c r="S117" i="31"/>
  <c r="S116" i="31"/>
  <c r="S113" i="31"/>
  <c r="S112" i="31"/>
  <c r="S506" i="31"/>
  <c r="S504" i="31"/>
  <c r="S500" i="31"/>
  <c r="S498" i="31"/>
  <c r="S465" i="31"/>
  <c r="S464" i="31"/>
  <c r="S461" i="31"/>
  <c r="S460" i="31"/>
  <c r="S457" i="31"/>
  <c r="S456" i="31"/>
  <c r="S453" i="31"/>
  <c r="S452" i="31"/>
  <c r="S77" i="31"/>
  <c r="S76" i="31"/>
  <c r="S97" i="31"/>
  <c r="S96" i="31"/>
  <c r="S93" i="31"/>
  <c r="S92" i="31"/>
  <c r="S89" i="31"/>
  <c r="S88" i="31"/>
  <c r="S85" i="31"/>
  <c r="S84" i="31"/>
  <c r="S81" i="31"/>
  <c r="S80" i="31"/>
  <c r="S100" i="31"/>
  <c r="S101" i="31"/>
  <c r="S104" i="31"/>
  <c r="S105" i="31"/>
  <c r="S108" i="31"/>
  <c r="S109" i="31"/>
  <c r="S445" i="31"/>
  <c r="S446"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s="1"/>
  <c r="J19" i="33"/>
  <c r="AC19" i="33" s="1"/>
  <c r="J15" i="33"/>
  <c r="AC15"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AC32" i="33" s="1"/>
  <c r="S46" i="33"/>
  <c r="W43" i="33"/>
  <c r="S43" i="33"/>
  <c r="F91" i="33"/>
  <c r="H27" i="33"/>
  <c r="F87" i="33"/>
  <c r="H25" i="33"/>
  <c r="F25" i="33"/>
  <c r="J23" i="33"/>
  <c r="F85" i="33"/>
  <c r="H23" i="33"/>
  <c r="AB23" i="33" s="1"/>
  <c r="F81" i="33"/>
  <c r="F19" i="33"/>
  <c r="S19" i="33"/>
  <c r="W19" i="33"/>
  <c r="J17" i="33"/>
  <c r="F79"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c r="F34" i="67"/>
  <c r="F62" i="67" s="1"/>
  <c r="M20" i="67"/>
  <c r="F34" i="15"/>
  <c r="F62" i="15" s="1"/>
  <c r="G13" i="3"/>
  <c r="G5" i="3" s="1"/>
  <c r="B3" i="3" s="1"/>
  <c r="E510" i="3" s="1"/>
  <c r="BA13" i="3"/>
  <c r="BA5" i="3" s="1"/>
  <c r="BL17" i="3"/>
  <c r="AZ17" i="3"/>
  <c r="BL13" i="3"/>
  <c r="BL5" i="3" s="1"/>
  <c r="J56" i="9"/>
  <c r="J57" i="9" s="1"/>
  <c r="J59" i="9" s="1"/>
  <c r="J61" i="9" s="1"/>
  <c r="A24" i="51"/>
  <c r="B18" i="72" s="1"/>
  <c r="U29" i="34"/>
  <c r="E5" i="6"/>
  <c r="E32" i="6"/>
  <c r="G1" i="68"/>
  <c r="K1" i="12"/>
  <c r="E19" i="69"/>
  <c r="E19" i="68"/>
  <c r="E19" i="11"/>
  <c r="G22" i="68"/>
  <c r="C6" i="43"/>
  <c r="B19" i="53"/>
  <c r="B37" i="72" s="1"/>
  <c r="C7" i="33"/>
  <c r="G23" i="43"/>
  <c r="C23" i="43" s="1"/>
  <c r="A4" i="51"/>
  <c r="B6" i="72"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AB34" i="33"/>
  <c r="U44" i="33"/>
  <c r="AB44" i="33"/>
  <c r="S30" i="33"/>
  <c r="AA30" i="33"/>
  <c r="AC14" i="33"/>
  <c r="W14" i="33"/>
  <c r="AC30" i="33"/>
  <c r="W30" i="33"/>
  <c r="S31" i="33"/>
  <c r="AA31" i="33"/>
  <c r="W13" i="33"/>
  <c r="AC13" i="33"/>
  <c r="S11" i="33"/>
  <c r="U37" i="33"/>
  <c r="AC28" i="33"/>
  <c r="S28" i="33"/>
  <c r="W9"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U25" i="33"/>
  <c r="AB25" i="33"/>
  <c r="S25" i="33"/>
  <c r="AA25" i="33"/>
  <c r="G87" i="33"/>
  <c r="H87" i="33"/>
  <c r="I87" i="33"/>
  <c r="J87" i="33"/>
  <c r="K87" i="33"/>
  <c r="L87" i="33"/>
  <c r="M87" i="33"/>
  <c r="J25" i="33"/>
  <c r="U23" i="33"/>
  <c r="F23" i="33"/>
  <c r="S23" i="33" s="1"/>
  <c r="G85" i="33"/>
  <c r="AC23" i="33"/>
  <c r="W23" i="33"/>
  <c r="AA19" i="33"/>
  <c r="H19" i="33"/>
  <c r="U19" i="33" s="1"/>
  <c r="G81" i="33"/>
  <c r="G79" i="33"/>
  <c r="H17" i="33"/>
  <c r="U17" i="33" s="1"/>
  <c r="F17" i="33"/>
  <c r="S17" i="33" s="1"/>
  <c r="W17" i="33"/>
  <c r="AC17" i="33"/>
  <c r="S37" i="21"/>
  <c r="AA23" i="21"/>
  <c r="AB15" i="21"/>
  <c r="J23" i="21"/>
  <c r="F85" i="21"/>
  <c r="G85" i="21"/>
  <c r="H23" i="21"/>
  <c r="S13" i="21"/>
  <c r="D6" i="52"/>
  <c r="E539" i="3"/>
  <c r="E165" i="3"/>
  <c r="E536" i="3"/>
  <c r="E296" i="3"/>
  <c r="E148" i="3"/>
  <c r="E140" i="3"/>
  <c r="E149" i="3"/>
  <c r="E197" i="3"/>
  <c r="E167" i="3"/>
  <c r="E199" i="3"/>
  <c r="E141" i="3"/>
  <c r="E286" i="3"/>
  <c r="E369" i="3"/>
  <c r="E575" i="3"/>
  <c r="E525" i="3"/>
  <c r="AD6" i="3"/>
  <c r="E534" i="3"/>
  <c r="E542" i="3"/>
  <c r="R6" i="3"/>
  <c r="E552" i="3"/>
  <c r="E502" i="3"/>
  <c r="E405" i="3"/>
  <c r="E442" i="3"/>
  <c r="E456" i="3"/>
  <c r="E464" i="3"/>
  <c r="E469" i="3"/>
  <c r="E487" i="3"/>
  <c r="E541" i="3"/>
  <c r="E398" i="3"/>
  <c r="E430" i="3"/>
  <c r="E408" i="3"/>
  <c r="E449" i="3"/>
  <c r="E451" i="3"/>
  <c r="E459" i="3"/>
  <c r="E360" i="3"/>
  <c r="E374" i="3"/>
  <c r="I3" i="6"/>
  <c r="E566" i="3"/>
  <c r="AP6" i="3"/>
  <c r="E497" i="3"/>
  <c r="E554" i="3"/>
  <c r="E13" i="3"/>
  <c r="E582" i="3"/>
  <c r="E494" i="3"/>
  <c r="E413" i="3"/>
  <c r="E435" i="3"/>
  <c r="E460" i="3"/>
  <c r="E491" i="3"/>
  <c r="E470" i="3"/>
  <c r="E417" i="3"/>
  <c r="E420" i="3"/>
  <c r="E436" i="3"/>
  <c r="E26" i="3"/>
  <c r="E39" i="3"/>
  <c r="E56" i="3"/>
  <c r="E90" i="3"/>
  <c r="E37" i="3"/>
  <c r="E41" i="3"/>
  <c r="E95" i="3"/>
  <c r="E115" i="3"/>
  <c r="E131" i="3"/>
  <c r="E198" i="3"/>
  <c r="E187" i="3"/>
  <c r="E132" i="3"/>
  <c r="E155" i="3"/>
  <c r="E192" i="3"/>
  <c r="E225" i="3"/>
  <c r="E258" i="3"/>
  <c r="E281" i="3"/>
  <c r="E297" i="3"/>
  <c r="E243" i="3"/>
  <c r="E259" i="3"/>
  <c r="E292" i="3"/>
  <c r="E348" i="3"/>
  <c r="E363" i="3"/>
  <c r="E391" i="3"/>
  <c r="E349" i="3"/>
  <c r="E356" i="3"/>
  <c r="E375" i="3"/>
  <c r="AL6" i="3"/>
  <c r="E504" i="3"/>
  <c r="E544" i="3"/>
  <c r="E58" i="3"/>
  <c r="E76" i="3"/>
  <c r="E94" i="3"/>
  <c r="E59" i="3"/>
  <c r="E75" i="3"/>
  <c r="E488" i="3"/>
  <c r="E428" i="3"/>
  <c r="E462" i="3"/>
  <c r="E484" i="3"/>
  <c r="E521" i="3"/>
  <c r="E425" i="3"/>
  <c r="E412" i="3"/>
  <c r="E467" i="3"/>
  <c r="E18" i="3"/>
  <c r="E47" i="3"/>
  <c r="E96" i="3"/>
  <c r="E98" i="3"/>
  <c r="E46" i="3"/>
  <c r="E65" i="3"/>
  <c r="E103" i="3"/>
  <c r="E129" i="3"/>
  <c r="E160" i="3"/>
  <c r="E190" i="3"/>
  <c r="E195" i="3"/>
  <c r="E174" i="3"/>
  <c r="E163" i="3"/>
  <c r="E200" i="3"/>
  <c r="E248" i="3"/>
  <c r="E267" i="3"/>
  <c r="E275" i="3"/>
  <c r="E249" i="3"/>
  <c r="E235" i="3"/>
  <c r="E266" i="3"/>
  <c r="E324" i="3"/>
  <c r="E307" i="3"/>
  <c r="E371" i="3"/>
  <c r="E386" i="3"/>
  <c r="E310" i="3"/>
  <c r="E342" i="3"/>
  <c r="E492" i="3"/>
  <c r="E522" i="3"/>
  <c r="E584" i="3"/>
  <c r="E35" i="3"/>
  <c r="E66" i="3"/>
  <c r="E84" i="3"/>
  <c r="E24" i="3"/>
  <c r="E67" i="3"/>
  <c r="E34" i="3"/>
  <c r="E33" i="3"/>
  <c r="E49" i="3"/>
  <c r="E87" i="3"/>
  <c r="E206" i="3"/>
  <c r="E127" i="3"/>
  <c r="E184" i="3"/>
  <c r="E250" i="3"/>
  <c r="E233" i="3"/>
  <c r="E251" i="3"/>
  <c r="E355" i="3"/>
  <c r="E370" i="3"/>
  <c r="E341" i="3"/>
  <c r="AF6" i="3"/>
  <c r="Y6" i="3"/>
  <c r="E68" i="3"/>
  <c r="E51" i="3"/>
  <c r="E63" i="3"/>
  <c r="E80" i="3"/>
  <c r="E81" i="3"/>
  <c r="E113" i="3"/>
  <c r="E154" i="3"/>
  <c r="E158" i="3"/>
  <c r="E179" i="3"/>
  <c r="E264" i="3"/>
  <c r="E222" i="3"/>
  <c r="E283" i="3"/>
  <c r="E308" i="3"/>
  <c r="E309" i="3"/>
  <c r="E326" i="3"/>
  <c r="E373" i="3"/>
  <c r="E22"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7" i="33"/>
  <c r="AC27" i="33"/>
  <c r="W25" i="33"/>
  <c r="AC25" i="33"/>
  <c r="AB19"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M22" i="15"/>
  <c r="F16" i="67"/>
  <c r="F38" i="67"/>
  <c r="D5" i="73"/>
  <c r="M26" i="15"/>
  <c r="F8" i="15"/>
  <c r="F40" i="15"/>
  <c r="F4" i="73"/>
  <c r="B10" i="76"/>
  <c r="B8" i="76"/>
  <c r="L48" i="15"/>
  <c r="M9" i="67"/>
  <c r="F38" i="15"/>
  <c r="F26" i="67"/>
  <c r="D7" i="73"/>
  <c r="F7" i="67"/>
  <c r="M6" i="67"/>
  <c r="B13" i="76"/>
  <c r="AO13" i="1"/>
  <c r="F16" i="15"/>
  <c r="C76" i="67"/>
  <c r="J15" i="15"/>
  <c r="E11" i="76"/>
  <c r="C76" i="15"/>
  <c r="E10" i="76"/>
  <c r="F37" i="15"/>
  <c r="F42" i="15"/>
  <c r="F6" i="67"/>
  <c r="D4" i="73"/>
  <c r="M22" i="67"/>
  <c r="M28" i="15"/>
  <c r="F7" i="15"/>
  <c r="F9" i="67"/>
  <c r="F43" i="67"/>
  <c r="M29" i="67"/>
  <c r="F9" i="15"/>
  <c r="B11" i="76"/>
  <c r="M24" i="67"/>
  <c r="F6" i="73"/>
  <c r="B9" i="76"/>
  <c r="E7" i="76"/>
  <c r="F3" i="73"/>
  <c r="M26" i="67"/>
  <c r="M24" i="15"/>
  <c r="F5" i="73"/>
  <c r="F13" i="67"/>
  <c r="E13" i="76"/>
  <c r="F13" i="15"/>
  <c r="D3" i="73"/>
  <c r="B7" i="76"/>
  <c r="F36" i="67"/>
  <c r="M6" i="15"/>
  <c r="E8" i="76"/>
  <c r="E9" i="76"/>
  <c r="F43" i="15"/>
  <c r="D6" i="73"/>
  <c r="M28" i="67"/>
  <c r="F7" i="73"/>
  <c r="F20" i="31"/>
  <c r="L47" i="67"/>
  <c r="L47" i="15"/>
  <c r="M23" i="15"/>
  <c r="F42" i="67"/>
  <c r="F6" i="15"/>
  <c r="M8" i="15"/>
  <c r="M23" i="67"/>
  <c r="E12" i="76"/>
  <c r="B12" i="76"/>
  <c r="F36" i="15"/>
  <c r="F37" i="67"/>
  <c r="F26" i="15"/>
  <c r="M8" i="67"/>
  <c r="F40" i="67"/>
  <c r="E2" i="68"/>
  <c r="M29" i="15"/>
  <c r="E2" i="69"/>
  <c r="F8" i="67"/>
  <c r="M9" i="15"/>
  <c r="F6" i="1" l="1"/>
  <c r="W33" i="33"/>
  <c r="E83" i="3"/>
  <c r="E513" i="3"/>
  <c r="E323" i="3"/>
  <c r="E287" i="3"/>
  <c r="E118" i="3"/>
  <c r="E19" i="3"/>
  <c r="E102" i="3"/>
  <c r="E381" i="3"/>
  <c r="E284" i="3"/>
  <c r="E232" i="3"/>
  <c r="E144" i="3"/>
  <c r="E48" i="3"/>
  <c r="E86" i="3"/>
  <c r="E23" i="3"/>
  <c r="E354" i="3"/>
  <c r="E383" i="3"/>
  <c r="E300" i="3"/>
  <c r="E209" i="3"/>
  <c r="E220" i="3"/>
  <c r="E142" i="3"/>
  <c r="E138" i="3"/>
  <c r="E78" i="3"/>
  <c r="E64" i="3"/>
  <c r="E446" i="3"/>
  <c r="E482" i="3"/>
  <c r="E409" i="3"/>
  <c r="E110" i="3"/>
  <c r="E42" i="3"/>
  <c r="E389" i="3"/>
  <c r="E378" i="3"/>
  <c r="E332" i="3"/>
  <c r="E241" i="3"/>
  <c r="E240" i="3"/>
  <c r="E139" i="3"/>
  <c r="E152" i="3"/>
  <c r="E57" i="3"/>
  <c r="E104" i="3"/>
  <c r="E479" i="3"/>
  <c r="E520" i="3"/>
  <c r="E452" i="3"/>
  <c r="E517" i="3"/>
  <c r="E500" i="3"/>
  <c r="E556" i="3"/>
  <c r="E255" i="3"/>
  <c r="E416" i="3"/>
  <c r="E512" i="3"/>
  <c r="E466" i="3"/>
  <c r="E421" i="3"/>
  <c r="T6" i="3"/>
  <c r="E499" i="3"/>
  <c r="E312" i="3"/>
  <c r="E173" i="3"/>
  <c r="E212" i="3"/>
  <c r="E244" i="3"/>
  <c r="E205" i="3"/>
  <c r="U9" i="33"/>
  <c r="S33" i="33"/>
  <c r="AB36" i="33"/>
  <c r="S36" i="33"/>
  <c r="U33" i="33"/>
  <c r="W32" i="33"/>
  <c r="U32" i="33"/>
  <c r="S32" i="33"/>
  <c r="AB21" i="33"/>
  <c r="AA17" i="33"/>
  <c r="AA23" i="33"/>
  <c r="AB17" i="33"/>
  <c r="U15" i="33"/>
  <c r="S15" i="33"/>
  <c r="W8" i="33"/>
  <c r="F30" i="69"/>
  <c r="F48" i="69" s="1"/>
  <c r="F32" i="15"/>
  <c r="F60" i="15" s="1"/>
  <c r="F30" i="68"/>
  <c r="F48" i="68" s="1"/>
  <c r="F54" i="9"/>
  <c r="F52" i="9"/>
  <c r="D68" i="9"/>
  <c r="F31" i="12"/>
  <c r="F28" i="15"/>
  <c r="F32" i="67"/>
  <c r="F60" i="67" s="1"/>
  <c r="F28" i="67"/>
  <c r="M18" i="15"/>
  <c r="M18" i="67"/>
  <c r="F30" i="11"/>
  <c r="C48" i="11" s="1"/>
  <c r="C40" i="69"/>
  <c r="G22" i="69"/>
  <c r="G22" i="11"/>
  <c r="E1" i="73"/>
  <c r="G26" i="12"/>
  <c r="E101" i="3"/>
  <c r="E524" i="3"/>
  <c r="E365" i="3"/>
  <c r="E265" i="3"/>
  <c r="E218" i="3"/>
  <c r="E176" i="3"/>
  <c r="E62" i="3"/>
  <c r="E20" i="3"/>
  <c r="E50" i="3"/>
  <c r="E364" i="3"/>
  <c r="E340" i="3"/>
  <c r="E289" i="3"/>
  <c r="E147" i="3"/>
  <c r="E123" i="3"/>
  <c r="E112" i="3"/>
  <c r="E36" i="3"/>
  <c r="E52" i="3"/>
  <c r="AQ6" i="3"/>
  <c r="E392" i="3"/>
  <c r="E325" i="3"/>
  <c r="E339" i="3"/>
  <c r="E299" i="3"/>
  <c r="E219" i="3"/>
  <c r="E234" i="3"/>
  <c r="E194" i="3"/>
  <c r="E137" i="3"/>
  <c r="E170" i="3"/>
  <c r="E100" i="3"/>
  <c r="E38" i="3"/>
  <c r="E79" i="3"/>
  <c r="E455"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F29" i="6"/>
  <c r="F30" i="6" s="1"/>
  <c r="G28" i="6"/>
  <c r="G30" i="6" s="1"/>
  <c r="G31" i="6" s="1"/>
  <c r="A15" i="62"/>
  <c r="B61" i="72" s="1"/>
  <c r="D19" i="53"/>
  <c r="B38" i="72" s="1"/>
  <c r="D16" i="53"/>
  <c r="B34" i="72" s="1"/>
  <c r="D21" i="53"/>
  <c r="B39" i="72" s="1"/>
  <c r="M47" i="9"/>
  <c r="C7" i="35"/>
  <c r="C48" i="35" s="1"/>
  <c r="D48" i="35" s="1"/>
  <c r="E48" i="35" s="1"/>
  <c r="C7" i="40"/>
  <c r="C63" i="40" s="1"/>
  <c r="D63" i="40" s="1"/>
  <c r="C7" i="39"/>
  <c r="C67" i="39" s="1"/>
  <c r="C69" i="39" s="1"/>
  <c r="C42" i="1"/>
  <c r="C24" i="12" s="1"/>
  <c r="C7" i="36"/>
  <c r="C46" i="36" s="1"/>
  <c r="D46" i="36" s="1"/>
  <c r="E46" i="36" s="1"/>
  <c r="F46" i="36" s="1"/>
  <c r="G46" i="36" s="1"/>
  <c r="H46" i="36" s="1"/>
  <c r="I46" i="36" s="1"/>
  <c r="C7" i="21"/>
  <c r="C58" i="21" s="1"/>
  <c r="D58" i="21" s="1"/>
  <c r="G6" i="1"/>
  <c r="G16" i="1" s="1"/>
  <c r="F10" i="39" s="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J26" i="43" s="1"/>
  <c r="E29" i="6"/>
  <c r="K15" i="1" s="1"/>
  <c r="E28" i="6"/>
  <c r="L19" i="6"/>
  <c r="L27" i="6" s="1"/>
  <c r="M6" i="1"/>
  <c r="O6" i="1" s="1"/>
  <c r="T13" i="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E59" i="40"/>
  <c r="K14" i="1"/>
  <c r="D9" i="11"/>
  <c r="C9" i="11" s="1"/>
  <c r="D19" i="12"/>
  <c r="C19" i="12" s="1"/>
  <c r="AZ13" i="3"/>
  <c r="AZ5" i="3" s="1"/>
  <c r="O9" i="1"/>
  <c r="P9" i="1" s="1"/>
  <c r="O12" i="1"/>
  <c r="P12" i="1" s="1"/>
  <c r="O8" i="1"/>
  <c r="P8" i="1" s="1"/>
  <c r="H73" i="43"/>
  <c r="H90" i="43"/>
  <c r="O23" i="43"/>
  <c r="I18" i="43"/>
  <c r="E17" i="43" s="1"/>
  <c r="C17" i="43" s="1"/>
  <c r="H26" i="43"/>
  <c r="F26" i="43"/>
  <c r="G26" i="43"/>
  <c r="E26" i="43"/>
  <c r="A1" i="79"/>
  <c r="H55" i="43"/>
  <c r="H86" i="43"/>
  <c r="H87" i="43"/>
  <c r="N370" i="46"/>
  <c r="N94" i="46"/>
  <c r="H89" i="43"/>
  <c r="H88" i="43"/>
  <c r="H84" i="43"/>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9"/>
  <c r="F27" i="69"/>
  <c r="C36" i="69"/>
  <c r="D9" i="68"/>
  <c r="C16" i="15"/>
  <c r="L48" i="67"/>
  <c r="C16" i="67"/>
  <c r="G1" i="73"/>
  <c r="F7" i="36" l="1"/>
  <c r="J7" i="36"/>
  <c r="C65" i="40"/>
  <c r="H7" i="36"/>
  <c r="U7" i="36" s="1"/>
  <c r="J53" i="67"/>
  <c r="F1" i="67" s="1"/>
  <c r="J57" i="67"/>
  <c r="J55" i="67" s="1"/>
  <c r="J58" i="67" s="1"/>
  <c r="Q50" i="67" s="1"/>
  <c r="L56" i="67"/>
  <c r="I54" i="67"/>
  <c r="L58" i="67"/>
  <c r="Q60" i="67" s="1"/>
  <c r="C31" i="12"/>
  <c r="C28" i="67"/>
  <c r="C48" i="69"/>
  <c r="C48" i="68"/>
  <c r="P6" i="1"/>
  <c r="C13" i="12" s="1"/>
  <c r="K16" i="1"/>
  <c r="B29" i="1" s="1"/>
  <c r="C8" i="68" s="1"/>
  <c r="C5" i="68" s="1"/>
  <c r="D18" i="53"/>
  <c r="B35" i="72" s="1"/>
  <c r="C7" i="74"/>
  <c r="J7" i="37"/>
  <c r="AC7" i="37" s="1"/>
  <c r="V42" i="37" s="1"/>
  <c r="I42" i="37" s="1"/>
  <c r="E61" i="43"/>
  <c r="B59" i="43" s="1"/>
  <c r="C28" i="43" s="1"/>
  <c r="B116" i="43"/>
  <c r="Z7" i="43"/>
  <c r="E30" i="6"/>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59" i="67"/>
  <c r="H7" i="37"/>
  <c r="AB7" i="37" s="1"/>
  <c r="T42" i="37" s="1"/>
  <c r="G42" i="37" s="1"/>
  <c r="B40" i="1"/>
  <c r="L36" i="43" s="1"/>
  <c r="S10" i="39"/>
  <c r="AA10" i="39"/>
  <c r="H7" i="33"/>
  <c r="J7" i="33"/>
  <c r="D65" i="40"/>
  <c r="E63" i="40"/>
  <c r="F48" i="35"/>
  <c r="S7" i="36"/>
  <c r="AA7" i="36"/>
  <c r="R36" i="36" s="1"/>
  <c r="F7" i="33"/>
  <c r="E58" i="21"/>
  <c r="AC7" i="36"/>
  <c r="V36" i="36" s="1"/>
  <c r="I36" i="36" s="1"/>
  <c r="W7" i="36"/>
  <c r="F7" i="37"/>
  <c r="D14" i="71"/>
  <c r="C13" i="71"/>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AB7" i="36" l="1"/>
  <c r="T36" i="36" s="1"/>
  <c r="G36" i="36" s="1"/>
  <c r="W7" i="37"/>
  <c r="Q73" i="67"/>
  <c r="Q52" i="67"/>
  <c r="E65" i="39"/>
  <c r="E69" i="39"/>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F41" i="15"/>
  <c r="F41" i="67"/>
  <c r="M27" i="67"/>
  <c r="F69" i="67" l="1"/>
  <c r="D116" i="43"/>
  <c r="G54" i="34"/>
  <c r="H54" i="34" s="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67"/>
  <c r="C14" i="67"/>
  <c r="C17" i="15"/>
  <c r="H21" i="6" l="1"/>
  <c r="R21" i="6" s="1"/>
  <c r="R8" i="1" s="1"/>
  <c r="H22" i="6"/>
  <c r="H25" i="6"/>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C14" i="15"/>
  <c r="E6" i="76"/>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F7" i="21" l="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W7" i="21" l="1"/>
  <c r="AA7" i="21"/>
  <c r="R48" i="21" s="1"/>
  <c r="E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G52" i="21"/>
  <c r="H52" i="21" s="1"/>
  <c r="G53" i="21"/>
  <c r="H53" i="21" s="1"/>
  <c r="F7" i="35"/>
  <c r="M21" i="15"/>
  <c r="F35" i="15"/>
  <c r="F35" i="67"/>
  <c r="M21" i="67"/>
  <c r="AC7" i="35" l="1"/>
  <c r="V38" i="35" s="1"/>
  <c r="I38" i="35" s="1"/>
  <c r="G43" i="35" s="1"/>
  <c r="H43"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G14" i="74" s="1"/>
  <c r="C83" i="67"/>
  <c r="C82" i="67" s="1"/>
  <c r="Q47" i="67"/>
  <c r="Q53" i="67" s="1"/>
  <c r="C46" i="67"/>
  <c r="Q56" i="67"/>
  <c r="C43" i="67"/>
  <c r="C80" i="15"/>
  <c r="C79" i="15" s="1"/>
  <c r="C40" i="15"/>
  <c r="C46" i="15" s="1"/>
  <c r="H7" i="39"/>
  <c r="J7" i="39"/>
  <c r="S7" i="39"/>
  <c r="AA7" i="39"/>
  <c r="R47" i="39" s="1"/>
  <c r="O63" i="40"/>
  <c r="O65" i="40" s="1"/>
  <c r="N65" i="40"/>
  <c r="D2" i="37"/>
  <c r="D19" i="9"/>
  <c r="D2" i="36"/>
  <c r="D2" i="35"/>
  <c r="D2" i="34"/>
  <c r="L51" i="15"/>
  <c r="C19" i="9"/>
  <c r="C102" i="9" l="1"/>
  <c r="C21" i="9"/>
  <c r="B3" i="33"/>
  <c r="D102" i="9"/>
  <c r="D22" i="9"/>
  <c r="G19" i="9"/>
  <c r="G21" i="9" s="1"/>
  <c r="D21" i="9"/>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6" i="1"/>
  <c r="AO8" i="1"/>
  <c r="AO11" i="1"/>
  <c r="C20" i="9"/>
  <c r="AO7" i="1"/>
  <c r="D20" i="9"/>
  <c r="D35" i="9"/>
  <c r="D34" i="9"/>
  <c r="AO9" i="1"/>
  <c r="AO12" i="1"/>
  <c r="C103" i="9" l="1"/>
  <c r="G20" i="9"/>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C35" i="9" s="1"/>
  <c r="C34" i="9" s="1"/>
  <c r="R24" i="3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4" i="31" l="1"/>
  <c r="R62" i="31"/>
  <c r="S62" i="31" s="1"/>
  <c r="R46" i="31"/>
  <c r="S46" i="31" s="1"/>
  <c r="R30" i="31"/>
  <c r="S30" i="31" s="1"/>
  <c r="R65" i="31"/>
  <c r="S65" i="31" s="1"/>
  <c r="R49" i="31"/>
  <c r="S49" i="31" s="1"/>
  <c r="R33" i="31"/>
  <c r="S33" i="31" s="1"/>
  <c r="R68" i="31"/>
  <c r="S68" i="31" s="1"/>
  <c r="R52" i="31"/>
  <c r="S52" i="31" s="1"/>
  <c r="R36" i="31"/>
  <c r="S36" i="31" s="1"/>
  <c r="R67" i="31"/>
  <c r="S67" i="31" s="1"/>
  <c r="R51" i="31"/>
  <c r="S51" i="31" s="1"/>
  <c r="R35" i="31"/>
  <c r="S35" i="31" s="1"/>
  <c r="R74" i="31"/>
  <c r="S74" i="31" s="1"/>
  <c r="R58" i="31"/>
  <c r="S58" i="31" s="1"/>
  <c r="R42" i="31"/>
  <c r="S42" i="31" s="1"/>
  <c r="R26" i="31"/>
  <c r="S26" i="31" s="1"/>
  <c r="R61" i="31"/>
  <c r="S61" i="31" s="1"/>
  <c r="R45" i="31"/>
  <c r="S45" i="31" s="1"/>
  <c r="R29" i="31"/>
  <c r="S29" i="31" s="1"/>
  <c r="R64" i="31"/>
  <c r="S64" i="31" s="1"/>
  <c r="R48" i="31"/>
  <c r="S48" i="31" s="1"/>
  <c r="R32" i="31"/>
  <c r="S32" i="31" s="1"/>
  <c r="R63" i="31"/>
  <c r="S63" i="31" s="1"/>
  <c r="R47" i="31"/>
  <c r="S47" i="31" s="1"/>
  <c r="R31" i="31"/>
  <c r="S31" i="31" s="1"/>
  <c r="R70" i="31"/>
  <c r="S70" i="31" s="1"/>
  <c r="R54" i="31"/>
  <c r="S54" i="31" s="1"/>
  <c r="R38" i="31"/>
  <c r="S38" i="31" s="1"/>
  <c r="R73" i="31"/>
  <c r="S73" i="31" s="1"/>
  <c r="R57" i="31"/>
  <c r="S57" i="31" s="1"/>
  <c r="R41" i="31"/>
  <c r="S41" i="31" s="1"/>
  <c r="R25" i="31"/>
  <c r="S25" i="31" s="1"/>
  <c r="R60" i="31"/>
  <c r="S60" i="31" s="1"/>
  <c r="R44" i="31"/>
  <c r="S44" i="31" s="1"/>
  <c r="R28" i="31"/>
  <c r="S28" i="31" s="1"/>
  <c r="R59" i="31"/>
  <c r="S59" i="31" s="1"/>
  <c r="R43" i="31"/>
  <c r="S43" i="31" s="1"/>
  <c r="R27" i="31"/>
  <c r="S27" i="31" s="1"/>
  <c r="R66" i="31"/>
  <c r="S66" i="31" s="1"/>
  <c r="R50" i="31"/>
  <c r="S50" i="31" s="1"/>
  <c r="R34" i="31"/>
  <c r="S34" i="31" s="1"/>
  <c r="R69" i="31"/>
  <c r="S69" i="31" s="1"/>
  <c r="R53" i="31"/>
  <c r="S53" i="31" s="1"/>
  <c r="R37" i="31"/>
  <c r="S37" i="31" s="1"/>
  <c r="R72" i="31"/>
  <c r="S72" i="31" s="1"/>
  <c r="R56" i="31"/>
  <c r="S56" i="31" s="1"/>
  <c r="R40" i="31"/>
  <c r="S40" i="31" s="1"/>
  <c r="R71" i="31"/>
  <c r="S71" i="31" s="1"/>
  <c r="R55" i="31"/>
  <c r="S55" i="31" s="1"/>
  <c r="R39" i="31"/>
  <c r="S39" i="31" s="1"/>
  <c r="C42" i="40"/>
  <c r="C43" i="40"/>
  <c r="E47" i="40"/>
  <c r="F47" i="40" s="1"/>
  <c r="E46" i="40"/>
  <c r="F46" i="40" s="1"/>
  <c r="I47" i="40"/>
  <c r="J47" i="40" s="1"/>
  <c r="S22" i="31" l="1"/>
  <c r="B58" i="40"/>
  <c r="F58" i="40" s="1"/>
  <c r="B54" i="40"/>
  <c r="F54" i="40" s="1"/>
  <c r="B53" i="40"/>
  <c r="F53" i="40" s="1"/>
  <c r="B59" i="40"/>
  <c r="F59" i="40" s="1"/>
  <c r="B52" i="40"/>
  <c r="F52" i="40" s="1"/>
  <c r="B56" i="40"/>
  <c r="F56" i="40" s="1"/>
  <c r="B60" i="40"/>
  <c r="F60" i="40" s="1"/>
  <c r="B57" i="40"/>
  <c r="F57" i="40" s="1"/>
  <c r="B51" i="40"/>
  <c r="F51" i="40" s="1"/>
  <c r="F61" i="40"/>
  <c r="B2" i="40" s="1"/>
  <c r="B3" i="40" s="1"/>
  <c r="R22" i="31" l="1"/>
  <c r="B20" i="31"/>
  <c r="B21" i="31" s="1"/>
  <c r="F14" i="74"/>
  <c r="B5" i="74"/>
  <c r="D5" i="74" s="1"/>
  <c r="B6" i="74" l="1"/>
  <c r="D6" i="74" s="1"/>
  <c r="G118" i="9"/>
  <c r="F118" i="9" s="1"/>
  <c r="I118" i="9"/>
  <c r="C105" i="9" s="1"/>
  <c r="E118" i="9" l="1"/>
  <c r="E4" i="52" s="1"/>
  <c r="B48" i="72" s="1"/>
  <c r="F4" i="52"/>
  <c r="B51" i="72" s="1"/>
  <c r="F119" i="9"/>
  <c r="F5" i="52" s="1"/>
  <c r="B53" i="72" s="1"/>
  <c r="I4" i="52"/>
  <c r="G4" i="52"/>
  <c r="B52" i="72" s="1"/>
  <c r="H118" i="9"/>
  <c r="H102" i="9"/>
  <c r="D118" i="9" l="1"/>
  <c r="D4" i="52" s="1"/>
  <c r="B47" i="72" s="1"/>
  <c r="D7" i="53"/>
  <c r="B21" i="72" s="1"/>
  <c r="C5" i="74"/>
  <c r="H4" i="52"/>
  <c r="H101" i="9"/>
  <c r="C104" i="9"/>
  <c r="H119" i="9"/>
  <c r="H5" i="52" s="1"/>
  <c r="D119" i="9" l="1"/>
  <c r="D5" i="52" s="1"/>
  <c r="B49" i="72" s="1"/>
  <c r="H107" i="9"/>
  <c r="D5" i="53"/>
  <c r="D45" i="9"/>
  <c r="M48" i="9"/>
  <c r="B20" i="72" l="1"/>
  <c r="D6" i="53"/>
  <c r="B22" i="72" s="1"/>
  <c r="C93" i="9"/>
  <c r="C86" i="9" s="1"/>
  <c r="D52" i="9"/>
  <c r="D55" i="9"/>
  <c r="M53" i="9" s="1"/>
  <c r="D53" i="9"/>
  <c r="C85" i="9"/>
  <c r="C64" i="9"/>
  <c r="C63" i="9" s="1"/>
  <c r="C67" i="9" s="1"/>
  <c r="C78" i="9"/>
  <c r="C73" i="9" s="1"/>
  <c r="C72" i="9"/>
  <c r="D13" i="53"/>
  <c r="D122" i="9"/>
  <c r="H108" i="9"/>
  <c r="M49" i="9"/>
  <c r="C79" i="9" l="1"/>
  <c r="C80" i="9" s="1"/>
  <c r="E80" i="9" s="1"/>
  <c r="E81" i="9" s="1"/>
  <c r="C95" i="9"/>
  <c r="C96" i="9" s="1"/>
  <c r="E96" i="9" s="1"/>
  <c r="E97" i="9" s="1"/>
  <c r="L63" i="9"/>
  <c r="M63" i="9" s="1"/>
  <c r="L68" i="9"/>
  <c r="M68" i="9" s="1"/>
  <c r="L66" i="9"/>
  <c r="M66" i="9" s="1"/>
  <c r="L67" i="9"/>
  <c r="M67" i="9" s="1"/>
  <c r="L65" i="9"/>
  <c r="M65" i="9" s="1"/>
  <c r="L64" i="9"/>
  <c r="M64" i="9" s="1"/>
  <c r="D8" i="52"/>
  <c r="D123" i="9"/>
  <c r="D9" i="52" s="1"/>
  <c r="C68" i="9"/>
  <c r="D54" i="9" s="1"/>
  <c r="D59" i="9"/>
  <c r="M55" i="9" s="1"/>
  <c r="B30" i="72"/>
  <c r="D14" i="53"/>
  <c r="B32" i="72" s="1"/>
  <c r="D15" i="53"/>
  <c r="B31" i="72" s="1"/>
  <c r="C6" i="74"/>
  <c r="C81" i="9" l="1"/>
  <c r="C97" i="9"/>
  <c r="D58" i="9" s="1"/>
  <c r="D56" i="9" s="1"/>
  <c r="M54" i="9" s="1"/>
  <c r="N57" i="9" s="1"/>
  <c r="M69" i="9"/>
  <c r="N69"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<sst xmlns="http://schemas.openxmlformats.org/spreadsheetml/2006/main" count="7882" uniqueCount="3416">
  <si>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</si>
  <si>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</si>
  <si>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</si>
  <si>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</si>
  <si>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</si>
  <si>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</si>
  <si>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</si>
  <si>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</si>
  <si>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</si>
  <si>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</si>
  <si>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</si>
  <si>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</si>
  <si>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</si>
  <si>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</si>
  <si>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</si>
  <si>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</si>
  <si>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</si>
  <si>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</si>
  <si>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</si>
  <si>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</si>
  <si>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</si>
  <si>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</si>
  <si>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</si>
  <si>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</si>
  <si>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</si>
  <si>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</si>
  <si>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</si>
  <si>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</si>
  <si>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</si>
  <si>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</si>
  <si>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</si>
  <si>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</si>
  <si>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</si>
  <si>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</si>
  <si>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</si>
  <si>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</si>
  <si>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</si>
  <si>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</si>
  <si>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</si>
  <si>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</si>
  <si>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</si>
  <si>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</si>
  <si>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</si>
  <si>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</si>
  <si>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</si>
  <si>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</si>
  <si>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</si>
  <si>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</si>
  <si>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</si>
  <si>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</si>
  <si>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</si>
  <si>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</si>
  <si>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</si>
  <si>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</si>
  <si>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</si>
  <si>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</si>
  <si>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</si>
  <si>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</si>
  <si>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</si>
  <si>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</si>
  <si>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</si>
  <si>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</si>
  <si>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</si>
  <si>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</si>
  <si>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</si>
  <si>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</si>
  <si>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</si>
  <si>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</si>
  <si>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</si>
  <si>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</si>
  <si>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</si>
  <si>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</si>
  <si>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</si>
  <si>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</si>
  <si>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</si>
  <si>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</si>
  <si>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</si>
  <si>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</si>
  <si>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</si>
  <si>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</si>
  <si>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</si>
  <si>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</si>
  <si>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</si>
  <si>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</si>
  <si>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</si>
  <si>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</si>
  <si>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</si>
  <si>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</si>
  <si>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</si>
  <si>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</si>
  <si>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</si>
  <si>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</si>
  <si>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</si>
  <si>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</si>
  <si>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</si>
  <si>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</si>
  <si>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</si>
  <si>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</si>
  <si>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</si>
  <si>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</si>
  <si>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</si>
  <si>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</si>
  <si>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</si>
  <si>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</si>
  <si>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</si>
  <si>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</si>
  <si>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</si>
  <si>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</si>
  <si>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</si>
  <si>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</si>
  <si>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</si>
  <si>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</si>
  <si>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</si>
  <si>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</si>
  <si>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</si>
  <si>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</si>
  <si>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</si>
  <si>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</si>
  <si>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</si>
  <si>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</si>
  <si>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</si>
  <si>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</si>
  <si>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</si>
  <si>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</si>
  <si>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</si>
  <si>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</si>
  <si>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</si>
  <si>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</si>
  <si>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</si>
  <si>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</si>
  <si>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</si>
  <si>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</si>
  <si>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</si>
  <si>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</si>
  <si>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</si>
  <si>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</si>
  <si>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</si>
  <si>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</si>
  <si>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</si>
  <si>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</si>
  <si>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</si>
  <si>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</si>
  <si>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</si>
  <si>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</si>
  <si>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</si>
  <si>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</si>
  <si>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</si>
  <si>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</si>
  <si>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</si>
  <si>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</si>
  <si>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</si>
  <si>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</si>
  <si>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</si>
  <si>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</si>
  <si>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</si>
  <si>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</si>
  <si>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</si>
  <si>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</si>
  <si>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</si>
  <si>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</si>
  <si>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</si>
  <si>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</si>
  <si>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</si>
  <si>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</si>
  <si>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</si>
  <si>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</si>
  <si>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</si>
  <si>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</si>
  <si>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</si>
  <si>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</si>
  <si>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</si>
  <si>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</si>
  <si>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</si>
  <si>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</si>
  <si>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</si>
  <si>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</si>
  <si>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</si>
  <si>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</si>
  <si>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</si>
  <si>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</si>
  <si>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</si>
  <si>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</si>
  <si>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</si>
  <si>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</si>
  <si>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</si>
  <si>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</si>
  <si>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</si>
  <si>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</si>
  <si>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</si>
  <si>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</si>
  <si>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</si>
  <si>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</si>
  <si>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</si>
  <si>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</si>
  <si>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</si>
  <si>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</si>
  <si>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</si>
  <si>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</si>
  <si>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</si>
  <si>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</si>
  <si>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</si>
  <si>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</si>
  <si>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</si>
  <si>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</si>
  <si>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</si>
  <si>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</si>
  <si>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</si>
  <si>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</si>
  <si>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</si>
  <si>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</si>
  <si>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</si>
  <si>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</si>
  <si>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</si>
  <si>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</si>
  <si>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</si>
  <si>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</si>
  <si>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</si>
  <si>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</si>
  <si>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</si>
  <si>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</si>
  <si>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</si>
  <si>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</si>
  <si>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</si>
  <si>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</si>
  <si>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</si>
  <si>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</si>
  <si>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</si>
  <si>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</si>
  <si>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</si>
  <si>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</si>
  <si>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</si>
  <si>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</si>
  <si>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</si>
  <si>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</si>
  <si>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</si>
  <si>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</si>
  <si>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</si>
  <si>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</si>
  <si>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</si>
  <si>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</si>
  <si>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</si>
  <si>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</si>
  <si>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</si>
  <si>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</si>
  <si>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</si>
  <si>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</si>
  <si>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</si>
  <si>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</si>
  <si>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</si>
  <si>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</si>
  <si>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</si>
  <si>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</si>
  <si>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</si>
  <si>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</si>
  <si>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</si>
  <si>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</si>
  <si>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</si>
  <si>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</si>
  <si>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</si>
  <si>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</si>
  <si>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</si>
  <si>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</si>
  <si>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</si>
  <si>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</si>
  <si>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</si>
  <si>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</si>
  <si>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</si>
  <si>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</si>
  <si>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</si>
  <si>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</si>
  <si>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</si>
  <si>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</si>
  <si>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</si>
  <si>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</si>
  <si>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</si>
  <si>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</si>
  <si>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</si>
  <si>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</si>
  <si>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</si>
  <si>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</si>
  <si>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</si>
  <si>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</si>
  <si>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</si>
  <si>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</si>
  <si>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</si>
  <si>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</si>
  <si>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</si>
  <si>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</si>
  <si>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</si>
  <si>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</si>
  <si>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</si>
  <si>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</si>
  <si>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</si>
  <si>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</si>
  <si>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</si>
  <si>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</si>
  <si>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</si>
  <si>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</si>
  <si>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</si>
  <si>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</si>
  <si>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</si>
  <si>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</si>
  <si>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</si>
  <si>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</si>
  <si>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</si>
  <si>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</si>
  <si>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</si>
  <si>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</si>
  <si>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</si>
  <si>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</si>
  <si>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</si>
  <si>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</si>
  <si>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</si>
  <si>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</si>
  <si>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</si>
  <si>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</si>
  <si>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</si>
  <si>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</si>
  <si>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</si>
  <si>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</si>
  <si>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</si>
  <si>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</si>
  <si>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</si>
  <si>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</si>
  <si>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</si>
  <si>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</si>
  <si>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</si>
  <si>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</si>
  <si>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</si>
  <si>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</si>
  <si>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</si>
  <si>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</si>
  <si>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</si>
  <si>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</si>
  <si>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</si>
  <si>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</si>
  <si>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</si>
  <si>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</si>
  <si>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</si>
  <si>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</si>
  <si>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</si>
  <si>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</si>
  <si>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</si>
  <si>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</si>
  <si>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</si>
  <si>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</si>
  <si>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</si>
  <si>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</si>
  <si>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</si>
  <si>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</si>
  <si>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</si>
  <si>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</si>
  <si>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</si>
  <si>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</si>
  <si>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</si>
  <si>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</si>
  <si>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</si>
  <si>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</si>
  <si>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</si>
  <si>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</si>
  <si>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</si>
  <si>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</si>
  <si>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</si>
  <si>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</si>
  <si>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</si>
  <si>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</si>
  <si>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</si>
  <si>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</si>
  <si>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</si>
  <si>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</si>
  <si>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</si>
  <si>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</si>
  <si>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</si>
  <si>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</si>
  <si>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</si>
  <si>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</si>
  <si>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</si>
  <si>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</si>
  <si>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</si>
  <si>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</si>
  <si>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</si>
  <si>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</si>
  <si>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</si>
  <si>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</si>
  <si>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</si>
  <si>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</si>
  <si>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</si>
  <si>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</si>
  <si>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</si>
  <si>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</si>
  <si>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</si>
  <si>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</si>
  <si>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</si>
  <si>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</si>
  <si>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</si>
  <si>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</si>
  <si>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</si>
  <si>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</si>
  <si>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</si>
  <si>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</si>
  <si>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</si>
  <si>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</si>
  <si>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</si>
  <si>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</si>
  <si>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</si>
  <si>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</si>
  <si>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</si>
  <si>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</si>
  <si>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</si>
  <si>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</si>
  <si>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</si>
  <si>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</si>
  <si>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</si>
  <si>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</si>
  <si>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</si>
  <si>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</si>
  <si>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</si>
  <si>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</si>
  <si>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</si>
  <si>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</si>
  <si>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</si>
  <si>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</si>
  <si>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</si>
  <si>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</si>
  <si>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</si>
  <si>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</si>
  <si>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</si>
  <si>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</si>
  <si>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</si>
  <si>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</si>
  <si>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</si>
  <si>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</si>
  <si>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</si>
  <si>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</si>
  <si>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</si>
  <si>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</si>
  <si>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</si>
  <si>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</si>
  <si>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</si>
  <si>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</si>
  <si>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</si>
  <si>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</si>
  <si>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</si>
  <si>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</si>
  <si>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</si>
  <si>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</si>
  <si>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</si>
  <si>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</si>
  <si>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</si>
  <si>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</si>
  <si>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</si>
  <si>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</si>
  <si>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</si>
  <si>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</si>
  <si>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</si>
  <si>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</si>
  <si>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</si>
  <si>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</si>
  <si>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</si>
  <si>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</si>
  <si>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</si>
  <si>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</si>
  <si>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</si>
  <si>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</si>
  <si>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</si>
  <si>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</si>
  <si>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</si>
  <si>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</si>
  <si>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</si>
  <si>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</si>
  <si>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</si>
  <si>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</si>
  <si>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</si>
  <si>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</si>
  <si>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</si>
  <si>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</si>
  <si>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</si>
  <si>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</si>
  <si>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</si>
  <si>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</si>
  <si>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</si>
  <si>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</si>
  <si>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</si>
  <si>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</si>
  <si>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</si>
  <si>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</si>
  <si>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</si>
  <si>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</si>
  <si>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</si>
  <si>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</si>
  <si>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</si>
  <si>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</si>
  <si>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</si>
  <si>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</si>
  <si>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</si>
  <si>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</si>
  <si>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</si>
  <si>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</si>
  <si>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</si>
  <si>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</si>
  <si>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</si>
  <si>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</si>
  <si>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</si>
  <si>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</si>
  <si>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</si>
  <si>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</si>
  <si>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</si>
  <si>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</si>
  <si>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</si>
  <si>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</si>
  <si>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</si>
  <si>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</si>
  <si>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</si>
  <si>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</si>
  <si>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</si>
  <si>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</si>
  <si>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</si>
  <si>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</si>
  <si>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</si>
  <si>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</si>
  <si>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</si>
  <si>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</si>
  <si>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</si>
  <si>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</si>
  <si>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</si>
  <si>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</si>
  <si>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</si>
  <si>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</si>
  <si>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</si>
  <si>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</si>
  <si>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</si>
  <si>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</si>
  <si>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</si>
  <si>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</si>
  <si>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</si>
  <si>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</si>
  <si>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</si>
  <si>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</si>
  <si>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</si>
  <si>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</si>
  <si>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</si>
  <si>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</si>
  <si>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</si>
  <si>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</si>
  <si>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</si>
  <si>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</si>
  <si>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</si>
  <si>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</si>
  <si>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</si>
  <si>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</si>
  <si>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</si>
  <si>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</si>
  <si>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</si>
  <si>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</si>
  <si>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</si>
  <si>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</si>
  <si>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</si>
  <si>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</si>
  <si>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</si>
  <si>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</si>
  <si>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</si>
  <si>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</si>
  <si>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</si>
  <si>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</si>
  <si>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</si>
  <si>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</si>
  <si>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</si>
  <si>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</si>
  <si>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</si>
  <si>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</si>
  <si>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</si>
  <si>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</si>
  <si>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</si>
  <si>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</si>
  <si>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</si>
  <si>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</si>
  <si>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</si>
  <si>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</si>
  <si>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</si>
  <si>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</si>
  <si>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</si>
  <si>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</si>
  <si>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</si>
  <si>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</si>
  <si>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</si>
  <si>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</si>
  <si>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</si>
  <si>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</si>
  <si>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</si>
  <si>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</si>
  <si>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</si>
  <si>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</si>
  <si>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</si>
  <si>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</si>
  <si>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</si>
  <si>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</si>
  <si>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</si>
  <si>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</si>
  <si>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</si>
  <si>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</si>
  <si>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</si>
  <si>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</si>
  <si>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</si>
  <si>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</si>
  <si>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</si>
  <si>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</si>
  <si>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</si>
  <si>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</si>
  <si>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</si>
  <si>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</si>
  <si>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</si>
  <si>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</si>
  <si>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</si>
  <si>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</si>
  <si>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</si>
  <si>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</si>
  <si>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</si>
  <si>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</si>
  <si>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</si>
  <si>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</si>
  <si>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</si>
  <si>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</si>
  <si>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</si>
  <si>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</si>
  <si>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</si>
  <si>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</si>
  <si>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</si>
  <si>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</si>
  <si>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</si>
  <si>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</si>
  <si>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</si>
  <si>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</si>
  <si>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</si>
  <si>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</si>
  <si>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</si>
  <si>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</si>
  <si>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</si>
  <si>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</si>
  <si>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</si>
  <si>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</si>
  <si>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</si>
  <si>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</si>
  <si>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</si>
  <si>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</si>
  <si>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</si>
  <si>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</si>
  <si>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</si>
  <si>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</si>
  <si>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</si>
  <si>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</si>
  <si>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</si>
  <si>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</si>
  <si>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</si>
  <si>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</si>
  <si>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</si>
  <si>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</si>
  <si>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</si>
  <si>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</si>
  <si>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</si>
  <si>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</si>
  <si>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</si>
  <si>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</si>
  <si>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</si>
  <si>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</si>
  <si>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</si>
  <si>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</si>
  <si>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</si>
  <si>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</si>
  <si>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</si>
  <si>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</si>
  <si>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</si>
  <si>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</si>
  <si>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</si>
  <si>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</si>
  <si>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</si>
  <si>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</si>
  <si>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</si>
  <si>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</si>
  <si>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</si>
  <si>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</si>
  <si>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</si>
  <si>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</si>
  <si>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</si>
  <si>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</si>
  <si>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</si>
  <si>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</si>
  <si>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</si>
  <si>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</si>
  <si>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</si>
  <si>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</si>
  <si>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</si>
  <si>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</si>
  <si>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</si>
  <si>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</si>
  <si>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</si>
  <si>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</si>
  <si>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</si>
  <si>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</si>
  <si>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</si>
  <si>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</si>
  <si>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</si>
  <si>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</si>
  <si>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</si>
  <si>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</si>
  <si>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</si>
  <si>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</si>
  <si>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</si>
  <si>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</si>
  <si>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</si>
  <si>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</si>
  <si>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</si>
  <si>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</si>
  <si>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</si>
  <si>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</si>
  <si>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</si>
  <si>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</si>
  <si>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</si>
  <si>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</si>
  <si>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</si>
  <si>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</si>
  <si>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</si>
  <si>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</si>
  <si>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</si>
  <si>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</si>
  <si>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</si>
  <si>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</si>
  <si>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</si>
  <si>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</si>
  <si>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</si>
  <si>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</si>
  <si>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</si>
  <si>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</si>
  <si>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</si>
  <si>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</si>
  <si>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</si>
  <si>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</si>
  <si>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</si>
  <si>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</si>
  <si>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</si>
  <si>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</si>
  <si>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</si>
  <si>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</si>
  <si>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</si>
  <si>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</si>
  <si>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</si>
  <si>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</si>
  <si>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</si>
  <si>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</si>
  <si>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</si>
  <si>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</si>
  <si>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</si>
  <si>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</si>
  <si>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</si>
  <si>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</si>
  <si>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</si>
  <si>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</si>
  <si>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</si>
  <si>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</si>
  <si>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</si>
  <si>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</si>
  <si>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</si>
  <si>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</si>
  <si>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</si>
  <si>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</si>
  <si>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</si>
  <si>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</si>
  <si>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</si>
  <si>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</si>
  <si>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</si>
  <si>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</si>
  <si>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</si>
  <si>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</si>
  <si>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</si>
  <si>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</si>
  <si>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</si>
  <si>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</si>
  <si>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</si>
  <si>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</si>
  <si>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</si>
  <si>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</si>
  <si>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</si>
  <si>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</si>
  <si>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</si>
  <si>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</si>
  <si>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</si>
  <si>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</si>
  <si>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</si>
  <si>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</si>
  <si>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</si>
  <si>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</si>
  <si>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</si>
  <si>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</si>
  <si>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</si>
  <si>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</si>
  <si>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</si>
  <si>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</si>
  <si>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</si>
  <si>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</si>
  <si>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</si>
  <si>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</si>
  <si>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</si>
  <si>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</si>
  <si>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</si>
  <si>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</si>
  <si>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</si>
  <si>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</si>
  <si>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</si>
  <si>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</si>
  <si>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</si>
  <si>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</si>
  <si>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</si>
  <si>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</si>
  <si>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</si>
  <si>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</si>
  <si>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</si>
  <si>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</si>
  <si>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</si>
  <si>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</si>
  <si>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</si>
  <si>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</si>
  <si>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</si>
  <si>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</si>
  <si>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</si>
  <si>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</si>
  <si>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</si>
  <si>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</si>
  <si>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</si>
  <si>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</si>
  <si>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</si>
  <si>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</si>
  <si>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</si>
  <si>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</si>
  <si>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</si>
  <si>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</si>
  <si>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</si>
  <si>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</si>
  <si>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</si>
  <si>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</si>
  <si>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</si>
  <si>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</si>
  <si>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</si>
  <si>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</si>
  <si>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</si>
  <si>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</si>
  <si>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</si>
  <si>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</si>
  <si>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</si>
  <si>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</si>
  <si>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</si>
  <si>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</si>
  <si>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</si>
  <si>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</si>
  <si>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</si>
  <si>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</si>
  <si>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</si>
  <si>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</si>
  <si>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</si>
  <si>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</si>
  <si>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</si>
  <si>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</si>
  <si>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</si>
  <si>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</si>
  <si>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</si>
  <si>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</si>
  <si>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</si>
  <si>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</si>
  <si>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</si>
  <si>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</si>
  <si>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</si>
  <si>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</si>
  <si>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</si>
  <si>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</si>
  <si>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</si>
  <si>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</si>
  <si>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</si>
  <si>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</si>
  <si>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</si>
  <si>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</si>
  <si>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</si>
  <si>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</si>
  <si>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</si>
  <si>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</si>
  <si>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</si>
  <si>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</si>
  <si>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</si>
  <si>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</si>
  <si>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</si>
  <si>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</si>
  <si>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</si>
  <si>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</si>
  <si>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</si>
  <si>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</si>
  <si>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</si>
  <si>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</si>
  <si>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</si>
  <si>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</si>
  <si>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</si>
  <si>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</si>
  <si>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</si>
  <si>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</si>
  <si>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</si>
  <si>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</si>
  <si>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</si>
  <si>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</si>
  <si>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</si>
  <si>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</si>
  <si>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</si>
  <si>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</si>
  <si>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</si>
  <si>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</si>
  <si>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</si>
  <si>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</si>
  <si>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</si>
  <si>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</si>
  <si>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</si>
  <si>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</si>
  <si>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</si>
  <si>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</si>
  <si>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</si>
  <si>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</si>
  <si>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</si>
  <si>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</si>
  <si>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</si>
  <si>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</si>
  <si>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</si>
  <si>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</si>
  <si>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</si>
  <si>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</si>
  <si>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</si>
  <si>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</si>
  <si>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</si>
  <si>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</si>
  <si>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</si>
  <si>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</si>
  <si>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</si>
  <si>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</si>
  <si>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</si>
  <si>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</si>
  <si>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</si>
  <si>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</si>
  <si>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</si>
  <si>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</si>
  <si>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</si>
  <si>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</si>
  <si>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</si>
  <si>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</si>
  <si>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</si>
  <si>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</si>
  <si>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</si>
  <si>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</si>
  <si>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</si>
  <si>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</si>
  <si>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</si>
  <si>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</si>
  <si>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</si>
  <si>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</si>
  <si>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</si>
  <si>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</si>
  <si>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</si>
  <si>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</si>
  <si>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</si>
  <si>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</si>
  <si>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</si>
  <si>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</si>
  <si>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</si>
  <si>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</si>
  <si>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</si>
  <si>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</si>
  <si>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</si>
  <si>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</si>
  <si>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</si>
  <si>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</si>
  <si>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</si>
  <si>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</si>
  <si>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</si>
  <si>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</si>
  <si>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</si>
  <si>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</si>
  <si>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</si>
  <si>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</si>
  <si>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</si>
  <si>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</si>
  <si>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</si>
  <si>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</si>
  <si>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</si>
  <si>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</si>
  <si>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</si>
  <si>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</si>
  <si>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</si>
  <si>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</si>
  <si>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</si>
  <si>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</si>
  <si>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</si>
  <si>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</si>
  <si>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</si>
  <si>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</si>
  <si>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</si>
  <si>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</si>
  <si>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</si>
  <si>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</si>
  <si>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</si>
  <si>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</si>
  <si>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</si>
  <si>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</si>
  <si>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</si>
  <si>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</si>
  <si>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</si>
  <si>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</si>
  <si>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</si>
  <si>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</si>
  <si>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</si>
  <si>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</si>
  <si>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</si>
  <si>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</si>
  <si>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</si>
  <si>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</si>
  <si>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</si>
  <si>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</si>
  <si>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</si>
  <si>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</si>
  <si>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</si>
  <si>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</si>
  <si>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</si>
  <si>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</si>
  <si>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</si>
  <si>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</si>
  <si>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</si>
  <si>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</si>
  <si>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</si>
  <si>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</si>
  <si>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</si>
  <si>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</si>
  <si>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</si>
  <si>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</si>
  <si>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</si>
  <si>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</si>
  <si>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</si>
  <si>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</si>
  <si>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</si>
  <si>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</si>
  <si>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</si>
  <si>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</si>
  <si>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</si>
  <si>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</si>
  <si>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</si>
  <si>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</si>
  <si>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</si>
  <si>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</si>
  <si>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</si>
  <si>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</si>
  <si>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</si>
  <si>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</si>
  <si>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</si>
  <si>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</si>
  <si>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</si>
  <si>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</si>
  <si>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</si>
  <si>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</si>
  <si>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</si>
  <si>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</si>
  <si>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</si>
  <si>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</si>
  <si>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</si>
  <si>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</si>
  <si>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</si>
  <si>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</si>
  <si>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</si>
  <si>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</si>
  <si>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</si>
  <si>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</si>
  <si>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</si>
  <si>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</si>
  <si>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</si>
  <si>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</si>
  <si>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</si>
  <si>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</si>
  <si>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</si>
  <si>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</si>
  <si>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</si>
  <si>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</si>
  <si>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</si>
  <si>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</si>
  <si>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</si>
  <si>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</si>
  <si>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</si>
  <si>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</si>
  <si>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</si>
  <si>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</si>
  <si>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</si>
  <si>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</si>
  <si>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</si>
  <si>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</si>
  <si>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</si>
  <si>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</si>
  <si>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</si>
  <si>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</si>
  <si>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</si>
  <si>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</si>
  <si>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</si>
  <si>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</si>
  <si>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</si>
  <si>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</si>
  <si>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</si>
  <si>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</si>
  <si>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</si>
  <si>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</si>
  <si>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</si>
  <si>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</si>
  <si>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</si>
  <si>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</si>
  <si>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</si>
  <si>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</si>
  <si>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</si>
  <si>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</si>
  <si>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</si>
  <si>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</si>
  <si>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</si>
  <si>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</si>
  <si>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</si>
  <si>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</si>
  <si>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</si>
  <si>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</si>
  <si>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</si>
  <si>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</si>
  <si>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</si>
  <si>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</si>
  <si>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</si>
  <si>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</si>
  <si>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</si>
  <si>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</si>
  <si>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</si>
  <si>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</si>
  <si>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</si>
  <si>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</si>
  <si>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</si>
  <si>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</si>
  <si>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</si>
  <si>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</si>
  <si>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</si>
  <si>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</si>
  <si>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</si>
  <si>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</si>
  <si>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</si>
  <si>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</si>
  <si>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</si>
  <si>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</si>
  <si>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</si>
  <si>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</si>
  <si>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</si>
  <si>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</si>
  <si>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</si>
  <si>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</si>
  <si>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</si>
  <si>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</si>
  <si>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</si>
  <si>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</si>
  <si>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</si>
  <si>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</si>
  <si>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</si>
  <si>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</si>
  <si>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</si>
  <si>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</si>
  <si>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</si>
  <si>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</si>
  <si>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</si>
  <si>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</si>
  <si>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</si>
  <si>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</si>
  <si>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</si>
  <si>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</si>
  <si>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</si>
  <si>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</si>
  <si>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</si>
  <si>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</si>
  <si>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</si>
  <si>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</si>
  <si>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</si>
  <si>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</si>
  <si>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</si>
  <si>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</si>
  <si>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</si>
  <si>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</si>
  <si>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</si>
  <si>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</si>
  <si>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</si>
  <si>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</si>
  <si>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</si>
  <si>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</si>
  <si>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</si>
  <si>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</si>
  <si>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</si>
  <si>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</si>
  <si>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</si>
  <si>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</si>
  <si>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</si>
  <si>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</si>
  <si>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</si>
  <si>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</si>
  <si>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</si>
  <si>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</si>
  <si>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</si>
  <si>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</si>
  <si>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</si>
  <si>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</si>
  <si>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</si>
  <si>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</si>
  <si>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</si>
  <si>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</si>
  <si>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</si>
  <si>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</si>
  <si>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</si>
  <si>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</si>
  <si>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</si>
  <si>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</si>
  <si>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</si>
  <si>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</si>
  <si>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</si>
  <si>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</si>
  <si>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</si>
  <si>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</si>
  <si>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</si>
  <si>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</si>
  <si>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</si>
  <si>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</si>
  <si>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</si>
  <si>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</si>
  <si>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</si>
  <si>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</si>
  <si>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</si>
  <si>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</si>
  <si>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</si>
  <si>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</si>
  <si>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</si>
  <si>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</si>
  <si>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</si>
  <si>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</si>
  <si>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</si>
  <si>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</si>
  <si>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</si>
  <si>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</si>
  <si>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</si>
  <si>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</si>
  <si>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</si>
  <si>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</si>
  <si>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</si>
  <si>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</si>
  <si>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</si>
  <si>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</si>
  <si>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</si>
  <si>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</si>
  <si>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</si>
  <si>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</si>
  <si>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</si>
  <si>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</si>
  <si>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</si>
  <si>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</si>
  <si>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</si>
  <si>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</si>
  <si>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</si>
  <si>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</si>
  <si>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</si>
  <si>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</si>
  <si>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</si>
  <si>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</si>
  <si>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</si>
  <si>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</si>
  <si>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</si>
  <si>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</si>
  <si>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</si>
  <si>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</si>
  <si>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</si>
  <si>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</si>
  <si>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</si>
  <si>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</si>
  <si>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</si>
  <si>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</si>
  <si>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</si>
  <si>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</si>
  <si>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</si>
  <si>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</si>
  <si>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</si>
  <si>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</si>
  <si>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</si>
  <si>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</si>
  <si>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</si>
  <si>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</si>
  <si>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</si>
  <si>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</si>
  <si>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</si>
  <si>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</si>
  <si>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</si>
  <si>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</si>
  <si>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</si>
  <si>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</si>
  <si>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</si>
  <si>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</si>
  <si>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</si>
  <si>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</si>
  <si>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</si>
  <si>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</si>
  <si>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</si>
  <si>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</si>
  <si>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</si>
  <si>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</si>
  <si>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</si>
  <si>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</si>
  <si>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</si>
  <si>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</si>
  <si>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</si>
  <si>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</si>
  <si>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</si>
  <si>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</si>
  <si>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</si>
  <si>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</si>
  <si>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</si>
  <si>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</si>
  <si>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</si>
  <si>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</si>
  <si>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</si>
  <si>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</si>
  <si>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</si>
  <si>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</si>
  <si>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</si>
  <si>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</si>
  <si>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</si>
  <si>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</si>
  <si>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</si>
  <si>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</si>
  <si>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</si>
  <si>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</si>
  <si>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</si>
  <si>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</si>
  <si>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</si>
  <si>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</si>
  <si>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</si>
  <si>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</si>
  <si>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</si>
  <si>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</si>
  <si>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</si>
  <si>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</si>
  <si>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</si>
  <si>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</si>
  <si>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</si>
  <si>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</si>
  <si>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</si>
  <si>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</si>
  <si>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</si>
  <si>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</si>
  <si>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</si>
  <si>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</si>
  <si>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</si>
  <si>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</si>
  <si>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</si>
  <si>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</si>
  <si>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</si>
  <si>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</si>
  <si>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</si>
  <si>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</si>
  <si>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</si>
  <si>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</si>
  <si>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</si>
  <si>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</si>
  <si>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</si>
  <si>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</si>
  <si>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</si>
  <si>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</si>
  <si>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</si>
  <si>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</si>
  <si>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</si>
  <si>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</si>
  <si>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</si>
  <si>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</si>
  <si>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</si>
  <si>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</si>
  <si>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</si>
  <si>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</si>
  <si>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</si>
  <si>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</si>
  <si>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</si>
  <si>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</si>
  <si>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</si>
  <si>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</si>
  <si>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</si>
  <si>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</si>
  <si>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</si>
  <si>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</si>
  <si>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</si>
  <si>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</si>
  <si>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</si>
  <si>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</si>
  <si>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</si>
  <si>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</si>
  <si>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</si>
  <si>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</si>
  <si>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</si>
  <si>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</si>
  <si>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</si>
  <si>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</si>
  <si>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</si>
  <si>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</si>
  <si>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</si>
  <si>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</si>
  <si>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</si>
  <si>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</si>
  <si>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</si>
  <si>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</si>
  <si>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</si>
  <si>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</si>
  <si>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</si>
  <si>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</si>
  <si>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</si>
  <si>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</si>
  <si>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</si>
  <si>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</si>
  <si>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</si>
  <si>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</si>
  <si>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</si>
  <si>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</si>
  <si>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</si>
  <si>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</si>
  <si>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</si>
  <si>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</si>
  <si>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</si>
  <si>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</si>
  <si>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</si>
  <si>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</si>
  <si>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</si>
  <si>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</si>
  <si>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</si>
  <si>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</si>
  <si>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</si>
  <si>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</si>
  <si>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</si>
  <si>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</si>
  <si>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</si>
  <si>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</si>
  <si>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</si>
  <si>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</si>
  <si>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</si>
  <si>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</si>
  <si>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</si>
  <si>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</si>
  <si>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</si>
  <si>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</si>
  <si>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</si>
  <si>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</si>
  <si>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</si>
  <si>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</si>
  <si>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</si>
  <si>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</si>
  <si>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</si>
  <si>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</si>
  <si>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</si>
  <si>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</si>
  <si>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</si>
  <si>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</si>
  <si>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</si>
  <si>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</si>
  <si>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</si>
  <si>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</si>
  <si>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</si>
  <si>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</si>
  <si>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</si>
  <si>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</si>
  <si>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</si>
  <si>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</si>
  <si>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</si>
  <si>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</si>
  <si>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</si>
  <si>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</si>
  <si>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</si>
  <si>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</si>
  <si>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</si>
  <si>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</si>
  <si>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</si>
  <si>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</si>
  <si>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</si>
  <si>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</si>
  <si>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</si>
  <si>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</si>
  <si>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</si>
  <si>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</si>
  <si>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</si>
  <si>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</si>
  <si>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</si>
  <si>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</si>
  <si>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</si>
  <si>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</si>
  <si>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</si>
  <si>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</si>
  <si>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</si>
  <si>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</si>
  <si>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</si>
  <si>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</si>
  <si>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</si>
  <si>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</si>
  <si>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</si>
  <si>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</si>
  <si>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</si>
  <si>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</si>
  <si>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</si>
  <si>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</si>
  <si>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</si>
  <si>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</si>
  <si>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</si>
  <si>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</si>
  <si>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</si>
  <si>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</si>
  <si>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</si>
  <si>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</si>
  <si>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</si>
  <si>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</si>
  <si>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</si>
  <si>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</si>
  <si>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</si>
  <si>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</si>
  <si>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</si>
  <si>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</si>
  <si>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</si>
  <si>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</si>
  <si>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</si>
  <si>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</si>
  <si>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</si>
  <si>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</si>
  <si>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</si>
  <si>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</si>
  <si>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</si>
  <si>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</si>
  <si>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</si>
  <si>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</si>
  <si>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</si>
  <si>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</si>
  <si>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</si>
  <si>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</si>
  <si>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</si>
  <si>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</si>
  <si>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</si>
  <si>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</si>
  <si>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</si>
  <si>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</si>
  <si>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</si>
  <si>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</si>
  <si>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</si>
  <si>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</si>
  <si>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</si>
  <si>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</si>
  <si>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</si>
  <si>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</si>
  <si>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</si>
  <si>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</si>
  <si>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</si>
  <si>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</si>
  <si>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</si>
  <si>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</si>
  <si>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</si>
  <si>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</si>
  <si>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</si>
  <si>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</si>
  <si>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</si>
  <si>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</si>
  <si>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</si>
  <si>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</si>
  <si>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</si>
  <si>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</si>
  <si>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</si>
  <si>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</si>
  <si>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</si>
  <si>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</si>
  <si>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</si>
  <si>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</si>
  <si>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</si>
  <si>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</si>
  <si>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</si>
  <si>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</si>
  <si>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</si>
  <si>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</si>
  <si>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</si>
  <si>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</si>
  <si>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</si>
  <si>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</si>
  <si>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</si>
  <si>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</si>
  <si>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</si>
  <si>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</si>
  <si>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</si>
  <si>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</si>
  <si>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</si>
  <si>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</si>
  <si>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</si>
  <si>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</si>
  <si>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</si>
  <si>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</si>
  <si>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</si>
  <si>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</si>
  <si>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</si>
  <si>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</si>
  <si>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</si>
  <si>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</si>
  <si>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</si>
  <si>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</si>
  <si>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</si>
  <si>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</si>
  <si>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</si>
  <si>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</si>
  <si>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</si>
  <si>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</si>
  <si>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</si>
  <si>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</si>
  <si>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</si>
  <si>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</si>
  <si>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</si>
  <si>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</si>
  <si>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</si>
  <si>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</si>
  <si>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</si>
  <si>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</si>
  <si>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</si>
  <si>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</si>
  <si>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</si>
  <si>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</si>
  <si>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</si>
  <si>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</si>
  <si>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</si>
  <si>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</si>
  <si>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</si>
  <si>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</si>
  <si>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</si>
  <si>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</si>
  <si>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</si>
  <si>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</si>
  <si>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</si>
  <si>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</si>
  <si>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</si>
  <si>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</si>
  <si>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</si>
  <si>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</si>
  <si>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</si>
  <si>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</si>
  <si>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</si>
  <si>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</si>
  <si>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</si>
  <si>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</si>
  <si>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</si>
  <si>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</si>
  <si>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</si>
  <si>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</si>
  <si>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</si>
  <si>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</si>
  <si>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</si>
  <si>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</si>
  <si>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</si>
  <si>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</si>
  <si>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</si>
  <si>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</si>
  <si>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</si>
  <si>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</si>
  <si>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</si>
  <si>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</si>
  <si>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</si>
  <si>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</si>
  <si>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</si>
  <si>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</si>
  <si>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</si>
  <si>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</si>
  <si>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</si>
  <si>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</si>
  <si>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</si>
  <si>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</si>
  <si>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</si>
  <si>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</si>
  <si>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</si>
  <si>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</si>
  <si>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</si>
  <si>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</si>
  <si>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</si>
  <si>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</si>
  <si>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</si>
  <si>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</si>
  <si>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</si>
  <si>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</si>
  <si>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</si>
  <si>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</si>
  <si>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</si>
  <si>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</si>
  <si>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</si>
  <si>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</si>
  <si>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</si>
  <si>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</si>
  <si>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</si>
  <si>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</si>
  <si>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</si>
  <si>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</si>
  <si>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</si>
  <si>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</si>
  <si>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</si>
  <si>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</si>
  <si>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</si>
  <si>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</si>
  <si>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</si>
  <si>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</si>
  <si>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</si>
  <si>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</si>
  <si>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</si>
  <si>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</si>
  <si>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</si>
  <si>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</si>
  <si>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</si>
  <si>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</si>
  <si>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</si>
  <si>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</si>
  <si>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</si>
  <si>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</si>
  <si>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</si>
  <si>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</si>
  <si>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</si>
  <si>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</si>
  <si>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</si>
  <si>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</si>
  <si>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</si>
  <si>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</si>
  <si>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</si>
  <si>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</si>
  <si>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</si>
  <si>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</si>
  <si>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</si>
  <si>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</si>
  <si>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</si>
  <si>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</si>
  <si>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</si>
  <si>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</si>
  <si>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</si>
  <si>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</si>
  <si>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</si>
  <si>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</si>
  <si>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</si>
  <si>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</si>
  <si>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</si>
  <si>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</si>
  <si>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</si>
  <si>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</si>
  <si>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</si>
  <si>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</si>
  <si>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</si>
  <si>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</si>
  <si>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</si>
  <si>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</si>
  <si>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</si>
  <si>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</si>
  <si>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</si>
  <si>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</si>
  <si>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</si>
  <si>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</si>
  <si>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</si>
  <si>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</si>
  <si>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</si>
  <si>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</si>
  <si>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</si>
  <si>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</si>
  <si>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</si>
  <si>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</si>
  <si>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</si>
  <si>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</si>
  <si>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</si>
  <si>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</si>
  <si>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</si>
  <si>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</si>
  <si>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</si>
  <si>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</si>
  <si>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</si>
  <si>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</si>
  <si>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</si>
  <si>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</si>
  <si>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</si>
  <si>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</si>
  <si>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</si>
  <si>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</si>
  <si>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</si>
  <si>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</si>
  <si>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</si>
  <si>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</si>
  <si>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</si>
  <si>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</si>
  <si>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</si>
  <si>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</si>
  <si>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</si>
  <si>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</si>
  <si>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</si>
  <si>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</si>
  <si>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</si>
  <si>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</si>
  <si>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</si>
  <si>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</si>
  <si>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</si>
  <si>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</si>
  <si>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</si>
  <si>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</si>
  <si>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</si>
  <si>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</si>
  <si>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</si>
  <si>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</si>
  <si>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</si>
  <si>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</si>
  <si>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</si>
  <si>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</si>
  <si>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</si>
  <si>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</si>
  <si>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</si>
  <si>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</si>
  <si>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</si>
  <si>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</si>
  <si>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</si>
  <si>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</si>
  <si>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</si>
  <si>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</si>
  <si>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</si>
  <si>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</si>
  <si>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</si>
  <si>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</si>
  <si>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</si>
  <si>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</si>
  <si>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</si>
  <si>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</si>
  <si>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</si>
  <si>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</si>
  <si>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</si>
  <si>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</si>
  <si>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</si>
  <si>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</si>
  <si>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</si>
  <si>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</si>
  <si>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</si>
  <si>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</si>
  <si>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</si>
  <si>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</si>
  <si>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</si>
  <si>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</si>
  <si>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</si>
  <si>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</si>
  <si>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</si>
  <si>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</si>
  <si>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</si>
  <si>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</si>
  <si>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</si>
  <si>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</si>
  <si>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</si>
  <si>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</si>
  <si>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</si>
  <si>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</si>
  <si>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</si>
  <si>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</si>
  <si>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</si>
  <si>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</si>
  <si>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</si>
  <si>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</si>
  <si>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</si>
  <si>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</si>
  <si>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</si>
  <si>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</si>
  <si>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</si>
  <si>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</si>
  <si>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</si>
  <si>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</si>
  <si>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</si>
  <si>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</si>
  <si>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</si>
  <si>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</si>
  <si>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</si>
  <si>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</si>
  <si>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</si>
  <si>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</si>
  <si>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</si>
  <si>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</si>
  <si>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</si>
  <si>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</si>
  <si>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</si>
  <si>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</si>
  <si>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</si>
  <si>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</si>
  <si>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</si>
  <si>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</si>
  <si>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</si>
  <si>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</si>
  <si>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</si>
  <si>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</si>
  <si>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</si>
  <si>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</si>
  <si>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</si>
  <si>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</si>
  <si>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</si>
  <si>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</si>
  <si>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</si>
  <si>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</si>
  <si>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</si>
  <si>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</si>
  <si>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</si>
  <si>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</si>
  <si>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</si>
  <si>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</si>
  <si>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</si>
  <si>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</si>
  <si>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</si>
  <si>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</si>
  <si>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</si>
  <si>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</si>
  <si>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</si>
  <si>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</si>
  <si>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</si>
  <si>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</si>
  <si>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</si>
  <si>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</si>
  <si>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</si>
  <si>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</si>
  <si>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</si>
  <si>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</si>
  <si>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</si>
  <si>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</si>
  <si>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</si>
  <si>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</si>
  <si>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</si>
  <si>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</si>
  <si>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</si>
  <si>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</si>
  <si>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</si>
  <si>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</si>
  <si>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</si>
  <si>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</si>
  <si>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</si>
  <si>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</si>
  <si>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</si>
  <si>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</si>
  <si>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</si>
  <si>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</si>
  <si>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</si>
  <si>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</si>
  <si>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</si>
  <si>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</si>
  <si>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</si>
  <si>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</si>
  <si>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</si>
  <si>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</si>
  <si>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</si>
  <si>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</si>
  <si>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</si>
  <si>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</si>
  <si>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</si>
  <si>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</si>
  <si>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</si>
  <si>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</si>
  <si>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</si>
  <si>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</si>
  <si>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</si>
  <si>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</si>
  <si>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</si>
  <si>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</si>
  <si>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</si>
  <si>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</si>
  <si>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</si>
  <si>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</si>
  <si>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</si>
  <si>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</si>
  <si>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</si>
  <si>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</si>
  <si>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</si>
  <si>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</si>
  <si>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</si>
  <si>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</si>
  <si>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</si>
  <si>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</si>
  <si>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</si>
  <si>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</si>
  <si>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</si>
  <si>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</si>
  <si>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</si>
  <si>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</si>
  <si>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</si>
  <si>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</si>
  <si>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</si>
  <si>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</si>
  <si>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</si>
  <si>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</si>
  <si>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</si>
  <si>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</si>
  <si>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</si>
  <si>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</si>
  <si>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</si>
  <si>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</si>
  <si>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</si>
  <si>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</si>
  <si>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</si>
  <si>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</si>
  <si>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</si>
  <si>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</si>
  <si>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</si>
  <si>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</si>
  <si>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</si>
  <si>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</si>
  <si>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</si>
  <si>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</si>
  <si>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</si>
  <si>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</si>
  <si>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</si>
  <si>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</si>
  <si>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</si>
  <si>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</si>
  <si>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</si>
  <si>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</si>
  <si>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</si>
  <si>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</si>
  <si>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</si>
  <si>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</si>
  <si>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</si>
  <si>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</si>
  <si>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</si>
  <si>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</si>
  <si>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</si>
  <si>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</si>
  <si>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</si>
  <si>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</si>
  <si>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</si>
  <si>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</si>
  <si>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</si>
  <si>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</si>
  <si>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</si>
  <si>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</si>
  <si>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</si>
  <si>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</si>
  <si>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</si>
  <si>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</si>
  <si>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</si>
  <si>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</si>
  <si>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</si>
  <si>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</si>
  <si>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</si>
  <si>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</si>
  <si>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</si>
  <si>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</si>
  <si>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</si>
  <si>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</si>
  <si>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</si>
  <si>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</si>
  <si>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</si>
  <si>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</si>
  <si>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</si>
  <si>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</si>
  <si>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</si>
  <si>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</si>
  <si>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</si>
  <si>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</si>
  <si>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</si>
  <si>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</si>
  <si>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</si>
  <si>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</si>
  <si>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</si>
  <si>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</si>
  <si>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</si>
  <si>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</si>
  <si>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</si>
  <si>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</si>
  <si>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</si>
  <si>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</si>
  <si>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</si>
  <si>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</si>
  <si>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</si>
  <si>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</si>
  <si>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</si>
  <si>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</si>
  <si>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</si>
  <si>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</si>
  <si>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</si>
  <si>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</si>
  <si>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</si>
  <si>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</si>
  <si>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</si>
  <si>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</si>
  <si>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</si>
  <si>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</si>
  <si>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</si>
  <si>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</si>
  <si>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</si>
  <si>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</si>
  <si>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</si>
  <si>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</si>
  <si>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</si>
  <si>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</si>
  <si>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</si>
  <si>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</si>
  <si>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</si>
  <si>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</si>
  <si>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</si>
  <si>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</si>
  <si>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</si>
  <si>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</si>
  <si>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</si>
  <si>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</si>
  <si>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</si>
  <si>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</si>
  <si>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</si>
  <si>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</si>
  <si>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</si>
  <si>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</si>
  <si>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</si>
  <si>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</si>
  <si>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</si>
  <si>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</si>
  <si>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</si>
  <si>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</si>
  <si>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</si>
  <si>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</si>
  <si>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</si>
  <si>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</si>
  <si>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</si>
  <si>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</si>
  <si>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</si>
  <si>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</si>
  <si>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</si>
  <si>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</si>
  <si>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</si>
  <si>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</si>
  <si>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</si>
  <si>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</si>
  <si>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</si>
  <si>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</si>
  <si>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</si>
  <si>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</si>
  <si>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</si>
  <si>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</si>
  <si>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</si>
  <si>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</si>
  <si>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</si>
  <si>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</si>
  <si>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</si>
  <si>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</si>
  <si>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</si>
  <si>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</si>
  <si>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</si>
  <si>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</si>
  <si>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</si>
  <si>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</si>
  <si>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</si>
  <si>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</si>
  <si>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</si>
  <si>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</si>
  <si>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</si>
  <si>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</si>
  <si>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</si>
  <si>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</si>
  <si>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</si>
  <si>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</si>
  <si>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</si>
  <si>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</si>
  <si>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</si>
  <si>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</si>
  <si>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</si>
  <si>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</si>
  <si>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</si>
  <si>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</si>
  <si>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</si>
  <si>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</si>
  <si>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</si>
  <si>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</si>
  <si>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</si>
  <si>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</si>
  <si>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</si>
  <si>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</si>
  <si>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</si>
  <si>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</si>
  <si>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</si>
  <si>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</si>
  <si>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</si>
  <si>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</si>
  <si>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</si>
  <si>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</si>
  <si>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</si>
  <si>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</si>
  <si>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</si>
  <si>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</si>
  <si>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</si>
  <si>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</si>
  <si>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</si>
  <si>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</si>
  <si>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</si>
  <si>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</si>
  <si>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</si>
  <si>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</si>
  <si>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</si>
  <si>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</si>
  <si>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</si>
  <si>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</si>
  <si>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</si>
  <si>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</si>
  <si>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</si>
  <si>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</si>
  <si>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</si>
  <si>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</si>
  <si>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</si>
  <si>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</si>
  <si>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</si>
  <si>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</si>
  <si>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</si>
  <si>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</si>
  <si>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</si>
  <si>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</si>
  <si>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</si>
  <si>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</si>
  <si>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</si>
  <si>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</si>
  <si>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</si>
  <si>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</si>
  <si>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</si>
  <si>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</si>
  <si>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</si>
  <si>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</si>
  <si>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</si>
  <si>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</si>
  <si>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</si>
  <si>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</si>
  <si>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</si>
  <si>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</si>
  <si>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</si>
  <si>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</si>
  <si>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</si>
  <si>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</si>
  <si>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</si>
  <si>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</si>
  <si>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</si>
  <si>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</si>
  <si>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</si>
  <si>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</si>
  <si>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</si>
  <si>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</si>
  <si>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</si>
  <si>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</si>
  <si>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</si>
  <si>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</si>
  <si>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</si>
  <si>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</si>
  <si>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</si>
  <si>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</si>
  <si>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</si>
  <si>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</si>
  <si>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</si>
  <si>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</si>
  <si>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</si>
  <si>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</si>
  <si>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</si>
  <si>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</si>
  <si>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</si>
  <si>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</si>
  <si>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</si>
  <si>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</si>
  <si>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</si>
  <si>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</si>
  <si>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</si>
  <si>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</si>
  <si>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</si>
  <si>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</si>
  <si>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</si>
  <si>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</si>
  <si>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</si>
  <si>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</si>
  <si>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</si>
  <si>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</si>
  <si>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</si>
  <si>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</si>
  <si>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</si>
  <si>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</si>
  <si>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</si>
  <si>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</si>
  <si>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</si>
  <si>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</si>
  <si>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</si>
  <si>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</si>
  <si>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</si>
  <si>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</si>
  <si>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</si>
  <si>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</si>
  <si>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</si>
  <si>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</si>
  <si>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</si>
  <si>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</si>
  <si>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</si>
  <si>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</si>
  <si>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</si>
  <si>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</si>
  <si>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</si>
  <si>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</si>
  <si>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</si>
  <si>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</si>
  <si>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</si>
  <si>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</si>
  <si>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</si>
  <si>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</si>
  <si>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</si>
  <si>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</si>
  <si>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</si>
  <si>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</si>
  <si>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</si>
  <si>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</si>
  <si>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</si>
  <si>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</si>
  <si>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</si>
  <si>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</si>
  <si>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</si>
  <si>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</si>
  <si>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</si>
  <si>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</si>
  <si>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</si>
  <si>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</si>
  <si>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</si>
  <si>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</si>
  <si>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</si>
  <si>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</si>
  <si>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</si>
  <si>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</si>
  <si>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</si>
  <si>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</si>
  <si>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</si>
  <si>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</si>
  <si>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</si>
  <si>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</si>
  <si>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</si>
  <si>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</si>
  <si>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</si>
  <si>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</si>
  <si>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</si>
  <si>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</si>
  <si>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</si>
  <si>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</si>
  <si>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</si>
  <si>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</si>
  <si>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</si>
  <si>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</si>
  <si>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</si>
  <si>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</si>
  <si>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</si>
  <si>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</si>
  <si>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</si>
  <si>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</si>
  <si>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</si>
  <si>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</si>
  <si>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</si>
  <si>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</si>
  <si>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</si>
  <si>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</si>
  <si>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</si>
  <si>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</si>
  <si>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</si>
  <si>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</si>
  <si>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</si>
  <si>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</si>
  <si>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</si>
  <si>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</si>
  <si>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</si>
  <si>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</si>
  <si>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</si>
  <si>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</si>
  <si>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</si>
  <si>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</si>
  <si>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</si>
  <si>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</si>
  <si>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</si>
  <si>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</si>
  <si>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</si>
  <si>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</si>
  <si>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</si>
  <si>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</si>
  <si>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</si>
  <si>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</si>
  <si>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</si>
  <si>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</si>
  <si>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</si>
  <si>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</si>
  <si>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</si>
  <si>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</si>
  <si>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</si>
  <si>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</si>
  <si>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</si>
  <si>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</si>
  <si>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</si>
  <si>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</si>
  <si>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</si>
  <si>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</si>
  <si>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</si>
  <si>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</si>
  <si>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</si>
  <si>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</si>
  <si>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</si>
  <si>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</si>
  <si>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</si>
  <si>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</si>
  <si>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</si>
  <si>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</si>
  <si>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</si>
  <si>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</si>
  <si>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</si>
  <si>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</si>
  <si>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</si>
  <si>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</si>
  <si>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</si>
  <si>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</si>
  <si>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</si>
  <si>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</si>
  <si>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</si>
  <si>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</si>
  <si>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</si>
  <si>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</si>
  <si>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</si>
  <si>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</si>
  <si>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</si>
  <si>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</si>
  <si>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</si>
  <si>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</si>
  <si>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</si>
  <si>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</si>
  <si>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</si>
  <si>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</si>
  <si>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</si>
  <si>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</si>
  <si>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</si>
  <si>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</si>
  <si>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</si>
  <si>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</si>
  <si>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</si>
  <si>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</si>
  <si>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</si>
  <si>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</si>
  <si>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</si>
  <si>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</si>
  <si>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</si>
  <si>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</si>
  <si>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</si>
  <si>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</si>
  <si>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</si>
  <si>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</si>
  <si>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</si>
  <si>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</si>
  <si>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</si>
  <si>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</si>
  <si>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</si>
  <si>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</si>
  <si>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</si>
  <si>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</si>
  <si>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</si>
  <si>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</si>
  <si>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</si>
  <si>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</si>
  <si>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</si>
  <si>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</si>
  <si>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</si>
  <si>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</si>
  <si>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</si>
  <si>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</si>
  <si>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</si>
  <si>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</si>
  <si>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</si>
  <si>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</si>
  <si>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</si>
  <si>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</si>
  <si>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</si>
  <si>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</si>
  <si>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</si>
  <si>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</si>
  <si>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</si>
  <si>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</si>
  <si>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</si>
  <si>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</si>
  <si>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</si>
  <si>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</si>
  <si>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</si>
  <si>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</si>
  <si>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</si>
  <si>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</si>
  <si>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</si>
  <si>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</si>
  <si>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</si>
  <si>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</si>
  <si>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</si>
  <si>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</si>
  <si>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</si>
  <si>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</si>
  <si>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</si>
  <si>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</si>
  <si>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</si>
  <si>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</si>
  <si>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</si>
  <si>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</si>
  <si>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</si>
  <si>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</si>
  <si>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</si>
  <si>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</si>
  <si>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</si>
  <si>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</si>
  <si>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</si>
  <si>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</si>
  <si>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</si>
  <si>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</si>
  <si>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</si>
  <si>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</si>
  <si>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</si>
  <si>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</si>
  <si>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</si>
  <si>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</si>
  <si>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</si>
  <si>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</si>
  <si>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</si>
  <si>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</si>
  <si>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</si>
  <si>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</si>
  <si>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</si>
  <si>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</si>
  <si>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</si>
  <si>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</si>
  <si>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</si>
  <si>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</si>
  <si>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</si>
  <si>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</si>
  <si>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</si>
  <si>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</si>
  <si>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</si>
  <si>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</si>
  <si>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</si>
  <si>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</si>
  <si>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</si>
  <si>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</si>
  <si>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</si>
  <si>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</si>
  <si>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</si>
  <si>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</si>
  <si>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</si>
  <si>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</si>
  <si>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</si>
  <si>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</si>
  <si>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</si>
  <si>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</si>
  <si>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</si>
  <si>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</si>
  <si>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</si>
  <si>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</si>
  <si>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</si>
  <si>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</si>
  <si>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</si>
  <si>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</si>
  <si>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</si>
  <si>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</si>
  <si>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</si>
  <si>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</si>
  <si>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</si>
  <si>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</si>
  <si>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</si>
  <si>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</si>
  <si>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</si>
  <si>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</si>
  <si>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</si>
  <si>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</si>
  <si>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</si>
  <si>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</si>
  <si>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</si>
  <si>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</si>
  <si>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</si>
  <si>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</si>
  <si>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</si>
  <si>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</si>
  <si>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</si>
  <si>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</si>
  <si>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</si>
  <si>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</si>
  <si>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</si>
  <si>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</si>
  <si>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</si>
  <si>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</si>
  <si>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</si>
  <si>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</si>
  <si>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</si>
  <si>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</si>
  <si>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</si>
  <si>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</si>
  <si>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</si>
  <si>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</si>
  <si>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</si>
  <si>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</si>
  <si>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</si>
  <si>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</si>
  <si>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</si>
  <si>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</si>
  <si>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</si>
  <si>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</si>
  <si>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</si>
  <si>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</si>
  <si>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</si>
  <si>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</si>
  <si>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</si>
  <si>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</si>
  <si>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</si>
  <si>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</si>
  <si>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</si>
  <si>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</si>
  <si>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</si>
  <si>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</si>
  <si>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</si>
  <si>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</si>
  <si>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</si>
  <si>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</si>
  <si>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</si>
  <si>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</si>
  <si>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</si>
  <si>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</si>
  <si>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</si>
  <si>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</si>
  <si>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</si>
  <si>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</si>
  <si>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</si>
  <si>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</si>
  <si>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</si>
  <si>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</si>
  <si>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</si>
  <si>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</si>
  <si>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</si>
  <si>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</si>
  <si>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</si>
  <si>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</si>
  <si>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</si>
  <si>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</si>
  <si>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</si>
  <si>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</si>
  <si>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</si>
  <si>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</si>
  <si>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</si>
  <si>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</si>
  <si>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</si>
  <si>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</si>
  <si>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</si>
  <si>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</si>
  <si>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</si>
  <si>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</si>
  <si>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</si>
  <si>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</si>
  <si>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</si>
  <si>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</si>
  <si>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</si>
  <si>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</si>
  <si>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</si>
  <si>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</si>
  <si>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</si>
  <si>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</si>
  <si>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</si>
  <si>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</si>
  <si>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</si>
  <si>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</si>
  <si>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</si>
  <si>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</si>
  <si>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</si>
  <si>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</si>
  <si>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</si>
  <si>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</si>
  <si>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</si>
  <si>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</si>
  <si>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</si>
  <si>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</si>
  <si>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</si>
  <si>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</si>
  <si>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</si>
  <si>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</si>
  <si>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</si>
  <si>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</si>
  <si>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</si>
  <si>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</si>
  <si>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</si>
  <si>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</si>
  <si>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</si>
  <si>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</si>
  <si>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</si>
  <si>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</si>
  <si>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</si>
  <si>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</si>
  <si>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</si>
  <si>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</si>
  <si>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</si>
  <si>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</si>
  <si>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</si>
  <si>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</si>
  <si>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</si>
  <si>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</si>
  <si>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</si>
  <si>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</si>
  <si>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</si>
  <si>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</si>
  <si>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</si>
  <si>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</si>
  <si>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</si>
  <si>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</si>
  <si>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</si>
  <si>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</si>
  <si>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</si>
  <si>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</si>
  <si>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</si>
  <si>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</si>
  <si>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</si>
  <si>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</si>
  <si>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</si>
  <si>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</si>
  <si>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</si>
  <si>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</si>
  <si>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</si>
  <si>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</si>
  <si>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</si>
  <si>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</si>
  <si>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</si>
  <si>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</si>
  <si>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</si>
  <si>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</si>
  <si>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</si>
  <si>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</si>
  <si>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</si>
  <si>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</si>
  <si>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</si>
  <si>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</si>
  <si>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</si>
  <si>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</si>
  <si>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</si>
  <si>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</si>
  <si>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</si>
  <si>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</si>
  <si>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</si>
  <si>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</si>
  <si>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</si>
  <si>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</si>
  <si>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</si>
  <si>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</si>
  <si>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</si>
  <si>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</si>
  <si>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</si>
  <si>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</si>
  <si>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</si>
  <si>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</si>
  <si>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</si>
  <si>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</si>
  <si>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</si>
  <si>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</si>
  <si>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</si>
  <si>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</si>
  <si>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</si>
  <si>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</si>
  <si>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</si>
  <si>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</si>
  <si>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</si>
  <si>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</si>
  <si>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</si>
  <si>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</si>
  <si>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</si>
  <si>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</si>
  <si>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</si>
  <si>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</si>
  <si>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</si>
  <si>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</si>
  <si>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</si>
  <si>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</si>
  <si>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</si>
  <si>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</si>
  <si>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</si>
  <si>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</si>
  <si>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</si>
  <si>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</si>
  <si>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</si>
  <si>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</si>
  <si>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</si>
  <si>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</si>
  <si>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</si>
  <si>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</si>
  <si>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</si>
  <si>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</si>
  <si>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</si>
  <si>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</si>
  <si>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</si>
  <si>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</si>
  <si>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</si>
  <si>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</si>
  <si>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</si>
  <si>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</si>
  <si>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</si>
  <si>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</si>
  <si>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</si>
  <si>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</si>
  <si>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</si>
  <si>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</si>
  <si>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</si>
  <si>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</si>
  <si>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</si>
  <si>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</si>
  <si>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</si>
  <si>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</si>
  <si>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</si>
  <si>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</si>
  <si>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</si>
  <si>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</si>
  <si>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</si>
  <si>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</si>
  <si>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</si>
  <si>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</si>
  <si>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</si>
  <si>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</si>
  <si>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</si>
  <si>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</si>
  <si>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</si>
  <si>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</si>
  <si>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</si>
  <si>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</si>
  <si>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</si>
  <si>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</si>
  <si>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</si>
  <si>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</si>
  <si>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</si>
  <si>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</si>
  <si>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</si>
  <si>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</si>
  <si>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</si>
  <si>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</si>
  <si>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</si>
  <si>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</si>
  <si>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</si>
  <si>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</si>
  <si>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</si>
  <si>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</si>
  <si>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</si>
  <si>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</si>
  <si>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</si>
  <si>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</si>
  <si>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</si>
  <si>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</si>
  <si>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</si>
  <si>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</si>
  <si>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</si>
  <si>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</si>
  <si>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</si>
  <si>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</si>
  <si>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</si>
  <si>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</si>
  <si>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</si>
  <si>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</si>
  <si>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</si>
  <si>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</si>
  <si>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</si>
  <si>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</si>
  <si>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</si>
  <si>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</si>
  <si>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</si>
  <si>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</si>
  <si>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</si>
  <si>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</si>
  <si>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</si>
  <si>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</si>
  <si>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</si>
  <si>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</si>
  <si>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</si>
  <si>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</si>
  <si>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</si>
  <si>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</si>
  <si>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</si>
  <si>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</si>
  <si>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</si>
  <si>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</si>
  <si>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</si>
  <si>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</si>
  <si>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</si>
  <si>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</si>
  <si>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</si>
  <si>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</si>
  <si>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</si>
  <si>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</si>
  <si>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</si>
  <si>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</si>
  <si>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</si>
  <si>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</si>
  <si>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</si>
  <si>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</si>
  <si>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</si>
  <si>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</si>
  <si>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</si>
  <si>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</si>
  <si>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</si>
  <si>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</si>
  <si>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</si>
  <si>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</si>
  <si>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</si>
  <si>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</si>
  <si>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</si>
  <si>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</si>
  <si>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</si>
  <si>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</si>
  <si>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</si>
  <si>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</si>
  <si>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</si>
  <si>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</si>
  <si>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</si>
  <si>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</si>
  <si>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</si>
  <si>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</si>
  <si>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</si>
  <si>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</si>
  <si>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</si>
  <si>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</si>
  <si>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</si>
  <si>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</si>
  <si>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</si>
  <si>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</si>
  <si>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</si>
  <si>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</si>
  <si>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</si>
  <si>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</si>
  <si>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</si>
  <si>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</si>
  <si>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</si>
  <si>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</si>
  <si>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</si>
  <si>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</si>
  <si>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</si>
  <si>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</si>
  <si>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</si>
  <si>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</si>
  <si>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</si>
  <si>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</si>
  <si>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</si>
  <si>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</si>
  <si>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</si>
  <si>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</si>
  <si>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</si>
  <si>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</si>
  <si>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</si>
  <si>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</si>
  <si>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</si>
  <si>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</si>
  <si>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</si>
  <si>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</si>
  <si>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</si>
  <si>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</si>
  <si>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</si>
  <si>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</si>
  <si>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</si>
  <si>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</si>
  <si>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</si>
  <si>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</si>
  <si>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</si>
  <si>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</si>
  <si>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</si>
  <si>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</si>
  <si>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</si>
  <si>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</si>
  <si>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</si>
  <si>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</si>
  <si>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</si>
  <si>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</si>
  <si>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</si>
  <si>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</si>
  <si>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</si>
  <si>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</si>
  <si>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</si>
  <si>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</si>
  <si>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</si>
  <si>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</si>
  <si>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</si>
  <si>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</si>
  <si>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</si>
  <si>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</si>
  <si>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</si>
  <si>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</si>
  <si>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</si>
  <si>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</si>
  <si>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</si>
  <si>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</si>
  <si>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</si>
  <si>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</si>
  <si>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</si>
  <si>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</si>
  <si>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</si>
  <si>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</si>
  <si>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</si>
  <si>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</si>
  <si>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</si>
  <si>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</si>
  <si>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</si>
  <si>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</si>
  <si>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</si>
  <si>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</si>
  <si>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</si>
  <si>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</si>
  <si>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</si>
  <si>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</si>
  <si>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</si>
  <si>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</si>
  <si>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</si>
  <si>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</si>
  <si>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</si>
  <si>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</si>
  <si>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</si>
  <si>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</si>
  <si>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</si>
  <si>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</si>
  <si>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</si>
  <si>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</si>
  <si>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</si>
  <si>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</si>
  <si>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</si>
  <si>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</si>
  <si>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</si>
  <si>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</si>
  <si>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</si>
  <si>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</si>
  <si>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</si>
  <si>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</si>
  <si>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</si>
  <si>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</si>
  <si>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</si>
  <si>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</si>
  <si>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</si>
  <si>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</si>
  <si>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</si>
  <si>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</si>
  <si>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</si>
  <si>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</si>
  <si>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</si>
  <si>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</si>
  <si>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</si>
  <si>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</si>
  <si>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</si>
  <si>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</si>
  <si>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</si>
  <si>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</si>
  <si>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</si>
  <si>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</si>
  <si>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</si>
  <si>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</si>
  <si>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</si>
  <si>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</si>
  <si>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</si>
  <si>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</si>
  <si>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</si>
  <si>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</si>
  <si>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</si>
  <si>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</si>
  <si>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</si>
  <si>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</si>
  <si>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</si>
  <si>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</si>
  <si>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</si>
  <si>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</si>
  <si>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</si>
  <si>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</si>
  <si>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</si>
  <si>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</si>
  <si>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</si>
  <si>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</si>
  <si>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</si>
  <si>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</si>
  <si>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</si>
  <si>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</si>
  <si>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</si>
  <si>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</si>
  <si>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</si>
  <si>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</si>
  <si>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</si>
  <si>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</si>
  <si>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</si>
  <si>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</si>
  <si>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</si>
  <si>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</si>
  <si>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</si>
  <si>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</si>
  <si>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</si>
  <si>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</si>
  <si>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</si>
  <si>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</si>
  <si>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</si>
  <si>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</si>
  <si>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</si>
  <si>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</si>
  <si>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</si>
  <si>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</si>
  <si>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</si>
  <si>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</si>
  <si>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</si>
  <si>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</si>
  <si>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</si>
  <si>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</si>
  <si>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</si>
  <si>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</si>
  <si>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</si>
  <si>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</si>
  <si>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</si>
  <si>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</si>
  <si>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</si>
  <si>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</si>
  <si>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</si>
  <si>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</si>
  <si>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</si>
  <si>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</si>
  <si>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</si>
  <si>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</si>
  <si>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</si>
  <si>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</si>
  <si>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</si>
  <si>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</si>
  <si>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</si>
  <si>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</si>
  <si>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</si>
  <si>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</si>
  <si>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</si>
  <si>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</si>
  <si>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</si>
  <si>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</si>
  <si>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</si>
  <si>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</si>
  <si>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</si>
  <si>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</si>
  <si>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</si>
  <si>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</si>
  <si>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</si>
  <si>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</si>
  <si>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</si>
  <si>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</si>
  <si>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</si>
  <si>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</si>
  <si>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</si>
  <si>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</si>
  <si>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</si>
  <si>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</si>
  <si>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</si>
  <si>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</si>
  <si>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</si>
  <si>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</si>
  <si>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</si>
  <si>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</si>
  <si>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</si>
  <si>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</si>
  <si>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</si>
  <si>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</si>
  <si>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</si>
  <si>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</si>
  <si>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</si>
  <si>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</si>
  <si>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</si>
  <si>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</si>
  <si>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</si>
  <si>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</si>
  <si>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</si>
  <si>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</si>
  <si>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</si>
  <si>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</si>
  <si>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</si>
  <si>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</si>
  <si>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</si>
  <si>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</si>
  <si>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</si>
  <si>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</si>
  <si>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</si>
  <si>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</si>
  <si>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</si>
  <si>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</si>
  <si>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</si>
  <si>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</si>
  <si>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</si>
  <si>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</si>
  <si>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</si>
  <si>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</si>
  <si>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</si>
  <si>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</si>
  <si>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</si>
  <si>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</si>
  <si>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</si>
  <si>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</si>
  <si>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</si>
  <si>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</si>
  <si>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</si>
  <si>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</si>
  <si>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</si>
  <si>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</si>
  <si>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</si>
  <si>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</si>
  <si>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</si>
  <si>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</si>
  <si>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</si>
  <si>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</si>
  <si>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</si>
  <si>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</si>
  <si>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</si>
  <si>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</si>
  <si>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</si>
  <si>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</si>
  <si>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</si>
  <si>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</si>
  <si>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</si>
  <si>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</si>
  <si>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</si>
  <si>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</si>
  <si>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</si>
  <si>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</si>
  <si>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</si>
  <si>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</si>
  <si>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</si>
  <si>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</si>
  <si>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</si>
  <si>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</si>
  <si>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</si>
  <si>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</si>
  <si>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</si>
  <si>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</si>
  <si>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</si>
  <si>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</si>
  <si>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</si>
  <si>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</si>
  <si>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</si>
  <si>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</si>
  <si>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</si>
  <si>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</si>
  <si>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</si>
  <si>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</si>
  <si>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</si>
  <si>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</si>
  <si>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</si>
  <si>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</si>
  <si>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</si>
  <si>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</si>
  <si>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</si>
  <si>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</si>
  <si>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</si>
  <si>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</si>
  <si>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</si>
  <si>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</si>
  <si>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</si>
  <si>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</si>
  <si>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</si>
  <si>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</si>
  <si>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</si>
  <si>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</si>
  <si>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</si>
  <si>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</si>
  <si>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</si>
  <si>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</si>
  <si>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</si>
  <si>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</si>
  <si>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</si>
  <si>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</si>
  <si>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</si>
  <si>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</si>
  <si>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</si>
  <si>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</si>
  <si>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</si>
  <si>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</si>
  <si>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</si>
  <si>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</si>
  <si>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</si>
  <si>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</si>
  <si>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</si>
  <si>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</si>
  <si>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</si>
  <si>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</si>
  <si>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</si>
  <si>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</si>
  <si>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</si>
  <si>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</si>
  <si>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</si>
  <si>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</si>
  <si>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</si>
  <si>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</si>
  <si>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</si>
  <si>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</si>
  <si>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</si>
  <si>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</si>
  <si>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</si>
  <si>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</si>
  <si>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</si>
  <si>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</si>
  <si>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</si>
  <si>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</si>
  <si>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</si>
  <si>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</si>
  <si>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</si>
  <si>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</si>
  <si>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</si>
  <si>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</si>
  <si>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</si>
  <si>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</si>
  <si>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</si>
  <si>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</si>
  <si>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</si>
  <si>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</si>
  <si>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</si>
  <si>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</si>
  <si>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</si>
  <si>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</si>
  <si>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</si>
  <si>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</si>
  <si>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</si>
  <si>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</si>
  <si>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</si>
  <si>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</si>
  <si>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</si>
  <si>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</si>
  <si>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</si>
  <si>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</si>
  <si>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</si>
  <si>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</si>
  <si>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</si>
  <si>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</si>
  <si>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</si>
  <si>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</si>
  <si>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</si>
  <si>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</si>
  <si>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</si>
  <si>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</si>
  <si>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</si>
  <si>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</si>
  <si>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</si>
  <si>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</si>
  <si>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</si>
  <si>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</si>
  <si>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</si>
  <si>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</si>
  <si>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</si>
  <si>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</si>
  <si>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</si>
  <si>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</si>
  <si>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</si>
  <si>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</si>
  <si>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</si>
  <si>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</si>
  <si>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</si>
  <si>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</si>
  <si>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</si>
  <si>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</si>
  <si>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</si>
  <si>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</si>
  <si>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</si>
  <si>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</si>
  <si>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</si>
  <si>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</si>
  <si>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</si>
  <si>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</si>
  <si>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</si>
  <si>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</si>
  <si>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</si>
  <si>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</si>
  <si>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</si>
  <si>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</si>
  <si>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</si>
  <si>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</si>
  <si>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</si>
  <si>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</si>
  <si>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</si>
  <si>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</si>
  <si>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</si>
  <si>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</si>
  <si>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</si>
  <si>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</si>
  <si>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</si>
  <si>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</si>
  <si>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</si>
  <si>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</si>
  <si>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</si>
  <si>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</si>
  <si>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</si>
  <si>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</si>
  <si>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</si>
  <si>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</si>
  <si>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</si>
  <si>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</si>
  <si>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</si>
  <si>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</si>
  <si>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</si>
  <si>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</si>
  <si>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</si>
  <si>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</si>
  <si>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</si>
  <si>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</si>
  <si>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</si>
  <si>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</si>
  <si>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</si>
  <si>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</si>
  <si>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</si>
  <si>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</si>
  <si>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</si>
  <si>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</si>
  <si>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</si>
  <si>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</si>
  <si>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</si>
  <si>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</si>
  <si>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t>抵押</t>
  </si>
  <si>
    <t>房地产抵押价值</t>
  </si>
  <si>
    <t>其他：</t>
  </si>
  <si>
    <t>企业</t>
  </si>
  <si>
    <t>是</t>
  </si>
  <si>
    <t>商业项目</t>
  </si>
  <si>
    <t>无</t>
  </si>
  <si>
    <t>否</t>
  </si>
  <si>
    <t>现房</t>
  </si>
  <si>
    <t>地上</t>
  </si>
  <si>
    <t>商业</t>
    <phoneticPr fontId="7" type="noConversion"/>
  </si>
  <si>
    <t>成新度</t>
  </si>
  <si>
    <t>收益法 (元)</t>
  </si>
  <si>
    <r>
      <t>1</t>
    </r>
    <r>
      <rPr>
        <sz val="10"/>
        <color indexed="8"/>
        <rFont val="宋体"/>
        <family val="3"/>
        <charset val="134"/>
      </rPr>
      <t>层</t>
    </r>
    <phoneticPr fontId="24" type="noConversion"/>
  </si>
  <si>
    <r>
      <t>2层</t>
    </r>
    <r>
      <rPr>
        <sz val="10"/>
        <color indexed="8"/>
        <rFont val="宋体"/>
        <family val="3"/>
        <charset val="134"/>
      </rPr>
      <t/>
    </r>
  </si>
  <si>
    <r>
      <t>3层</t>
    </r>
    <r>
      <rPr>
        <sz val="10"/>
        <color indexed="8"/>
        <rFont val="宋体"/>
        <family val="3"/>
        <charset val="134"/>
      </rPr>
      <t/>
    </r>
  </si>
  <si>
    <t>1层</t>
  </si>
  <si>
    <t>3层</t>
  </si>
  <si>
    <t>钢混</t>
  </si>
  <si>
    <t>非生产用房</t>
  </si>
  <si>
    <t>单套模式</t>
  </si>
  <si>
    <t>售价</t>
  </si>
  <si>
    <t>挂牌</t>
    <phoneticPr fontId="30" type="noConversion"/>
  </si>
  <si>
    <t>正常</t>
  </si>
  <si>
    <t>较好</t>
  </si>
  <si>
    <t>七通</t>
  </si>
  <si>
    <t>比较法-商业</t>
  </si>
  <si>
    <t>押一</t>
  </si>
  <si>
    <t>楼面单价</t>
  </si>
  <si>
    <t>办公</t>
    <phoneticPr fontId="30" type="noConversion"/>
  </si>
  <si>
    <t>正评单价</t>
    <phoneticPr fontId="134" type="noConversion"/>
  </si>
  <si>
    <t>询价单价</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</si>
</sst>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10" fontId="159" fillId="12" borderId="0" xfId="17" applyNumberFormat="1" applyFont="1" applyFill="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456800</xdr:colOff>
      <xdr:row>33</xdr:row>
      <xdr:rowOff>27864</xdr:rowOff>
    </xdr:to>
    <xdr:pic>
      <xdr:nvPicPr>
        <xdr:cNvPr id="5" name="图片 4"/>
        <xdr:cNvPicPr>
          <a:picLocks noChangeAspect="1"/>
        </xdr:cNvPicPr>
      </xdr:nvPicPr>
      <xdr:blipFill>
        <a:blip xmlns:r="http://schemas.openxmlformats.org/officeDocument/2006/relationships" r:embed="rId1"/>
        <a:stretch>
          <a:fillRect/>
        </a:stretch>
      </xdr:blipFill>
      <xdr:spPr>
        <a:xfrm>
          <a:off x="0" y="0"/>
          <a:ext cx="3200000" cy="5685714"/>
        </a:xfrm>
        <a:prstGeom prst="rect">
          <a:avLst/>
        </a:prstGeom>
      </xdr:spPr>
    </xdr:pic>
    <xdr:clientData/>
  </xdr:twoCellAnchor>
  <xdr:twoCellAnchor editAs="oneCell">
    <xdr:from>
      <xdr:col>5</xdr:col>
      <xdr:colOff>0</xdr:colOff>
      <xdr:row>0</xdr:row>
      <xdr:rowOff>0</xdr:rowOff>
    </xdr:from>
    <xdr:to>
      <xdr:col>9</xdr:col>
      <xdr:colOff>542514</xdr:colOff>
      <xdr:row>32</xdr:row>
      <xdr:rowOff>142171</xdr:rowOff>
    </xdr:to>
    <xdr:pic>
      <xdr:nvPicPr>
        <xdr:cNvPr id="6" name="图片 5"/>
        <xdr:cNvPicPr>
          <a:picLocks noChangeAspect="1"/>
        </xdr:cNvPicPr>
      </xdr:nvPicPr>
      <xdr:blipFill>
        <a:blip xmlns:r="http://schemas.openxmlformats.org/officeDocument/2006/relationships" r:embed="rId2"/>
        <a:stretch>
          <a:fillRect/>
        </a:stretch>
      </xdr:blipFill>
      <xdr:spPr>
        <a:xfrm>
          <a:off x="3429000" y="0"/>
          <a:ext cx="3285714" cy="562857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受贵公司委托，我公司对房地产抵押价值进行了预评估。</v>
      </c>
    </row>
    <row r="7" spans="1:2" s="1201" customFormat="1">
      <c r="A7" s="1199" t="s">
        <v>566</v>
      </c>
      <c r="B7" s="1200" t="str">
        <f>'预评函-1'!A7</f>
        <v>估价对象为房地产，为所有。根据《国有土地使用证》[]，估价对象（分摊）出让国有建设用地使用权面积为0平方米，建筑面积为54.47平方米。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估价对象为房地产,属开发建设的商业项目，该项目尚在开发建设中。根据《国有土地使用证》[]，估价对象（分摊）出让国有建设用地使用权面积为0平方米，规划建筑面积为54.47平方米。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2024年10月30日（评估专业人员实地查勘之日）</v>
      </c>
    </row>
    <row r="13" spans="1:2" s="1201" customFormat="1">
      <c r="A13" s="1199" t="s">
        <v>529</v>
      </c>
      <c r="B13" s="1200" t="str">
        <f>'预评函-1'!A18</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#DIV/0!</v>
      </c>
    </row>
    <row r="21" spans="1:2" s="1201" customFormat="1">
      <c r="A21" s="1199" t="s">
        <v>537</v>
      </c>
      <c r="B21" s="1200" t="e">
        <f ca="1">'预评函-2'!D7</f>
        <v>#DIV/0!</v>
      </c>
    </row>
    <row r="22" spans="1:2" s="1201" customFormat="1">
      <c r="A22" s="1199" t="s">
        <v>538</v>
      </c>
      <c r="B22" s="1200" t="e">
        <f ca="1">'预评函-2'!D6</f>
        <v>#DIV/0!</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#DIV/0!</v>
      </c>
    </row>
    <row r="31" spans="1:2" s="1201" customFormat="1">
      <c r="A31" s="1199" t="s">
        <v>576</v>
      </c>
      <c r="B31" s="1200" t="e">
        <f ca="1">'预评函-2'!D15</f>
        <v>#DIV/0!</v>
      </c>
    </row>
    <row r="32" spans="1:2" s="1201" customFormat="1">
      <c r="A32" s="1199" t="s">
        <v>543</v>
      </c>
      <c r="B32" s="1200" t="e">
        <f ca="1">'预评函-2'!D14</f>
        <v>#DIV/0!</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房地产</v>
      </c>
    </row>
    <row r="42" spans="1:2" s="1201" customFormat="1">
      <c r="A42" s="1199" t="s">
        <v>590</v>
      </c>
      <c r="B42" s="1200" t="str">
        <f>'预评函-3'!B2</f>
        <v>建筑面积</v>
      </c>
    </row>
    <row r="43" spans="1:2" s="1201" customFormat="1">
      <c r="A43" s="1199" t="s">
        <v>591</v>
      </c>
      <c r="B43" s="1200">
        <f>'预评函-3'!B4</f>
        <v>54.47</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#DIV/0!</v>
      </c>
    </row>
    <row r="48" spans="1:2" s="1201" customFormat="1">
      <c r="A48" s="1199" t="s">
        <v>549</v>
      </c>
      <c r="B48" s="1200" t="e">
        <f ca="1">'预评函-3'!E4</f>
        <v>#DIV/0!</v>
      </c>
    </row>
    <row r="49" spans="1:2" s="1201" customFormat="1">
      <c r="A49" s="1199" t="s">
        <v>550</v>
      </c>
      <c r="B49" s="1200" t="e">
        <f ca="1">'预评函-3'!D5</f>
        <v>#DIV/0!</v>
      </c>
    </row>
    <row r="50" spans="1:2" s="1201" customFormat="1">
      <c r="A50" s="1199" t="s">
        <v>574</v>
      </c>
      <c r="B50" s="1200" t="str">
        <f>'预评函-3'!F2</f>
        <v>在建建筑物价值</v>
      </c>
    </row>
    <row r="51" spans="1:2" s="1201" customFormat="1">
      <c r="A51" s="1199" t="s">
        <v>551</v>
      </c>
      <c r="B51" s="1200" t="e">
        <f ca="1">'预评函-3'!F4</f>
        <v>#DIV/0!</v>
      </c>
    </row>
    <row r="52" spans="1:2" s="1201" customFormat="1">
      <c r="A52" s="1199" t="s">
        <v>552</v>
      </c>
      <c r="B52" s="1200" t="e">
        <f ca="1">'预评函-3'!G4</f>
        <v>#DIV/0!</v>
      </c>
    </row>
    <row r="53" spans="1:2" s="1201" customFormat="1">
      <c r="A53" s="1199" t="s">
        <v>580</v>
      </c>
      <c r="B53" s="1200" t="e">
        <f ca="1">'预评函-3'!F5</f>
        <v>#DIV/0!</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3354</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3340</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3341</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3342</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3343</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3344</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3345</v>
      </c>
    </row>
    <row r="8" spans="1:23">
      <c r="A8" s="1544" t="s">
        <v>1026</v>
      </c>
      <c r="B8" s="1544" t="s">
        <v>1027</v>
      </c>
      <c r="C8" s="1545" t="s">
        <v>319</v>
      </c>
      <c r="F8" s="1546" t="s">
        <v>1028</v>
      </c>
      <c r="H8" s="1546" t="s">
        <v>2580</v>
      </c>
      <c r="I8" s="1546" t="s">
        <v>3346</v>
      </c>
    </row>
    <row r="9" spans="1:23">
      <c r="A9" s="1544" t="s">
        <v>1029</v>
      </c>
      <c r="B9" s="1544" t="s">
        <v>1030</v>
      </c>
      <c r="C9" s="1545" t="s">
        <v>320</v>
      </c>
      <c r="F9" s="1546" t="s">
        <v>1031</v>
      </c>
      <c r="H9" s="1546"/>
      <c r="I9" s="1549" t="s">
        <v>3347</v>
      </c>
    </row>
    <row r="10" spans="1:23">
      <c r="A10" s="1544" t="s">
        <v>1032</v>
      </c>
      <c r="B10" s="1544" t="s">
        <v>1033</v>
      </c>
      <c r="C10" s="1545" t="s">
        <v>321</v>
      </c>
      <c r="F10" s="1546" t="s">
        <v>2581</v>
      </c>
      <c r="I10" s="1549" t="s">
        <v>3348</v>
      </c>
    </row>
    <row r="11" spans="1:23">
      <c r="A11" s="1544" t="s">
        <v>1034</v>
      </c>
      <c r="B11" s="1544" t="s">
        <v>1035</v>
      </c>
      <c r="C11" s="1545" t="s">
        <v>322</v>
      </c>
      <c r="F11" s="1546" t="s">
        <v>13</v>
      </c>
      <c r="I11" s="1549" t="s">
        <v>3349</v>
      </c>
    </row>
    <row r="12" spans="1:23">
      <c r="A12" s="1544" t="s">
        <v>1036</v>
      </c>
      <c r="B12" s="1544" t="s">
        <v>1037</v>
      </c>
      <c r="C12" s="1545" t="s">
        <v>323</v>
      </c>
      <c r="I12" s="1549" t="s">
        <v>3350</v>
      </c>
    </row>
    <row r="13" spans="1:23">
      <c r="A13" s="1544" t="s">
        <v>1038</v>
      </c>
      <c r="B13" s="1544" t="s">
        <v>1039</v>
      </c>
      <c r="C13" s="1545" t="s">
        <v>324</v>
      </c>
      <c r="I13" s="1549" t="s">
        <v>3351</v>
      </c>
    </row>
    <row r="14" spans="1:23">
      <c r="A14" s="1544" t="s">
        <v>1040</v>
      </c>
      <c r="B14" s="1544" t="s">
        <v>1041</v>
      </c>
      <c r="C14" s="1546" t="s">
        <v>13</v>
      </c>
      <c r="I14" s="1549" t="s">
        <v>3352</v>
      </c>
    </row>
    <row r="15" spans="1:23">
      <c r="A15" s="1544" t="s">
        <v>1042</v>
      </c>
      <c r="B15" s="1544" t="s">
        <v>1043</v>
      </c>
      <c r="C15" s="1545"/>
      <c r="I15" s="1549" t="s">
        <v>3353</v>
      </c>
    </row>
    <row r="16" spans="1:23">
      <c r="A16" s="1544" t="s">
        <v>1044</v>
      </c>
      <c r="B16" s="1544" t="s">
        <v>312</v>
      </c>
      <c r="C16" s="1545"/>
    </row>
    <row r="17" spans="1:3">
      <c r="A17" s="1544" t="s">
        <v>1045</v>
      </c>
      <c r="B17" s="1544" t="s">
        <v>2292</v>
      </c>
      <c r="C17" s="1545"/>
    </row>
    <row r="18" spans="1:3">
      <c r="A18" s="1544" t="s">
        <v>1046</v>
      </c>
      <c r="B18" s="1544" t="s">
        <v>2436</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491"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2" t="s">
        <v>385</v>
      </c>
      <c r="C54" s="1549" t="s">
        <v>583</v>
      </c>
    </row>
    <row r="55" spans="1:4">
      <c r="A55" s="3491"/>
      <c r="B55" s="1552" t="s">
        <v>386</v>
      </c>
      <c r="C55" s="1549" t="s">
        <v>584</v>
      </c>
    </row>
    <row r="56" spans="1:4">
      <c r="A56" s="3491"/>
      <c r="B56" s="1552" t="s">
        <v>387</v>
      </c>
      <c r="C56" s="1549" t="s">
        <v>588</v>
      </c>
    </row>
    <row r="57" spans="1:4">
      <c r="A57" s="3491"/>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2503</v>
      </c>
      <c r="B1" s="3012"/>
      <c r="C1" s="3012"/>
      <c r="D1" s="3012"/>
      <c r="E1" s="3012"/>
      <c r="F1" s="3013"/>
      <c r="I1" s="3435" t="s">
        <v>2596</v>
      </c>
      <c r="J1" s="3224"/>
      <c r="K1" s="3224"/>
      <c r="L1" s="3224"/>
      <c r="M1" s="3224"/>
      <c r="N1" s="3436"/>
      <c r="O1" s="3436"/>
      <c r="P1" s="3436"/>
      <c r="Q1" s="3436"/>
      <c r="R1" s="3436"/>
    </row>
    <row r="2" spans="1:18">
      <c r="A2" s="3015"/>
      <c r="B2" s="3016"/>
      <c r="C2" s="3016"/>
      <c r="D2" s="3016"/>
      <c r="E2" s="3016"/>
      <c r="F2" s="3017"/>
      <c r="I2" s="3492" t="s">
        <v>2583</v>
      </c>
      <c r="J2" s="3492"/>
      <c r="K2" s="3492"/>
      <c r="L2" s="3492"/>
      <c r="M2" s="3492"/>
      <c r="N2" s="3492"/>
      <c r="O2" s="3492"/>
      <c r="P2" s="3492"/>
      <c r="Q2" s="3492"/>
      <c r="R2" s="3492"/>
    </row>
    <row r="3" spans="1:18">
      <c r="A3" s="3018" t="s">
        <v>2504</v>
      </c>
      <c r="B3" s="3019">
        <f>项目基本情况!D3</f>
        <v>45595</v>
      </c>
      <c r="C3" s="3021"/>
      <c r="D3" s="3021"/>
      <c r="E3" s="3021"/>
      <c r="F3" s="3017"/>
      <c r="I3" s="3437"/>
      <c r="J3" s="3437" t="s">
        <v>2587</v>
      </c>
      <c r="K3" s="3437" t="s">
        <v>2588</v>
      </c>
      <c r="L3" s="3437" t="s">
        <v>2589</v>
      </c>
      <c r="M3" s="3437" t="s">
        <v>2590</v>
      </c>
      <c r="N3" s="3438" t="s">
        <v>2591</v>
      </c>
      <c r="O3" s="3438" t="s">
        <v>2592</v>
      </c>
      <c r="P3" s="3438" t="s">
        <v>2593</v>
      </c>
      <c r="Q3" s="3438" t="s">
        <v>2594</v>
      </c>
      <c r="R3" s="3438" t="s">
        <v>2595</v>
      </c>
    </row>
    <row r="4" spans="1:18">
      <c r="A4" s="3018" t="s">
        <v>2505</v>
      </c>
      <c r="B4" s="3021" t="s">
        <v>2506</v>
      </c>
      <c r="C4" s="3021" t="s">
        <v>2507</v>
      </c>
      <c r="D4" s="3021" t="s">
        <v>2508</v>
      </c>
      <c r="E4" s="3021" t="s">
        <v>2509</v>
      </c>
      <c r="F4" s="3017"/>
      <c r="I4" s="3437" t="s">
        <v>2584</v>
      </c>
      <c r="J4" s="3437">
        <v>80</v>
      </c>
      <c r="K4" s="3437">
        <v>70</v>
      </c>
      <c r="L4" s="3437">
        <v>20</v>
      </c>
      <c r="M4" s="3437">
        <v>30</v>
      </c>
      <c r="N4" s="3021">
        <v>45</v>
      </c>
      <c r="O4" s="3021">
        <v>60</v>
      </c>
      <c r="P4" s="3021">
        <v>50</v>
      </c>
      <c r="Q4" s="3021">
        <v>20</v>
      </c>
      <c r="R4" s="3021">
        <v>375</v>
      </c>
    </row>
    <row r="5" spans="1:18">
      <c r="A5" s="3022">
        <v>40</v>
      </c>
      <c r="B5" s="3019">
        <v>46375</v>
      </c>
      <c r="C5" s="3021">
        <f>ROUNDDOWN(MIN((B5-B3)/365,A5),2)</f>
        <v>2.13</v>
      </c>
      <c r="D5" s="3023">
        <f>IF(ISERROR(ROUND(POWER(1+E5,A5-C5)*(POWER(1+E5,C5)-1)/(POWER(1+E5,A5)-1),3)),0,ROUND(POWER(1+E5,A5-C5)*(POWER(1+E5,C5)-1)/(POWER(1+E5,A5)-1),4))</f>
        <v>0.1012</v>
      </c>
      <c r="E5" s="3024">
        <v>0.04</v>
      </c>
      <c r="F5" s="3017"/>
      <c r="I5" s="3437" t="s">
        <v>2585</v>
      </c>
      <c r="J5" s="3437">
        <v>70</v>
      </c>
      <c r="K5" s="3437">
        <v>60</v>
      </c>
      <c r="L5" s="3437">
        <v>15</v>
      </c>
      <c r="M5" s="3437">
        <v>25</v>
      </c>
      <c r="N5" s="3021">
        <v>40</v>
      </c>
      <c r="O5" s="3021">
        <v>50</v>
      </c>
      <c r="P5" s="3021">
        <v>40</v>
      </c>
      <c r="Q5" s="3021">
        <v>15</v>
      </c>
      <c r="R5" s="3021">
        <v>315</v>
      </c>
    </row>
    <row r="6" spans="1:18">
      <c r="A6" s="3022">
        <v>50</v>
      </c>
      <c r="B6" s="3019">
        <v>50028</v>
      </c>
      <c r="C6" s="3021">
        <f>ROUNDDOWN(MIN((B6-B3)/365,A6),2)</f>
        <v>12.14</v>
      </c>
      <c r="D6" s="3023">
        <f>IF(ISERROR(ROUND(POWER(1+E6,A6-C6)*(POWER(1+E6,C6)-1)/(POWER(1+E6,A6)-1),3)),0,ROUND(POWER(1+E6,A6-C6)*(POWER(1+E6,C6)-1)/(POWER(1+E6,A6)-1),4))</f>
        <v>0.44090000000000001</v>
      </c>
      <c r="E6" s="3024">
        <v>0.04</v>
      </c>
      <c r="F6" s="3017"/>
      <c r="I6" s="3437" t="s">
        <v>2586</v>
      </c>
      <c r="J6" s="3437">
        <v>60</v>
      </c>
      <c r="K6" s="3437">
        <v>50</v>
      </c>
      <c r="L6" s="3437">
        <v>10</v>
      </c>
      <c r="M6" s="3437">
        <v>20</v>
      </c>
      <c r="N6" s="3021">
        <v>35</v>
      </c>
      <c r="O6" s="3021">
        <v>40</v>
      </c>
      <c r="P6" s="3021">
        <v>30</v>
      </c>
      <c r="Q6" s="3021">
        <v>10</v>
      </c>
      <c r="R6" s="3021">
        <v>255</v>
      </c>
    </row>
    <row r="7" spans="1:18">
      <c r="A7" s="3022">
        <v>70</v>
      </c>
      <c r="B7" s="3019">
        <v>57333</v>
      </c>
      <c r="C7" s="3021">
        <f>ROUNDDOWN(MIN((B7-B3)/365,A7),2)</f>
        <v>32.15</v>
      </c>
      <c r="D7" s="3023">
        <f>IF(ISERROR(ROUND(POWER(1+E7,A7-C7)*(POWER(1+E7,C7)-1)/(POWER(1+E7,A7)-1),3)),0,ROUND(POWER(1+E7,A7-C7)*(POWER(1+E7,C7)-1)/(POWER(1+E7,A7)-1),4))</f>
        <v>0.76580000000000004</v>
      </c>
      <c r="E7" s="3024">
        <v>0.04</v>
      </c>
      <c r="F7" s="3017"/>
    </row>
    <row r="8" spans="1:18">
      <c r="A8" s="3015"/>
      <c r="B8" s="3016"/>
      <c r="C8" s="3016"/>
      <c r="D8" s="3016"/>
      <c r="E8" s="3016"/>
      <c r="F8" s="3017"/>
    </row>
    <row r="9" spans="1:18">
      <c r="A9" s="3018" t="s">
        <v>2510</v>
      </c>
      <c r="B9" s="3021"/>
      <c r="C9" s="3021"/>
      <c r="D9" s="3021"/>
      <c r="E9" s="3021"/>
      <c r="F9" s="3025"/>
    </row>
    <row r="10" spans="1:18">
      <c r="A10" s="3018" t="s">
        <v>2511</v>
      </c>
      <c r="B10" s="3021"/>
      <c r="C10" s="3021"/>
      <c r="D10" s="3021" t="s">
        <v>2509</v>
      </c>
      <c r="E10" s="3021"/>
      <c r="F10" s="3025" t="s">
        <v>2508</v>
      </c>
    </row>
    <row r="11" spans="1:18">
      <c r="A11" s="3018" t="s">
        <v>2512</v>
      </c>
      <c r="B11" s="3026">
        <v>70</v>
      </c>
      <c r="C11" s="3021" t="s">
        <v>2513</v>
      </c>
      <c r="D11" s="3027">
        <v>4.4999999999999998E-2</v>
      </c>
      <c r="E11" s="3021" t="s">
        <v>2514</v>
      </c>
      <c r="F11" s="3028">
        <f>ROUND(1-(1/(POWER(1+D11,B11))),4)</f>
        <v>0.95409999999999995</v>
      </c>
    </row>
    <row r="12" spans="1:18">
      <c r="A12" s="3018" t="s">
        <v>2515</v>
      </c>
      <c r="B12" s="3026">
        <v>40</v>
      </c>
      <c r="C12" s="3021" t="s">
        <v>2516</v>
      </c>
      <c r="D12" s="3027">
        <v>4.4999999999999998E-2</v>
      </c>
      <c r="E12" s="3021" t="s">
        <v>2517</v>
      </c>
      <c r="F12" s="3028">
        <f>ROUND(1-(1/(POWER(1+D12,B12))),4)</f>
        <v>0.82809999999999995</v>
      </c>
    </row>
    <row r="13" spans="1:18">
      <c r="A13" s="3018" t="s">
        <v>2518</v>
      </c>
      <c r="B13" s="3021"/>
      <c r="C13" s="3021"/>
      <c r="D13" s="3016"/>
      <c r="E13" s="3016"/>
      <c r="F13" s="3017"/>
    </row>
    <row r="14" spans="1:18">
      <c r="A14" s="3018" t="s">
        <v>2519</v>
      </c>
      <c r="B14" s="3026">
        <v>5000</v>
      </c>
      <c r="C14" s="3020"/>
      <c r="D14" s="3016"/>
      <c r="E14" s="3016"/>
      <c r="F14" s="3017"/>
    </row>
    <row r="15" spans="1:18">
      <c r="A15" s="3018" t="s">
        <v>2520</v>
      </c>
      <c r="B15" s="3021">
        <f>ROUND(B14*F12/F11,2)</f>
        <v>4339.6899999999996</v>
      </c>
      <c r="C15" s="3021">
        <f>ROUND(F12/F11,4)</f>
        <v>0.8679</v>
      </c>
      <c r="D15" s="3016"/>
      <c r="E15" s="3016"/>
      <c r="F15" s="3017"/>
    </row>
    <row r="16" spans="1:18">
      <c r="A16" s="3018" t="s">
        <v>2521</v>
      </c>
      <c r="B16" s="3021"/>
      <c r="C16" s="3021"/>
      <c r="D16" s="3016"/>
      <c r="E16" s="3016"/>
      <c r="F16" s="3017"/>
    </row>
    <row r="17" spans="1:13">
      <c r="A17" s="3018" t="s">
        <v>2520</v>
      </c>
      <c r="B17" s="3027">
        <v>4810</v>
      </c>
      <c r="C17" s="3020"/>
      <c r="D17" s="3016"/>
      <c r="E17" s="3016"/>
      <c r="F17" s="3017"/>
    </row>
    <row r="18" spans="1:13" ht="14.25" thickBot="1">
      <c r="A18" s="3029" t="s">
        <v>2519</v>
      </c>
      <c r="B18" s="3030">
        <f>ROUND(B17*F11/F12,2)</f>
        <v>5541.87</v>
      </c>
      <c r="C18" s="3030">
        <f>ROUND(F11/F12,4)</f>
        <v>1.1521999999999999</v>
      </c>
      <c r="D18" s="3031"/>
      <c r="E18" s="3031"/>
      <c r="F18" s="3032"/>
    </row>
    <row r="19" spans="1:13" ht="14.25" thickBot="1"/>
    <row r="20" spans="1:13" s="3067" customFormat="1" ht="14.25" thickTop="1">
      <c r="A20" s="3064" t="s">
        <v>2522</v>
      </c>
      <c r="B20" s="3065"/>
      <c r="C20" s="3065"/>
      <c r="D20" s="3065"/>
      <c r="E20" s="3065"/>
      <c r="F20" s="3065"/>
      <c r="G20" s="3066"/>
      <c r="I20" s="3068" t="s">
        <v>2567</v>
      </c>
      <c r="J20" s="3068" t="s">
        <v>2572</v>
      </c>
      <c r="K20" s="3068"/>
      <c r="L20" s="3068"/>
      <c r="M20" s="3068"/>
    </row>
    <row r="21" spans="1:13">
      <c r="A21" s="3033"/>
      <c r="B21" s="3034" t="s">
        <v>2523</v>
      </c>
      <c r="C21" s="3034" t="s">
        <v>2524</v>
      </c>
      <c r="D21" s="3034" t="s">
        <v>2525</v>
      </c>
      <c r="E21" s="3034" t="s">
        <v>2526</v>
      </c>
      <c r="F21" s="3034" t="s">
        <v>2527</v>
      </c>
      <c r="G21" s="3035" t="s">
        <v>2528</v>
      </c>
      <c r="I21" s="3056">
        <v>5</v>
      </c>
      <c r="J21" s="3056">
        <v>54.2</v>
      </c>
    </row>
    <row r="22" spans="1:13">
      <c r="A22" s="3033" t="s">
        <v>2529</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2530</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2570</v>
      </c>
      <c r="M23" s="3056" t="s">
        <v>2571</v>
      </c>
    </row>
    <row r="24" spans="1:13">
      <c r="A24" s="3033" t="s">
        <v>2531</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2569</v>
      </c>
      <c r="M24" s="3056">
        <v>10</v>
      </c>
    </row>
    <row r="25" spans="1:13">
      <c r="A25" s="3033" t="s">
        <v>2532</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2573</v>
      </c>
      <c r="M25" s="3056">
        <v>8</v>
      </c>
    </row>
    <row r="26" spans="1:13">
      <c r="A26" s="3038"/>
      <c r="B26" s="3039"/>
      <c r="C26" s="3039"/>
      <c r="D26" s="3039"/>
      <c r="E26" s="3039"/>
      <c r="F26" s="3039"/>
      <c r="G26" s="3040"/>
      <c r="I26" s="3056">
        <v>30</v>
      </c>
      <c r="J26" s="3056">
        <v>90.5</v>
      </c>
      <c r="K26" s="3056">
        <f t="shared" si="2"/>
        <v>4.2000000000000028</v>
      </c>
      <c r="L26" s="3056" t="s">
        <v>2574</v>
      </c>
      <c r="M26" s="3056">
        <v>5</v>
      </c>
    </row>
    <row r="27" spans="1:13">
      <c r="A27" s="3038" t="s">
        <v>2533</v>
      </c>
      <c r="B27" s="3039"/>
      <c r="C27" s="3039"/>
      <c r="D27" s="3039"/>
      <c r="E27" s="3039"/>
      <c r="F27" s="3039"/>
      <c r="G27" s="3040"/>
      <c r="I27" s="3056">
        <v>35</v>
      </c>
      <c r="J27" s="3056">
        <v>93.8</v>
      </c>
      <c r="K27" s="3056">
        <f t="shared" si="2"/>
        <v>3.2999999999999972</v>
      </c>
      <c r="L27" s="3056" t="s">
        <v>2575</v>
      </c>
      <c r="M27" s="3056">
        <v>3</v>
      </c>
    </row>
    <row r="28" spans="1:13">
      <c r="A28" s="3038" t="s">
        <v>2534</v>
      </c>
      <c r="B28" s="3039"/>
      <c r="C28" s="3039"/>
      <c r="D28" s="3039"/>
      <c r="E28" s="3039"/>
      <c r="F28" s="3039"/>
      <c r="G28" s="3040"/>
      <c r="I28" s="3056">
        <v>40</v>
      </c>
      <c r="J28" s="3056">
        <v>96.4</v>
      </c>
      <c r="K28" s="3056">
        <f t="shared" si="2"/>
        <v>2.6000000000000085</v>
      </c>
      <c r="L28" s="3056" t="s">
        <v>2576</v>
      </c>
      <c r="M28" s="3056">
        <v>2</v>
      </c>
    </row>
    <row r="29" spans="1:13">
      <c r="A29" s="3038" t="s">
        <v>2535</v>
      </c>
      <c r="B29" s="3039"/>
      <c r="C29" s="3039"/>
      <c r="D29" s="3039"/>
      <c r="E29" s="3039"/>
      <c r="F29" s="3039"/>
      <c r="G29" s="3040"/>
      <c r="I29" s="3056">
        <v>45</v>
      </c>
      <c r="J29" s="3056">
        <v>98.4</v>
      </c>
      <c r="K29" s="3056">
        <f t="shared" si="2"/>
        <v>2</v>
      </c>
    </row>
    <row r="30" spans="1:13">
      <c r="A30" s="3038" t="s">
        <v>2536</v>
      </c>
      <c r="B30" s="3039"/>
      <c r="C30" s="3039"/>
      <c r="D30" s="3039"/>
      <c r="E30" s="3039"/>
      <c r="F30" s="3039"/>
      <c r="G30" s="3040"/>
      <c r="I30" s="3056">
        <v>50</v>
      </c>
      <c r="J30" s="3056">
        <v>100</v>
      </c>
      <c r="K30" s="3056">
        <f t="shared" si="2"/>
        <v>1.5999999999999943</v>
      </c>
    </row>
    <row r="31" spans="1:13">
      <c r="A31" s="3038" t="s">
        <v>2537</v>
      </c>
      <c r="B31" s="3039"/>
      <c r="C31" s="3039"/>
      <c r="D31" s="3039"/>
      <c r="E31" s="3039"/>
      <c r="F31" s="3039"/>
      <c r="G31" s="3040"/>
      <c r="I31" s="3056" t="s">
        <v>2568</v>
      </c>
    </row>
    <row r="32" spans="1:13">
      <c r="A32" s="3038" t="s">
        <v>2538</v>
      </c>
      <c r="B32" s="3039"/>
      <c r="C32" s="3039"/>
      <c r="D32" s="3039"/>
      <c r="E32" s="3039"/>
      <c r="F32" s="3039"/>
      <c r="G32" s="3040"/>
    </row>
    <row r="33" spans="1:13">
      <c r="A33" s="3038" t="s">
        <v>2539</v>
      </c>
      <c r="B33" s="3039"/>
      <c r="C33" s="3039"/>
      <c r="D33" s="3039"/>
      <c r="E33" s="3039"/>
      <c r="F33" s="3039"/>
      <c r="G33" s="3040"/>
      <c r="I33" s="3056" t="s">
        <v>2567</v>
      </c>
      <c r="J33" s="3056" t="s">
        <v>2577</v>
      </c>
    </row>
    <row r="34" spans="1:13">
      <c r="A34" s="3038" t="s">
        <v>2540</v>
      </c>
      <c r="B34" s="3039"/>
      <c r="C34" s="3039"/>
      <c r="D34" s="3039"/>
      <c r="E34" s="3039"/>
      <c r="F34" s="3039"/>
      <c r="G34" s="3040"/>
      <c r="I34" s="3056">
        <v>5</v>
      </c>
      <c r="J34" s="3056">
        <v>55.1</v>
      </c>
    </row>
    <row r="35" spans="1:13">
      <c r="A35" s="3038" t="s">
        <v>2541</v>
      </c>
      <c r="B35" s="3039"/>
      <c r="C35" s="3039"/>
      <c r="D35" s="3039"/>
      <c r="E35" s="3039"/>
      <c r="F35" s="3039"/>
      <c r="G35" s="3040"/>
      <c r="I35" s="3056">
        <v>10</v>
      </c>
      <c r="J35" s="3056">
        <v>67</v>
      </c>
      <c r="K35" s="3056">
        <f>J35-J34</f>
        <v>11.899999999999999</v>
      </c>
    </row>
    <row r="36" spans="1:13">
      <c r="A36" s="3038" t="s">
        <v>2542</v>
      </c>
      <c r="B36" s="3039"/>
      <c r="C36" s="3039"/>
      <c r="D36" s="3039"/>
      <c r="E36" s="3039"/>
      <c r="F36" s="3039"/>
      <c r="G36" s="3040"/>
      <c r="I36" s="3056">
        <v>15</v>
      </c>
      <c r="J36" s="3056">
        <v>76.3</v>
      </c>
      <c r="K36" s="3056">
        <f t="shared" ref="K36:K41" si="3">J36-J35</f>
        <v>9.2999999999999972</v>
      </c>
      <c r="L36" s="3056" t="s">
        <v>2570</v>
      </c>
      <c r="M36" s="3056" t="s">
        <v>2571</v>
      </c>
    </row>
    <row r="37" spans="1:13">
      <c r="A37" s="3038" t="s">
        <v>2543</v>
      </c>
      <c r="B37" s="3039"/>
      <c r="C37" s="3039"/>
      <c r="D37" s="3039"/>
      <c r="E37" s="3039"/>
      <c r="F37" s="3039"/>
      <c r="G37" s="3040"/>
      <c r="I37" s="3056">
        <v>20</v>
      </c>
      <c r="J37" s="3056">
        <v>83.6</v>
      </c>
      <c r="K37" s="3056">
        <f t="shared" si="3"/>
        <v>7.2999999999999972</v>
      </c>
      <c r="L37" s="3056" t="s">
        <v>2569</v>
      </c>
      <c r="M37" s="3056">
        <v>10</v>
      </c>
    </row>
    <row r="38" spans="1:13">
      <c r="A38" s="3038" t="s">
        <v>2544</v>
      </c>
      <c r="B38" s="3039"/>
      <c r="C38" s="3039"/>
      <c r="D38" s="3039"/>
      <c r="E38" s="3039"/>
      <c r="F38" s="3039"/>
      <c r="G38" s="3040"/>
      <c r="I38" s="3056">
        <v>25</v>
      </c>
      <c r="J38" s="3056">
        <v>89.3</v>
      </c>
      <c r="K38" s="3056">
        <f t="shared" si="3"/>
        <v>5.7000000000000028</v>
      </c>
      <c r="L38" s="3056" t="s">
        <v>2573</v>
      </c>
      <c r="M38" s="3056">
        <v>8</v>
      </c>
    </row>
    <row r="39" spans="1:13">
      <c r="A39" s="3038"/>
      <c r="B39" s="3039"/>
      <c r="C39" s="3039"/>
      <c r="D39" s="3039"/>
      <c r="E39" s="3039"/>
      <c r="F39" s="3039"/>
      <c r="G39" s="3040"/>
      <c r="I39" s="3056">
        <v>30</v>
      </c>
      <c r="J39" s="3056">
        <v>93.8</v>
      </c>
      <c r="K39" s="3056">
        <f t="shared" si="3"/>
        <v>4.5</v>
      </c>
      <c r="L39" s="3056" t="s">
        <v>2574</v>
      </c>
      <c r="M39" s="3056">
        <v>6</v>
      </c>
    </row>
    <row r="40" spans="1:13">
      <c r="A40" s="3041" t="s">
        <v>2545</v>
      </c>
      <c r="B40" s="3042"/>
      <c r="C40" s="3042"/>
      <c r="D40" s="3042"/>
      <c r="E40" s="3042"/>
      <c r="F40" s="3042"/>
      <c r="G40" s="3043"/>
      <c r="I40" s="3056">
        <v>35</v>
      </c>
      <c r="J40" s="3056">
        <v>97.2</v>
      </c>
      <c r="K40" s="3056">
        <f t="shared" si="3"/>
        <v>3.4000000000000057</v>
      </c>
      <c r="L40" s="3056" t="s">
        <v>2575</v>
      </c>
      <c r="M40" s="3056">
        <v>3</v>
      </c>
    </row>
    <row r="41" spans="1:13">
      <c r="A41" s="3044" t="s">
        <v>2546</v>
      </c>
      <c r="B41" s="3045" t="s">
        <v>2547</v>
      </c>
      <c r="C41" s="3046" t="s">
        <v>2548</v>
      </c>
      <c r="D41" s="3046" t="s">
        <v>2549</v>
      </c>
      <c r="E41" s="3047"/>
      <c r="F41" s="3048"/>
      <c r="G41" s="3049"/>
      <c r="I41" s="3056">
        <v>40</v>
      </c>
      <c r="J41" s="3056">
        <v>100</v>
      </c>
      <c r="K41" s="3056">
        <f t="shared" si="3"/>
        <v>2.7999999999999972</v>
      </c>
    </row>
    <row r="42" spans="1:13">
      <c r="A42" s="3044" t="s">
        <v>2550</v>
      </c>
      <c r="B42" s="3045" t="s">
        <v>2551</v>
      </c>
      <c r="C42" s="3046" t="s">
        <v>2552</v>
      </c>
      <c r="D42" s="3050" t="s">
        <v>2553</v>
      </c>
      <c r="E42" s="3042" t="s">
        <v>2554</v>
      </c>
      <c r="F42" s="3042"/>
      <c r="G42" s="3043"/>
    </row>
    <row r="43" spans="1:13">
      <c r="A43" s="3044" t="s">
        <v>2555</v>
      </c>
      <c r="B43" s="3045" t="s">
        <v>2556</v>
      </c>
      <c r="C43" s="3046" t="s">
        <v>2557</v>
      </c>
      <c r="D43" s="3046" t="s">
        <v>2558</v>
      </c>
      <c r="E43" s="3047" t="s">
        <v>2559</v>
      </c>
      <c r="F43" s="3048"/>
      <c r="G43" s="3049"/>
      <c r="I43" s="3056" t="s">
        <v>2567</v>
      </c>
      <c r="J43" s="3056" t="s">
        <v>2578</v>
      </c>
    </row>
    <row r="44" spans="1:13">
      <c r="A44" s="3044" t="s">
        <v>2560</v>
      </c>
      <c r="B44" s="3045" t="s">
        <v>2561</v>
      </c>
      <c r="C44" s="3046" t="s">
        <v>2562</v>
      </c>
      <c r="D44" s="3050">
        <v>0.5</v>
      </c>
      <c r="E44" s="3047" t="s">
        <v>2563</v>
      </c>
      <c r="F44" s="3048"/>
      <c r="G44" s="3049"/>
      <c r="I44" s="3056">
        <v>30</v>
      </c>
      <c r="J44" s="3056">
        <v>81.7</v>
      </c>
    </row>
    <row r="45" spans="1:13" ht="14.25" thickBot="1">
      <c r="A45" s="3051" t="s">
        <v>2564</v>
      </c>
      <c r="B45" s="3052" t="s">
        <v>2551</v>
      </c>
      <c r="C45" s="3053" t="s">
        <v>2551</v>
      </c>
      <c r="D45" s="3053" t="s">
        <v>2565</v>
      </c>
      <c r="E45" s="3054" t="s">
        <v>2566</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4" sqref="B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01" t="str">
        <f>IF(B10="北京市","北京市",C10)&amp;F10&amp;IF(结果表!G1="在建","出让国有建设用地使用权及在建建筑物",IF(结果表!G1="土地","出让国有建设用地使用权",))&amp;B9&amp;"预评估"</f>
        <v>房地产抵押价值预评估</v>
      </c>
      <c r="C1" s="3502"/>
      <c r="D1" s="3502"/>
      <c r="E1" s="3502"/>
      <c r="F1" s="3502"/>
      <c r="G1" s="3502"/>
      <c r="H1" s="3502"/>
      <c r="I1" s="3503"/>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房地产</v>
      </c>
      <c r="T2" s="1743"/>
      <c r="U2" s="1743"/>
      <c r="V2" s="1743"/>
      <c r="W2" s="1743"/>
      <c r="X2" s="1743"/>
      <c r="Y2" s="1743"/>
      <c r="Z2" s="1743"/>
      <c r="AA2" s="1743"/>
      <c r="AB2" s="1743"/>
    </row>
    <row r="3" spans="1:30">
      <c r="A3" s="302" t="s">
        <v>2169</v>
      </c>
      <c r="B3" s="2371">
        <v>45595</v>
      </c>
      <c r="C3" s="2372" t="s">
        <v>2170</v>
      </c>
      <c r="D3" s="2371">
        <f>B3</f>
        <v>45595</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8"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3384</v>
      </c>
      <c r="C8" s="2388"/>
      <c r="D8" s="3504" t="s">
        <v>2176</v>
      </c>
      <c r="E8" s="2389" t="s">
        <v>3385</v>
      </c>
      <c r="F8" s="2390"/>
      <c r="G8" s="2661"/>
      <c r="H8" s="2661"/>
      <c r="I8" s="2661"/>
      <c r="J8" s="2437"/>
      <c r="K8" s="2612"/>
      <c r="L8" s="2611"/>
      <c r="M8" s="2611"/>
      <c r="N8" s="2437"/>
      <c r="O8" s="2448"/>
      <c r="P8" s="2437"/>
      <c r="Q8" s="2437"/>
      <c r="R8" s="2437"/>
    </row>
    <row r="9" spans="1:30" ht="13.5" thickBot="1">
      <c r="A9" s="2391" t="s">
        <v>2177</v>
      </c>
      <c r="B9" s="2392" t="s">
        <v>3385</v>
      </c>
      <c r="C9" s="2393"/>
      <c r="D9" s="3505"/>
      <c r="E9" s="2392"/>
      <c r="F9" s="2394"/>
      <c r="G9" s="2663"/>
      <c r="H9" s="2663"/>
      <c r="I9" s="2663"/>
      <c r="J9" s="2437"/>
      <c r="K9" s="2614"/>
      <c r="L9" s="2611"/>
      <c r="M9" s="2611"/>
      <c r="N9" s="2437"/>
      <c r="O9" s="2448"/>
      <c r="P9" s="2437"/>
      <c r="Q9" s="2437"/>
      <c r="R9" s="2437"/>
    </row>
    <row r="10" spans="1:30" ht="13.5" thickTop="1">
      <c r="A10" s="2395" t="s">
        <v>2178</v>
      </c>
      <c r="B10" s="2396" t="s">
        <v>3386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3387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2579</v>
      </c>
      <c r="J12" s="3060"/>
      <c r="K12" s="2611"/>
      <c r="L12" s="2611"/>
      <c r="M12" s="2437"/>
      <c r="N12" s="2448"/>
      <c r="O12" s="2437"/>
      <c r="P12" s="2437"/>
      <c r="Q12" s="2437"/>
      <c r="AD12" s="1743"/>
    </row>
    <row r="13" spans="1:30">
      <c r="A13" s="3421" t="s">
        <v>3335</v>
      </c>
      <c r="B13" s="2405" t="s">
        <v>2189</v>
      </c>
      <c r="C13" s="854"/>
      <c r="D13" s="854">
        <v>58644</v>
      </c>
      <c r="E13" s="854"/>
      <c r="F13" s="854"/>
      <c r="G13" s="854"/>
      <c r="H13" s="854"/>
      <c r="I13" s="854"/>
      <c r="J13" s="3060"/>
      <c r="K13" s="2611"/>
      <c r="L13" s="2611"/>
      <c r="M13" s="2437"/>
      <c r="N13" s="2448"/>
      <c r="O13" s="2437"/>
      <c r="P13" s="2437"/>
      <c r="Q13" s="2437"/>
      <c r="AD13" s="1743"/>
    </row>
    <row r="14" spans="1:30">
      <c r="A14" s="1079"/>
      <c r="B14" s="2405" t="s">
        <v>2190</v>
      </c>
      <c r="C14" s="2406"/>
      <c r="D14" s="2406">
        <v>40</v>
      </c>
      <c r="E14" s="2406"/>
      <c r="F14" s="2406"/>
      <c r="G14" s="2406"/>
      <c r="H14" s="2406"/>
      <c r="I14" s="2406"/>
      <c r="J14" s="3061"/>
      <c r="K14" s="2611"/>
      <c r="L14" s="2611"/>
      <c r="M14" s="2437"/>
      <c r="N14" s="2448"/>
      <c r="O14" s="2437"/>
      <c r="P14" s="2437"/>
      <c r="Q14" s="2437"/>
      <c r="AD14" s="1743"/>
    </row>
    <row r="15" spans="1:30">
      <c r="A15" s="320"/>
      <c r="B15" s="2407" t="s">
        <v>2191</v>
      </c>
      <c r="C15" s="2408" t="str">
        <f>IF(A13="出让",IF(C13="","",ROUNDDOWN(MIN((C13-$D$3)/365,C14),2)),C14)</f>
        <v/>
      </c>
      <c r="D15" s="2408">
        <f>IF(A13="出让",IF(D13="","",ROUNDDOWN(MIN((D13-$D$3)/365,D14),2)),D14)</f>
        <v>35.75</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11"/>
      <c r="C16" s="3512"/>
      <c r="D16" s="3513"/>
      <c r="E16" s="2411" t="s">
        <v>2193</v>
      </c>
      <c r="F16" s="3514"/>
      <c r="G16" s="3515"/>
      <c r="H16" s="3515"/>
      <c r="I16" s="3516"/>
      <c r="J16" s="2437"/>
      <c r="K16" s="2615"/>
      <c r="L16" s="2449"/>
      <c r="M16" s="2449"/>
      <c r="N16" s="2507"/>
      <c r="O16" s="2449"/>
      <c r="P16" s="2507"/>
      <c r="Q16" s="2437"/>
      <c r="R16" s="2437"/>
    </row>
    <row r="17" spans="1:28">
      <c r="A17" s="313" t="s">
        <v>2194</v>
      </c>
      <c r="B17" s="302" t="s">
        <v>2195</v>
      </c>
      <c r="C17" s="8">
        <f>'数据-汇总表'!E3</f>
        <v>54.47</v>
      </c>
      <c r="D17" s="2320" t="s">
        <v>2196</v>
      </c>
      <c r="E17" s="3517" t="s">
        <v>2197</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2198</v>
      </c>
      <c r="B18" s="1088" t="s">
        <v>2199</v>
      </c>
      <c r="C18" s="2413">
        <f>'数据-汇总表'!D3</f>
        <v>0</v>
      </c>
      <c r="D18" s="1090" t="s">
        <v>2200</v>
      </c>
      <c r="E18" s="3520" t="s">
        <v>2201</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2202</v>
      </c>
      <c r="C19" s="1561" t="s">
        <v>43</v>
      </c>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07" t="s">
        <v>2205</v>
      </c>
      <c r="C20" s="3508"/>
      <c r="D20" s="3509" t="s">
        <v>2206</v>
      </c>
      <c r="E20" s="3510"/>
      <c r="F20" s="2645" t="s">
        <v>1056</v>
      </c>
      <c r="G20" s="2662"/>
      <c r="H20" s="2662"/>
      <c r="I20" s="2662"/>
      <c r="J20" s="2437"/>
      <c r="K20" s="3506" t="s">
        <v>2207</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v>2022</v>
      </c>
      <c r="H21" s="2662"/>
      <c r="I21" s="2662"/>
      <c r="J21" s="2437"/>
      <c r="K21" s="3506"/>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f>40-(2024-2022+2)</f>
        <v>36</v>
      </c>
      <c r="H22" s="2662"/>
      <c r="I22" s="2662"/>
      <c r="J22" s="2437"/>
      <c r="K22" s="3506"/>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2213</v>
      </c>
      <c r="B27" s="320" t="s">
        <v>2214</v>
      </c>
      <c r="C27" s="2414" t="s">
        <v>3389</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2215</v>
      </c>
      <c r="C28" s="2416" t="s">
        <v>3390</v>
      </c>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2216</v>
      </c>
      <c r="C29" s="2418" t="s">
        <v>3391</v>
      </c>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2217</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493" t="s">
        <v>2227</v>
      </c>
      <c r="T34" s="2426" t="str">
        <f>NUMBERSTRING(7-K34,1)&amp;"通"</f>
        <v>七通</v>
      </c>
      <c r="U34" s="2437"/>
      <c r="V34" s="2437"/>
    </row>
    <row r="35" spans="1:30">
      <c r="A35" s="2427"/>
      <c r="B35" s="3500" t="s">
        <v>2228</v>
      </c>
      <c r="C35" s="3500"/>
      <c r="D35" s="3500"/>
      <c r="E35" s="3500"/>
      <c r="F35" s="662">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3"/>
      <c r="T35" s="329" t="str">
        <f>IF(T34="一通",L35,IF(T34="二通",M35,IF(T34="三通",N35,IF(T34="四通",O35,IF(T34="五通",P35,IF(T34="六通",Q35,R35))))))</f>
        <v>、、、、、、</v>
      </c>
      <c r="U35" s="2437"/>
      <c r="V35" s="2437"/>
    </row>
    <row r="36" spans="1:30">
      <c r="A36" s="2428"/>
      <c r="B36" s="662" t="s">
        <v>2184</v>
      </c>
      <c r="C36" s="662" t="s">
        <v>2185</v>
      </c>
      <c r="D36" s="662" t="s">
        <v>2183</v>
      </c>
      <c r="E36" s="662" t="s">
        <v>2188</v>
      </c>
      <c r="F36" s="3063" t="s">
        <v>2582</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49"/>
      <c r="C43" s="1049"/>
      <c r="D43" s="1049"/>
      <c r="E43" s="1049"/>
      <c r="F43" s="1049"/>
      <c r="G43" s="1049"/>
      <c r="H43" s="1049"/>
      <c r="I43" s="1049"/>
      <c r="J43" s="2435"/>
      <c r="K43" s="2436"/>
      <c r="L43" s="2436"/>
      <c r="M43" s="1049"/>
      <c r="N43" s="1049"/>
      <c r="O43" s="1049"/>
      <c r="P43" s="1049"/>
      <c r="Q43" s="1049"/>
      <c r="R43" s="1049"/>
      <c r="S43" s="2437"/>
      <c r="T43" s="2437"/>
      <c r="U43" s="2437"/>
      <c r="V43" s="2437"/>
    </row>
    <row r="44" spans="1:30" s="1741" customFormat="1">
      <c r="A44" s="1568"/>
      <c r="B44" s="1568"/>
      <c r="C44" s="1049"/>
      <c r="D44" s="1049"/>
      <c r="E44" s="1049"/>
      <c r="F44" s="1049"/>
      <c r="G44" s="1049"/>
      <c r="H44" s="1049"/>
      <c r="I44" s="1049"/>
      <c r="J44" s="2435"/>
      <c r="K44" s="2436"/>
      <c r="L44" s="2436"/>
      <c r="M44" s="1049"/>
      <c r="N44" s="1049"/>
      <c r="O44" s="1049"/>
      <c r="P44" s="1049"/>
      <c r="Q44" s="1049"/>
      <c r="R44" s="1049"/>
      <c r="S44" s="2437"/>
      <c r="T44" s="2437"/>
      <c r="U44" s="2437"/>
      <c r="V44" s="2437"/>
    </row>
    <row r="45" spans="1:30" s="1741" customFormat="1">
      <c r="A45" s="1568"/>
      <c r="B45" s="1568"/>
      <c r="C45" s="1049"/>
      <c r="D45" s="1049"/>
      <c r="E45" s="1049"/>
      <c r="F45" s="1049"/>
      <c r="G45" s="1049"/>
      <c r="H45" s="1049"/>
      <c r="I45" s="1049"/>
      <c r="J45" s="2435"/>
      <c r="K45" s="2436"/>
      <c r="L45" s="2436"/>
      <c r="M45" s="1049"/>
      <c r="N45" s="1049"/>
      <c r="O45" s="1049"/>
      <c r="P45" s="1049"/>
      <c r="Q45" s="1049"/>
      <c r="R45" s="1049"/>
      <c r="S45" s="2437"/>
      <c r="T45" s="2437"/>
      <c r="U45" s="2437"/>
      <c r="V45" s="2437"/>
    </row>
    <row r="46" spans="1:30" s="1741" customFormat="1">
      <c r="A46" s="1568"/>
      <c r="B46" s="1568"/>
      <c r="C46" s="1049"/>
      <c r="D46" s="1049"/>
      <c r="E46" s="1049"/>
      <c r="F46" s="1049"/>
      <c r="G46" s="1049"/>
      <c r="H46" s="1049"/>
      <c r="I46" s="1049"/>
      <c r="J46" s="2435"/>
      <c r="K46" s="2436"/>
      <c r="L46" s="2436"/>
      <c r="M46" s="1049"/>
      <c r="N46" s="1049"/>
      <c r="O46" s="1049"/>
      <c r="P46" s="1049"/>
      <c r="Q46" s="1049"/>
      <c r="R46" s="1049"/>
      <c r="S46" s="2437"/>
      <c r="T46" s="2437"/>
      <c r="U46" s="2437"/>
      <c r="V46" s="2437"/>
    </row>
    <row r="47" spans="1:30" s="1741" customFormat="1">
      <c r="A47" s="1568"/>
      <c r="B47" s="1568"/>
      <c r="C47" s="1049"/>
      <c r="D47" s="1049"/>
      <c r="E47" s="1049"/>
      <c r="F47" s="1049"/>
      <c r="G47" s="1049"/>
      <c r="H47" s="1049"/>
      <c r="I47" s="1049"/>
      <c r="J47" s="2435"/>
      <c r="K47" s="2436"/>
      <c r="L47" s="2436"/>
      <c r="M47" s="1049"/>
      <c r="N47" s="1049"/>
      <c r="O47" s="1049"/>
      <c r="P47" s="1049"/>
      <c r="Q47" s="1049"/>
      <c r="R47" s="1049"/>
      <c r="S47" s="2437"/>
      <c r="T47" s="2437"/>
      <c r="U47" s="2437"/>
      <c r="V47" s="2437"/>
    </row>
    <row r="48" spans="1:30" s="1741" customFormat="1">
      <c r="A48" s="1568"/>
      <c r="B48" s="1568"/>
      <c r="C48" s="1049"/>
      <c r="D48" s="1049"/>
      <c r="E48" s="1049"/>
      <c r="F48" s="1049"/>
      <c r="G48" s="1049"/>
      <c r="H48" s="1049"/>
      <c r="I48" s="1049"/>
      <c r="J48" s="2435"/>
      <c r="K48" s="2436"/>
      <c r="L48" s="2436"/>
      <c r="M48" s="1049"/>
      <c r="N48" s="1049"/>
      <c r="O48" s="1049"/>
      <c r="P48" s="1049"/>
      <c r="Q48" s="1049"/>
      <c r="R48" s="1049"/>
      <c r="S48" s="2437"/>
      <c r="T48" s="2437"/>
      <c r="U48" s="2437"/>
      <c r="V48" s="2437"/>
    </row>
    <row r="49" spans="1:22" s="1741" customFormat="1">
      <c r="A49" s="1568"/>
      <c r="B49" s="1568"/>
      <c r="C49" s="1049"/>
      <c r="D49" s="1049"/>
      <c r="E49" s="1049"/>
      <c r="F49" s="1049"/>
      <c r="G49" s="1049"/>
      <c r="H49" s="1049"/>
      <c r="I49" s="1049"/>
      <c r="J49" s="2435"/>
      <c r="K49" s="2436"/>
      <c r="L49" s="2436"/>
      <c r="M49" s="1049"/>
      <c r="N49" s="1049"/>
      <c r="O49" s="1049"/>
      <c r="P49" s="1049"/>
      <c r="Q49" s="1049"/>
      <c r="R49" s="1049"/>
      <c r="S49" s="2437"/>
      <c r="T49" s="2437"/>
      <c r="U49" s="2437"/>
      <c r="V49" s="2437"/>
    </row>
    <row r="50" spans="1:22" s="1741" customFormat="1">
      <c r="A50" s="1568"/>
      <c r="B50" s="1568"/>
      <c r="C50" s="1049"/>
      <c r="D50" s="1049"/>
      <c r="E50" s="1049"/>
      <c r="F50" s="1049"/>
      <c r="G50" s="1049"/>
      <c r="H50" s="1049"/>
      <c r="I50" s="1049"/>
      <c r="J50" s="2435"/>
      <c r="K50" s="2436"/>
      <c r="L50" s="2436"/>
      <c r="M50" s="1049"/>
      <c r="N50" s="1049"/>
      <c r="O50" s="1049"/>
      <c r="P50" s="1049"/>
      <c r="Q50" s="1049"/>
      <c r="R50" s="1049"/>
      <c r="S50" s="2437"/>
      <c r="T50" s="2437"/>
      <c r="U50" s="2437"/>
      <c r="V50" s="2437"/>
    </row>
    <row r="51" spans="1:22" s="1741" customFormat="1">
      <c r="A51" s="1568"/>
      <c r="B51" s="1568"/>
      <c r="C51" s="1049"/>
      <c r="D51" s="1049"/>
      <c r="E51" s="1049"/>
      <c r="F51" s="1049"/>
      <c r="G51" s="1049"/>
      <c r="H51" s="1049"/>
      <c r="I51" s="1049"/>
      <c r="J51" s="2435"/>
      <c r="K51" s="2436"/>
      <c r="L51" s="2436"/>
      <c r="M51" s="1049"/>
      <c r="N51" s="1049"/>
      <c r="O51" s="1049"/>
      <c r="P51" s="1049"/>
      <c r="Q51" s="1049"/>
      <c r="R51" s="1049"/>
    </row>
    <row r="52" spans="1:22" s="1741" customFormat="1">
      <c r="A52" s="1568"/>
      <c r="B52" s="1568"/>
      <c r="C52" s="1568"/>
      <c r="D52" s="1568"/>
      <c r="E52" s="1568"/>
      <c r="F52" s="1049"/>
      <c r="G52" s="1568"/>
      <c r="H52" s="1568"/>
      <c r="I52" s="1568"/>
      <c r="J52" s="2438"/>
      <c r="K52" s="2436"/>
      <c r="L52" s="2436"/>
      <c r="M52" s="2436"/>
      <c r="N52" s="1568"/>
      <c r="O52" s="1568"/>
      <c r="P52" s="1568"/>
      <c r="Q52" s="1568"/>
      <c r="R52" s="1568"/>
    </row>
    <row r="53" spans="1:22" s="1741" customFormat="1">
      <c r="A53" s="1568"/>
      <c r="B53" s="1568"/>
      <c r="C53" s="1568"/>
      <c r="D53" s="1568"/>
      <c r="E53" s="1568"/>
      <c r="F53" s="1049"/>
      <c r="G53" s="1568"/>
      <c r="H53" s="1568"/>
      <c r="I53" s="1568"/>
      <c r="J53" s="2438"/>
      <c r="K53" s="2436"/>
      <c r="L53" s="2436"/>
      <c r="M53" s="2436"/>
      <c r="N53" s="1568"/>
      <c r="O53" s="1568"/>
      <c r="P53" s="1568"/>
      <c r="Q53" s="1568"/>
      <c r="R53" s="1568"/>
    </row>
    <row r="54" spans="1:22" s="1741" customFormat="1">
      <c r="A54" s="1568"/>
      <c r="B54" s="1568"/>
      <c r="C54" s="1568"/>
      <c r="D54" s="1568"/>
      <c r="E54" s="1568"/>
      <c r="F54" s="1049"/>
      <c r="G54" s="1568"/>
      <c r="H54" s="1568"/>
      <c r="I54" s="1568"/>
      <c r="J54" s="2438"/>
      <c r="K54" s="2436"/>
      <c r="L54" s="2436"/>
      <c r="M54" s="2436"/>
      <c r="N54" s="1568"/>
      <c r="O54" s="1568"/>
      <c r="P54" s="1568"/>
      <c r="Q54" s="1568"/>
      <c r="R54" s="1568"/>
    </row>
    <row r="55" spans="1:22" s="1741" customFormat="1">
      <c r="A55" s="1568"/>
      <c r="B55" s="1568"/>
      <c r="C55" s="1568"/>
      <c r="D55" s="1568"/>
      <c r="E55" s="1568"/>
      <c r="F55" s="1049"/>
      <c r="G55" s="1568"/>
      <c r="H55" s="1568"/>
      <c r="I55" s="1568"/>
      <c r="J55" s="2438"/>
      <c r="K55" s="2436"/>
      <c r="L55" s="2436"/>
      <c r="M55" s="2436"/>
      <c r="N55" s="1568"/>
      <c r="O55" s="1568"/>
      <c r="P55" s="1568"/>
      <c r="Q55" s="1568"/>
      <c r="R55" s="1568"/>
    </row>
    <row r="56" spans="1:22" s="1741" customFormat="1">
      <c r="A56" s="1568"/>
      <c r="B56" s="1568"/>
      <c r="C56" s="1568"/>
      <c r="D56" s="1568"/>
      <c r="E56" s="1568"/>
      <c r="F56" s="1049"/>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P26" sqref="P26"/>
      <selection pane="topRight" activeCell="P26" sqref="P26"/>
      <selection pane="bottomLeft" activeCell="P26" sqref="P26"/>
      <selection pane="bottomRight" activeCell="P26" sqref="P26"/>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54.47</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54.47</v>
      </c>
      <c r="H5" s="13">
        <f t="shared" ref="H5:AT5" si="0">SUM(H13:H656)</f>
        <v>54.47</v>
      </c>
      <c r="I5" s="13">
        <f t="shared" si="0"/>
        <v>54.47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54.47</v>
      </c>
      <c r="BA5" s="15">
        <f t="shared" si="1"/>
        <v>54.47</v>
      </c>
      <c r="BB5" s="15">
        <f t="shared" si="1"/>
        <v>54.47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3393</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c r="D13" s="1623" t="s">
        <v>3388</v>
      </c>
      <c r="E13" s="13">
        <f>IF($C$3="是",ROUND($A$3*G13/$B$3,2),ROUND($A$3*(G13-AT13)/$B$3,2))</f>
        <v>0</v>
      </c>
      <c r="F13" s="29"/>
      <c r="G13" s="30">
        <f>H13+AC13+AT13</f>
        <v>54.47</v>
      </c>
      <c r="H13" s="17">
        <f>SUMIF(I$12:AB$12,"总值",I13:AB13)</f>
        <v>54.47</v>
      </c>
      <c r="I13" s="1624">
        <v>54.47</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0</v>
      </c>
      <c r="AY13" s="1347">
        <f>ROUND($AY$6*AZ13/$AZ$5,2)</f>
        <v>0</v>
      </c>
      <c r="AZ13" s="13">
        <f>BA13+BL13</f>
        <v>54.47</v>
      </c>
      <c r="BA13" s="13">
        <f>SUM(BB13:BK13)</f>
        <v>54.47</v>
      </c>
      <c r="BB13" s="13">
        <f>IF($D13="是",I13-J13,0)</f>
        <v>54.47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26" sqref="P26"/>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32" t="s">
        <v>1131</v>
      </c>
      <c r="B2" s="3532"/>
      <c r="C2" s="3532"/>
      <c r="D2" s="794" t="s">
        <v>1107</v>
      </c>
      <c r="E2" s="1637" t="s">
        <v>1108</v>
      </c>
      <c r="F2" s="2657"/>
      <c r="G2" s="2648"/>
      <c r="H2" s="2649"/>
      <c r="I2" s="2323" t="s">
        <v>1132</v>
      </c>
      <c r="J2" s="2657"/>
      <c r="K2" s="2657"/>
      <c r="L2" s="2657"/>
      <c r="M2" s="2657"/>
      <c r="N2" s="2659"/>
      <c r="O2" s="2657"/>
      <c r="P2" s="2657"/>
    </row>
    <row r="3" spans="1:16" ht="15.75" thickBot="1">
      <c r="A3" s="3533" t="s">
        <v>1105</v>
      </c>
      <c r="B3" s="3533"/>
      <c r="C3" s="3533"/>
      <c r="D3" s="43">
        <f>'数据-基础表'!AY6</f>
        <v>0</v>
      </c>
      <c r="E3" s="43">
        <f>'数据-基础表'!AZ5</f>
        <v>54.47</v>
      </c>
      <c r="F3" s="2657"/>
      <c r="G3" s="1143"/>
      <c r="H3" s="1024" t="s">
        <v>1106</v>
      </c>
      <c r="I3" s="853" t="e">
        <f>ROUND('数据-基础表'!B3/'数据-基础表'!A3,2)</f>
        <v>#DIV/0!</v>
      </c>
      <c r="J3" s="2657"/>
      <c r="K3" s="2657"/>
      <c r="L3" s="2657"/>
      <c r="M3" s="2657"/>
      <c r="N3" s="2659"/>
      <c r="O3" s="2657"/>
      <c r="P3" s="2657"/>
    </row>
    <row r="4" spans="1:16" ht="15">
      <c r="A4" s="3534"/>
      <c r="B4" s="3535"/>
      <c r="C4" s="3536"/>
      <c r="D4" s="1639" t="s">
        <v>1107</v>
      </c>
      <c r="E4" s="1640" t="s">
        <v>1108</v>
      </c>
      <c r="F4" s="2657"/>
      <c r="G4" s="2650" t="s">
        <v>1133</v>
      </c>
      <c r="H4" s="1024" t="s">
        <v>1113</v>
      </c>
      <c r="I4" s="853" t="e">
        <f>ROUND(SUMIF('数据-基础表'!I9:AS9,"地上",'数据-基础表'!I5:AS5)/'数据-基础表'!A3,2)</f>
        <v>#DIV/0!</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3"/>
      <c r="H5" s="1024" t="s">
        <v>1106</v>
      </c>
      <c r="I5" s="853" t="e">
        <f>ROUND(E31/D31,2)</f>
        <v>#DIV/0!</v>
      </c>
      <c r="J5" s="2657"/>
      <c r="K5" s="2657"/>
      <c r="L5" s="2657"/>
      <c r="M5" s="2657"/>
      <c r="N5" s="2657"/>
      <c r="O5" s="2657"/>
      <c r="P5" s="2657"/>
    </row>
    <row r="6" spans="1:16" ht="15" thickBot="1">
      <c r="A6" s="1642"/>
      <c r="B6" s="3537" t="s">
        <v>1111</v>
      </c>
      <c r="C6" s="3537"/>
      <c r="D6" s="45">
        <f>ROUND($D$3*E6/$E$3,2)</f>
        <v>0</v>
      </c>
      <c r="E6" s="46">
        <f>E3-E5</f>
        <v>54.47</v>
      </c>
      <c r="F6" s="2657"/>
      <c r="G6" s="2651" t="s">
        <v>1112</v>
      </c>
      <c r="H6" s="1144" t="s">
        <v>1113</v>
      </c>
      <c r="I6" s="2652" t="e">
        <f>ROUND(F31/D31,2)</f>
        <v>#DIV/0!</v>
      </c>
      <c r="J6" s="2657"/>
      <c r="K6" s="2657"/>
      <c r="L6" s="2657"/>
      <c r="M6" s="2657"/>
      <c r="N6" s="2657"/>
      <c r="O6" s="2657"/>
      <c r="P6" s="2657"/>
    </row>
    <row r="7" spans="1:16" ht="15.75" thickBot="1">
      <c r="A7" s="3529"/>
      <c r="B7" s="3530"/>
      <c r="C7" s="3531"/>
      <c r="D7" s="1639" t="s">
        <v>1107</v>
      </c>
      <c r="E7" s="1643"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54.47</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54.47</v>
      </c>
      <c r="F16" s="2657"/>
      <c r="G16" s="2658"/>
      <c r="H16" s="1646" t="s">
        <v>1135</v>
      </c>
      <c r="I16" s="1647"/>
      <c r="J16" s="1137"/>
      <c r="K16" s="3526" t="s">
        <v>1135</v>
      </c>
      <c r="L16" s="3527"/>
      <c r="M16" s="3527"/>
      <c r="N16" s="3527"/>
      <c r="O16" s="3527"/>
      <c r="P16" s="3528"/>
    </row>
    <row r="17" spans="1:19" ht="15">
      <c r="A17" s="1648" t="s">
        <v>1136</v>
      </c>
      <c r="B17" s="1649" t="s">
        <v>1137</v>
      </c>
      <c r="C17" s="1650" t="s">
        <v>1138</v>
      </c>
      <c r="D17" s="1651" t="s">
        <v>1126</v>
      </c>
      <c r="E17" s="1652" t="s">
        <v>1127</v>
      </c>
      <c r="F17" s="1653"/>
      <c r="G17" s="1654"/>
      <c r="H17" s="1655" t="s">
        <v>1139</v>
      </c>
      <c r="I17" s="1656" t="s">
        <v>1124</v>
      </c>
      <c r="J17" s="1137"/>
      <c r="K17" s="3523" t="s">
        <v>1140</v>
      </c>
      <c r="L17" s="3524"/>
      <c r="M17" s="3525"/>
      <c r="N17" s="3523" t="s">
        <v>1141</v>
      </c>
      <c r="O17" s="3524"/>
      <c r="P17" s="3525"/>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5" t="s">
        <v>3394</v>
      </c>
      <c r="D19" s="45">
        <f>ROUND($D$3*E19/$E$3,2)</f>
        <v>0</v>
      </c>
      <c r="E19" s="53">
        <f t="shared" ref="E19:E26" si="1">SUM(F19:G19)</f>
        <v>54.47</v>
      </c>
      <c r="F19" s="2793">
        <f>'数据-基础表'!I13</f>
        <v>54.47</v>
      </c>
      <c r="G19" s="2794"/>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54.47</v>
      </c>
    </row>
    <row r="20" spans="1:19">
      <c r="A20" s="1668"/>
      <c r="B20" s="47" t="s">
        <v>1153</v>
      </c>
      <c r="C20" s="3415"/>
      <c r="D20" s="45">
        <f t="shared" ref="D20:D26" si="6">ROUND($D$3*E20/$E$3,2)</f>
        <v>0</v>
      </c>
      <c r="E20" s="53">
        <f t="shared" si="1"/>
        <v>0</v>
      </c>
      <c r="F20" s="2793"/>
      <c r="G20" s="2794"/>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5"/>
      <c r="D21" s="45">
        <f t="shared" si="6"/>
        <v>0</v>
      </c>
      <c r="E21" s="53">
        <f t="shared" si="1"/>
        <v>0</v>
      </c>
      <c r="F21" s="2793"/>
      <c r="G21" s="2794"/>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6"/>
      <c r="D22" s="45">
        <f t="shared" si="6"/>
        <v>0</v>
      </c>
      <c r="E22" s="53">
        <f t="shared" si="1"/>
        <v>0</v>
      </c>
      <c r="F22" s="2795"/>
      <c r="G22" s="2796"/>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6"/>
      <c r="D23" s="45">
        <f>ROUND($D$3*E23/$E$3,2)</f>
        <v>0</v>
      </c>
      <c r="E23" s="53">
        <f>SUM(F23:G23)</f>
        <v>0</v>
      </c>
      <c r="F23" s="2795"/>
      <c r="G23" s="2796"/>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6"/>
      <c r="D24" s="45">
        <f>ROUND($D$3*E24/$E$3,2)</f>
        <v>0</v>
      </c>
      <c r="E24" s="53">
        <f>SUM(F24:G24)</f>
        <v>0</v>
      </c>
      <c r="F24" s="2795"/>
      <c r="G24" s="2796"/>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6"/>
      <c r="D25" s="45">
        <f t="shared" si="6"/>
        <v>0</v>
      </c>
      <c r="E25" s="53">
        <f t="shared" si="1"/>
        <v>0</v>
      </c>
      <c r="F25" s="2795"/>
      <c r="G25" s="2796"/>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5"/>
      <c r="G26" s="2796"/>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54.47</v>
      </c>
      <c r="F27" s="1138">
        <f>IF(SUM(F19:F26)=E8,SUM(F19:F26),"地上面积有误")</f>
        <v>54.47</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54.47</v>
      </c>
    </row>
    <row r="28" spans="1:19">
      <c r="A28" s="1668"/>
      <c r="B28" s="47" t="s">
        <v>1155</v>
      </c>
      <c r="C28" s="1036"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8">
        <f>SUM(D28:D29)</f>
        <v>0</v>
      </c>
      <c r="E30" s="1138">
        <f>SUM(E28:E29)</f>
        <v>0</v>
      </c>
      <c r="F30" s="1138">
        <f>SUM(F28:F29)</f>
        <v>0</v>
      </c>
      <c r="G30" s="1140">
        <f>SUM(G28:G29)</f>
        <v>0</v>
      </c>
      <c r="H30" s="2657"/>
      <c r="I30" s="2657"/>
      <c r="J30" s="2657"/>
      <c r="K30" s="2657"/>
      <c r="L30" s="2657"/>
      <c r="M30" s="2657"/>
      <c r="N30" s="2657"/>
      <c r="O30" s="2657"/>
      <c r="P30" s="2657"/>
    </row>
    <row r="31" spans="1:19" ht="15.75" thickBot="1">
      <c r="A31" s="1674"/>
      <c r="B31" s="1675"/>
      <c r="C31" s="833" t="s">
        <v>1158</v>
      </c>
      <c r="D31" s="674">
        <f>D27+D30</f>
        <v>0</v>
      </c>
      <c r="E31" s="674">
        <f>E27+E30</f>
        <v>54.47</v>
      </c>
      <c r="F31" s="675">
        <f>F27+F30</f>
        <v>54.47</v>
      </c>
      <c r="G31" s="676">
        <f>G27+G30</f>
        <v>0</v>
      </c>
      <c r="H31" s="2657"/>
      <c r="I31" s="2657"/>
      <c r="J31" s="2657"/>
      <c r="K31" s="2657"/>
      <c r="L31" s="2657"/>
      <c r="M31" s="2657"/>
      <c r="N31" s="2657"/>
      <c r="O31" s="2657"/>
      <c r="P31" s="2657"/>
    </row>
    <row r="32" spans="1:19">
      <c r="A32" s="1641"/>
      <c r="B32" s="1641" t="s">
        <v>1159</v>
      </c>
      <c r="C32" s="1641"/>
      <c r="D32" s="1641"/>
      <c r="E32" s="1051">
        <f>SUMIF(C19:C26,"*住宅*",E19:E26)</f>
        <v>0</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O6" activePane="bottomRight" state="frozen"/>
      <selection activeCell="P26" sqref="P26"/>
      <selection pane="topRight" activeCell="P26" sqref="P26"/>
      <selection pane="bottomLeft" activeCell="P26" sqref="P26"/>
      <selection pane="bottomRight" activeCell="P26" sqref="P2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3">
        <f>项目基本情况!D3</f>
        <v>45595</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3395</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58644</v>
      </c>
      <c r="F6" s="64">
        <f>SUMIF(项目基本情况!C$12:I$12,C6,项目基本情况!C$15:I$15)</f>
        <v>35.75</v>
      </c>
      <c r="G6" s="65">
        <f>IF(ISERROR(ROUND(POWER(1+H6,D6-F6)*(POWER(1+H6,F6)-1)/(POWER(1+H6,D6)-1),3)),0,ROUND(POWER(1+H6,D6-F6)*(POWER(1+H6,F6)-1)/(POWER(1+H6,D6)-1),3))</f>
        <v>0.96199999999999997</v>
      </c>
      <c r="H6" s="730">
        <v>0.05</v>
      </c>
      <c r="I6" s="730">
        <v>5.5E-2</v>
      </c>
      <c r="J6" s="66">
        <v>7.0000000000000007E-2</v>
      </c>
      <c r="K6" s="1028">
        <f>SUMIF('数据-汇总表'!C$19:C$33,A6,'数据-汇总表'!E$19:E$33)</f>
        <v>54.47</v>
      </c>
      <c r="L6" s="731">
        <v>3500</v>
      </c>
      <c r="M6" s="67">
        <f t="shared" ref="M6:M14" si="0">ROUND(K6*L6/10000,0)</f>
        <v>19</v>
      </c>
      <c r="N6" s="729">
        <f>N18</f>
        <v>0.97</v>
      </c>
      <c r="O6" s="67" t="str">
        <f>IF($N$5="成新度","——",ROUND(M6*N6,0))</f>
        <v>——</v>
      </c>
      <c r="P6" s="68" t="str">
        <f>IF($N$5="成新度","——",M6-O6)</f>
        <v>——</v>
      </c>
      <c r="Q6" s="732">
        <v>0.15</v>
      </c>
      <c r="R6" s="69">
        <f ca="1">SUMIF('数据-汇总表'!C$19:C$33,A6,'数据-汇总表'!R$19:R$27)</f>
        <v>0</v>
      </c>
      <c r="S6" s="51">
        <f>IF('数据-汇总表'!$I$17="按面积比例",SUMIF('数据-汇总表'!C$19:C$33,A6,'数据-汇总表'!K$19:K$33),SUMIF('数据-汇总表'!C$19:C$33,A6,'数据-汇总表'!N$19:N$33))</f>
        <v>0</v>
      </c>
      <c r="T6" s="1170">
        <f>ROUND($L$14*S6/10000,0)</f>
        <v>0</v>
      </c>
      <c r="U6" s="3426">
        <v>1</v>
      </c>
      <c r="V6" s="70">
        <v>0.02</v>
      </c>
      <c r="W6" s="70">
        <v>0.1</v>
      </c>
      <c r="X6" s="1038"/>
      <c r="Y6" s="71">
        <f>N6</f>
        <v>0.97</v>
      </c>
      <c r="Z6" s="72"/>
      <c r="AA6" s="66"/>
      <c r="AB6" s="66"/>
      <c r="AC6" s="1038"/>
      <c r="AD6" s="73"/>
      <c r="AE6" s="1039">
        <f ca="1">IF(AN6="",0,SUMIF(INDIRECT("'"&amp;AN6&amp;"'"&amp;"!E:E"),$AE$5,INDIRECT("'"&amp;AN6&amp;"'"&amp;"!F:F")))</f>
        <v>35.75</v>
      </c>
      <c r="AF6" s="1346"/>
      <c r="AG6" s="138">
        <f>IF(AF6="",0,AE6-AF6)</f>
        <v>0</v>
      </c>
      <c r="AH6" s="74"/>
      <c r="AI6" s="76">
        <v>365</v>
      </c>
      <c r="AJ6" s="77"/>
      <c r="AK6" s="78">
        <v>5.0000000000000001E-3</v>
      </c>
      <c r="AL6" s="79">
        <v>1.5E-3</v>
      </c>
      <c r="AM6" s="80">
        <v>5.0000000000000001E-3</v>
      </c>
      <c r="AN6" s="1713" t="s">
        <v>3396</v>
      </c>
      <c r="AO6" s="52">
        <f ca="1">SUMIF(INDIRECT("'"&amp;AN6&amp;"'"&amp;"!A:A"),"总价",INDIRECT("'"&amp;AN6&amp;"'"&amp;"!B:B"))</f>
        <v>26.992000000000001</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6"/>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7"/>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6"/>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6"/>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6"/>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6"/>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8"/>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0.96199999999999997</v>
      </c>
      <c r="H16" s="90">
        <f>ROUND(SUMPRODUCT(H6:H13,K6:K13)/SUMPRODUCT((H6:H13&gt;0)*(K6:K13)),3)</f>
        <v>0.05</v>
      </c>
      <c r="I16" s="91"/>
      <c r="J16" s="91"/>
      <c r="K16" s="92">
        <f>SUM(K6:K15)</f>
        <v>54.47</v>
      </c>
      <c r="L16" s="93">
        <f>ROUND(M16*10000/SUM(K6:K14),0)</f>
        <v>3488</v>
      </c>
      <c r="M16" s="93">
        <f>SUM(M6:M14)</f>
        <v>19</v>
      </c>
      <c r="N16" s="94">
        <f>ROUND(SUMPRODUCT(M6:M14,N6:N14)/M16,3)</f>
        <v>0.97</v>
      </c>
      <c r="O16" s="93">
        <f>SUM(O6:O14)</f>
        <v>0</v>
      </c>
      <c r="P16" s="93">
        <f>SUM(P6:P14)</f>
        <v>0</v>
      </c>
      <c r="Q16" s="95">
        <f>ROUND(SUMPRODUCT(Q6:Q13,K6:K13)/SUMPRODUCT((Q6:Q13&gt;0)*(K6:K13)),2)</f>
        <v>0.15</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v>2022</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f>ROUND(1-(2024-N17)/60,2)</f>
        <v>0.97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c r="C19" s="2797" t="s">
        <v>2304</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2302</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ROUND(B28*K16,0)</f>
        <v>10894</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180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2313</v>
      </c>
      <c r="B40" s="1076">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1"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1"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1"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1"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1"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P26" sqref="P26"/>
      <selection pane="topRight" activeCell="P26" sqref="P26"/>
      <selection pane="bottomLeft" activeCell="P26" sqref="P26"/>
      <selection pane="bottomRight" activeCell="P26" sqref="P26"/>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7"/>
    <col min="30" max="16384" width="9" style="1684"/>
  </cols>
  <sheetData>
    <row r="1" spans="1:29" s="2455" customFormat="1" ht="18.75" thickBot="1">
      <c r="A1" s="3538" t="s">
        <v>2285</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7"/>
      <c r="I2" s="797"/>
      <c r="J2" s="797"/>
      <c r="K2" s="797"/>
      <c r="L2" s="797"/>
      <c r="M2" s="797"/>
      <c r="N2" s="797"/>
      <c r="O2" s="797"/>
      <c r="P2" s="797"/>
      <c r="Q2" s="797"/>
      <c r="R2" s="797"/>
    </row>
    <row r="3" spans="1:29" ht="48">
      <c r="A3" s="2439" t="s">
        <v>2282</v>
      </c>
      <c r="B3" s="2461" t="s">
        <v>2251</v>
      </c>
      <c r="C3" s="2462" t="s">
        <v>2283</v>
      </c>
      <c r="D3" s="2463"/>
      <c r="E3" s="2440" t="s">
        <v>2282</v>
      </c>
      <c r="F3" s="2464" t="s">
        <v>2252</v>
      </c>
      <c r="G3" s="2465" t="s">
        <v>2284</v>
      </c>
      <c r="H3" s="797"/>
      <c r="I3" s="797"/>
      <c r="J3" s="797"/>
      <c r="K3" s="797"/>
      <c r="L3" s="797"/>
      <c r="M3" s="797"/>
      <c r="N3" s="797"/>
      <c r="O3" s="797"/>
      <c r="P3" s="797"/>
      <c r="Q3" s="797"/>
      <c r="R3" s="797"/>
    </row>
    <row r="4" spans="1:29" ht="36.75">
      <c r="A4" s="2440"/>
      <c r="B4" s="323" t="s">
        <v>2253</v>
      </c>
      <c r="C4" s="2466" t="s">
        <v>2254</v>
      </c>
      <c r="D4" s="2463"/>
      <c r="E4" s="2467"/>
      <c r="F4" s="1371" t="s">
        <v>2255</v>
      </c>
      <c r="G4" s="2468" t="s">
        <v>2256</v>
      </c>
      <c r="H4" s="797"/>
      <c r="I4" s="797"/>
      <c r="J4" s="797"/>
      <c r="K4" s="797"/>
      <c r="L4" s="797"/>
      <c r="M4" s="797"/>
      <c r="N4" s="797"/>
      <c r="O4" s="797"/>
      <c r="P4" s="797"/>
      <c r="Q4" s="797"/>
      <c r="R4" s="797"/>
    </row>
    <row r="5" spans="1:29" ht="36.75">
      <c r="A5" s="2440"/>
      <c r="B5" s="323" t="s">
        <v>2257</v>
      </c>
      <c r="C5" s="2466" t="s">
        <v>2258</v>
      </c>
      <c r="D5" s="2463"/>
      <c r="E5" s="2467"/>
      <c r="F5" s="323" t="s">
        <v>2259</v>
      </c>
      <c r="G5" s="2468" t="s">
        <v>2260</v>
      </c>
      <c r="H5" s="797"/>
      <c r="I5" s="797"/>
      <c r="J5" s="797"/>
      <c r="K5" s="797"/>
      <c r="L5" s="797"/>
      <c r="M5" s="797"/>
      <c r="N5" s="797"/>
      <c r="O5" s="797"/>
      <c r="P5" s="797"/>
      <c r="Q5" s="797"/>
      <c r="R5" s="797"/>
    </row>
    <row r="6" spans="1:29" ht="36">
      <c r="A6" s="2440"/>
      <c r="B6" s="323" t="s">
        <v>2261</v>
      </c>
      <c r="C6" s="2468" t="s">
        <v>2256</v>
      </c>
      <c r="D6" s="2463"/>
      <c r="E6" s="2467"/>
      <c r="F6" s="323" t="s">
        <v>2262</v>
      </c>
      <c r="G6" s="2468" t="s">
        <v>2263</v>
      </c>
      <c r="H6" s="797"/>
      <c r="I6" s="797"/>
      <c r="J6" s="797"/>
      <c r="K6" s="797"/>
      <c r="L6" s="797"/>
      <c r="M6" s="797"/>
      <c r="N6" s="797"/>
      <c r="O6" s="797"/>
      <c r="P6" s="797"/>
      <c r="Q6" s="797"/>
      <c r="R6" s="797"/>
    </row>
    <row r="7" spans="1:29" ht="24.75" thickBot="1">
      <c r="A7" s="2440"/>
      <c r="B7" s="323" t="s">
        <v>2259</v>
      </c>
      <c r="C7" s="2468" t="s">
        <v>2260</v>
      </c>
      <c r="D7" s="2469"/>
      <c r="E7" s="2470"/>
      <c r="F7" s="2471" t="s">
        <v>2264</v>
      </c>
      <c r="G7" s="2472" t="s">
        <v>2265</v>
      </c>
      <c r="H7" s="797"/>
      <c r="I7" s="797"/>
      <c r="J7" s="797"/>
      <c r="K7" s="797"/>
      <c r="L7" s="797"/>
      <c r="M7" s="797"/>
      <c r="N7" s="797"/>
      <c r="O7" s="797"/>
      <c r="P7" s="797"/>
      <c r="Q7" s="797"/>
      <c r="R7" s="797"/>
    </row>
    <row r="8" spans="1:29">
      <c r="A8" s="2440"/>
      <c r="B8" s="323" t="s">
        <v>2262</v>
      </c>
      <c r="C8" s="2468" t="s">
        <v>2263</v>
      </c>
      <c r="D8" s="2469"/>
      <c r="E8" s="2469"/>
      <c r="F8" s="2473"/>
      <c r="G8" s="2473"/>
      <c r="H8" s="797"/>
      <c r="I8" s="797"/>
      <c r="J8" s="797"/>
      <c r="K8" s="797"/>
      <c r="L8" s="797"/>
      <c r="M8" s="797"/>
      <c r="N8" s="797"/>
      <c r="O8" s="797"/>
      <c r="P8" s="797"/>
      <c r="Q8" s="797"/>
      <c r="R8" s="797"/>
    </row>
    <row r="9" spans="1:29" ht="24">
      <c r="A9" s="2440"/>
      <c r="B9" s="323" t="s">
        <v>2266</v>
      </c>
      <c r="C9" s="2466" t="s">
        <v>2267</v>
      </c>
      <c r="D9" s="2463"/>
      <c r="E9" s="2469"/>
      <c r="F9" s="2473"/>
      <c r="G9" s="2473"/>
      <c r="H9" s="797"/>
      <c r="I9" s="797"/>
      <c r="J9" s="797"/>
      <c r="K9" s="797"/>
      <c r="L9" s="797"/>
      <c r="M9" s="797"/>
      <c r="N9" s="797"/>
      <c r="O9" s="797"/>
      <c r="P9" s="797"/>
      <c r="Q9" s="797"/>
      <c r="R9" s="797"/>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7"/>
      <c r="T10" s="797"/>
      <c r="U10" s="797"/>
      <c r="V10" s="797"/>
      <c r="W10" s="797"/>
      <c r="X10" s="797"/>
      <c r="Y10" s="797"/>
      <c r="Z10" s="797"/>
      <c r="AA10" s="797"/>
      <c r="AB10" s="797"/>
      <c r="AC10" s="797"/>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7"/>
      <c r="T11" s="797"/>
      <c r="U11" s="797"/>
      <c r="V11" s="797"/>
      <c r="W11" s="797"/>
      <c r="X11" s="797"/>
      <c r="Y11" s="797"/>
      <c r="Z11" s="797"/>
      <c r="AA11" s="797"/>
      <c r="AB11" s="797"/>
      <c r="AC11" s="797"/>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7"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7"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7" customFormat="1">
      <c r="B25" s="2489"/>
      <c r="C25" s="2489"/>
      <c r="D25" s="2489"/>
      <c r="H25" s="2489"/>
      <c r="I25" s="2490"/>
      <c r="J25" s="2489"/>
      <c r="K25" s="2489"/>
      <c r="L25" s="2490"/>
      <c r="M25" s="2489"/>
      <c r="N25" s="2489"/>
      <c r="O25" s="2490"/>
      <c r="P25" s="2489"/>
      <c r="Q25" s="2489"/>
      <c r="R25" s="2491"/>
    </row>
    <row r="26" spans="1:18" s="797" customFormat="1">
      <c r="B26" s="2489"/>
      <c r="C26" s="2489"/>
      <c r="D26" s="2489"/>
      <c r="H26" s="2489"/>
      <c r="I26" s="2490"/>
      <c r="J26" s="2489"/>
      <c r="K26" s="2489"/>
      <c r="L26" s="2490"/>
      <c r="M26" s="2489"/>
      <c r="N26" s="2489"/>
      <c r="O26" s="2490"/>
      <c r="P26" s="2489"/>
      <c r="Q26" s="2489"/>
      <c r="R26" s="2491"/>
    </row>
    <row r="27" spans="1:18" s="797" customFormat="1">
      <c r="B27" s="2489"/>
      <c r="C27" s="2489"/>
      <c r="D27" s="2489"/>
      <c r="H27" s="2489"/>
      <c r="I27" s="2490"/>
      <c r="J27" s="2489"/>
      <c r="K27" s="2489"/>
      <c r="L27" s="2490"/>
      <c r="M27" s="2489"/>
      <c r="N27" s="2489"/>
      <c r="O27" s="2490"/>
      <c r="P27" s="2489"/>
      <c r="Q27" s="2489"/>
      <c r="R27" s="2491"/>
    </row>
    <row r="28" spans="1:18" s="797" customFormat="1">
      <c r="B28" s="2489"/>
      <c r="C28" s="2489"/>
      <c r="D28" s="2489"/>
      <c r="H28" s="2489"/>
      <c r="I28" s="2490"/>
      <c r="J28" s="2489"/>
      <c r="K28" s="2489"/>
      <c r="L28" s="2490"/>
      <c r="M28" s="2489"/>
      <c r="N28" s="2489"/>
      <c r="O28" s="2490"/>
      <c r="P28" s="2489"/>
      <c r="Q28" s="2489"/>
      <c r="R28" s="2491"/>
    </row>
    <row r="29" spans="1:18" s="797" customFormat="1">
      <c r="B29" s="2489"/>
      <c r="C29" s="2489"/>
      <c r="D29" s="2489"/>
      <c r="H29" s="2489"/>
      <c r="I29" s="2490"/>
      <c r="J29" s="2489"/>
      <c r="K29" s="2489"/>
      <c r="L29" s="2490"/>
      <c r="M29" s="2489"/>
      <c r="N29" s="2489"/>
      <c r="O29" s="2490"/>
      <c r="P29" s="2489"/>
      <c r="Q29" s="2489"/>
      <c r="R29" s="2491"/>
    </row>
    <row r="30" spans="1:18" s="797" customFormat="1">
      <c r="B30" s="2489"/>
      <c r="C30" s="2489"/>
      <c r="D30" s="2489"/>
      <c r="H30" s="2489"/>
      <c r="I30" s="2490"/>
      <c r="J30" s="2489"/>
      <c r="K30" s="2489"/>
      <c r="L30" s="2490"/>
      <c r="M30" s="2489"/>
      <c r="N30" s="2489"/>
      <c r="O30" s="2490"/>
      <c r="P30" s="2489"/>
      <c r="Q30" s="2489"/>
      <c r="R30" s="2491"/>
    </row>
    <row r="31" spans="1:18" s="797" customFormat="1">
      <c r="B31" s="2489"/>
      <c r="C31" s="2489"/>
      <c r="D31" s="2489"/>
      <c r="H31" s="2489"/>
      <c r="I31" s="2490"/>
      <c r="J31" s="2489"/>
      <c r="K31" s="2489"/>
      <c r="L31" s="2490"/>
      <c r="M31" s="2489"/>
      <c r="N31" s="2489"/>
      <c r="O31" s="2490"/>
      <c r="P31" s="2489"/>
      <c r="Q31" s="2489"/>
      <c r="R31" s="2491"/>
    </row>
    <row r="32" spans="1:18" s="797" customFormat="1">
      <c r="B32" s="2489"/>
      <c r="C32" s="2489"/>
      <c r="D32" s="2489"/>
      <c r="H32" s="2489"/>
      <c r="I32" s="2490"/>
      <c r="J32" s="2489"/>
      <c r="K32" s="2489"/>
      <c r="L32" s="2490"/>
      <c r="M32" s="2489"/>
      <c r="N32" s="2489"/>
      <c r="O32" s="2490"/>
      <c r="P32" s="2489"/>
      <c r="Q32" s="2489"/>
      <c r="R32" s="2491"/>
    </row>
    <row r="33" spans="2:18" s="797" customFormat="1">
      <c r="B33" s="2489"/>
      <c r="C33" s="2489"/>
      <c r="D33" s="2489"/>
      <c r="H33" s="2489"/>
      <c r="I33" s="2490"/>
      <c r="J33" s="2489"/>
      <c r="K33" s="2489"/>
      <c r="L33" s="2490"/>
      <c r="M33" s="2489"/>
      <c r="N33" s="2489"/>
      <c r="O33" s="2490"/>
      <c r="P33" s="2489"/>
      <c r="Q33" s="2489"/>
      <c r="R33" s="2491"/>
    </row>
    <row r="34" spans="2:18" s="797" customFormat="1">
      <c r="B34" s="2489"/>
      <c r="C34" s="2489"/>
      <c r="D34" s="2489"/>
      <c r="H34" s="2489"/>
      <c r="I34" s="2490"/>
      <c r="J34" s="2489"/>
      <c r="K34" s="2489"/>
      <c r="L34" s="2490"/>
      <c r="M34" s="2489"/>
      <c r="N34" s="2489"/>
      <c r="O34" s="2490"/>
      <c r="P34" s="2489"/>
      <c r="Q34" s="2489"/>
      <c r="R34" s="2491"/>
    </row>
    <row r="35" spans="2:18" s="797" customFormat="1">
      <c r="B35" s="2489"/>
      <c r="C35" s="2489"/>
      <c r="D35" s="2489"/>
      <c r="H35" s="2489"/>
      <c r="I35" s="2490"/>
      <c r="J35" s="2489"/>
      <c r="K35" s="2489"/>
      <c r="L35" s="2490"/>
      <c r="M35" s="2489"/>
      <c r="N35" s="2489"/>
      <c r="O35" s="2490"/>
      <c r="P35" s="2489"/>
      <c r="Q35" s="2489"/>
      <c r="R35" s="2491"/>
    </row>
    <row r="36" spans="2:18" s="797" customFormat="1">
      <c r="B36" s="2489"/>
      <c r="C36" s="2489"/>
      <c r="D36" s="2489"/>
      <c r="H36" s="2489"/>
      <c r="I36" s="2490"/>
      <c r="J36" s="2489"/>
      <c r="K36" s="2489"/>
      <c r="L36" s="2490"/>
      <c r="M36" s="2489"/>
      <c r="N36" s="2489"/>
      <c r="O36" s="2490"/>
      <c r="P36" s="2489"/>
      <c r="Q36" s="2489"/>
      <c r="R36" s="2491"/>
    </row>
    <row r="37" spans="2:18" s="797" customFormat="1">
      <c r="B37" s="2489"/>
      <c r="C37" s="2489"/>
      <c r="D37" s="2489"/>
      <c r="H37" s="2489"/>
      <c r="I37" s="2490"/>
      <c r="J37" s="2489"/>
      <c r="K37" s="2489"/>
      <c r="L37" s="2490"/>
      <c r="M37" s="2489"/>
      <c r="N37" s="2489"/>
      <c r="O37" s="2490"/>
      <c r="P37" s="2489"/>
      <c r="Q37" s="2489"/>
      <c r="R37" s="2491"/>
    </row>
    <row r="38" spans="2:18" s="797" customFormat="1">
      <c r="B38" s="2489"/>
      <c r="C38" s="2489"/>
      <c r="D38" s="2489"/>
      <c r="E38" s="2489"/>
      <c r="F38" s="2489"/>
      <c r="G38" s="2490"/>
      <c r="H38" s="2489"/>
      <c r="I38" s="2490"/>
      <c r="J38" s="2489"/>
      <c r="K38" s="2489"/>
      <c r="L38" s="2490"/>
      <c r="M38" s="2489"/>
      <c r="N38" s="2489"/>
      <c r="O38" s="2490"/>
      <c r="P38" s="2489"/>
      <c r="Q38" s="2489"/>
      <c r="R38" s="2491"/>
    </row>
    <row r="39" spans="2:18" s="797" customFormat="1">
      <c r="B39" s="2489"/>
      <c r="C39" s="2489"/>
      <c r="D39" s="2489"/>
      <c r="E39" s="2489"/>
      <c r="F39" s="2489"/>
      <c r="G39" s="2490"/>
      <c r="H39" s="2489"/>
      <c r="I39" s="2490"/>
      <c r="J39" s="2489"/>
      <c r="K39" s="2489"/>
      <c r="L39" s="2490"/>
      <c r="M39" s="2489"/>
      <c r="N39" s="2489"/>
      <c r="O39" s="2490"/>
      <c r="P39" s="2489"/>
      <c r="Q39" s="2489"/>
      <c r="R39" s="2491"/>
    </row>
    <row r="40" spans="2:18" s="797" customFormat="1">
      <c r="B40" s="2489"/>
      <c r="C40" s="2489"/>
      <c r="D40" s="2489"/>
      <c r="E40" s="2489"/>
      <c r="F40" s="2489"/>
      <c r="G40" s="2490"/>
      <c r="H40" s="2489"/>
      <c r="I40" s="2490"/>
      <c r="J40" s="2489"/>
      <c r="K40" s="2489"/>
      <c r="L40" s="2490"/>
      <c r="M40" s="2489"/>
      <c r="N40" s="2489"/>
      <c r="O40" s="2490"/>
      <c r="P40" s="2489"/>
      <c r="Q40" s="2489"/>
      <c r="R40" s="2491"/>
    </row>
    <row r="41" spans="2:18" s="797" customFormat="1">
      <c r="B41" s="2489"/>
      <c r="C41" s="2489"/>
      <c r="D41" s="2489"/>
      <c r="E41" s="2489"/>
      <c r="F41" s="2489"/>
      <c r="G41" s="2490"/>
      <c r="H41" s="2489"/>
      <c r="I41" s="2490"/>
      <c r="J41" s="2489"/>
      <c r="K41" s="2489"/>
      <c r="L41" s="2490"/>
      <c r="M41" s="2489"/>
      <c r="N41" s="2489"/>
      <c r="O41" s="2490"/>
      <c r="P41" s="2489"/>
      <c r="Q41" s="2489"/>
      <c r="R41" s="2491"/>
    </row>
    <row r="42" spans="2:18" s="797" customFormat="1">
      <c r="B42" s="2489"/>
      <c r="C42" s="2489"/>
      <c r="D42" s="2489"/>
      <c r="E42" s="2489"/>
      <c r="F42" s="2489"/>
      <c r="G42" s="2490"/>
      <c r="H42" s="2489"/>
      <c r="I42" s="2490"/>
      <c r="J42" s="2489"/>
      <c r="K42" s="2489"/>
      <c r="L42" s="2490"/>
      <c r="M42" s="2489"/>
      <c r="N42" s="2489"/>
      <c r="O42" s="2490"/>
      <c r="P42" s="2489"/>
      <c r="Q42" s="2489"/>
      <c r="R42" s="2491"/>
    </row>
    <row r="43" spans="2:18" s="797" customFormat="1">
      <c r="B43" s="2489"/>
      <c r="C43" s="2489"/>
      <c r="D43" s="2489"/>
      <c r="E43" s="2489"/>
      <c r="F43" s="2489"/>
      <c r="G43" s="2490"/>
      <c r="H43" s="2489"/>
      <c r="I43" s="2490"/>
      <c r="J43" s="2489"/>
      <c r="K43" s="2489"/>
      <c r="L43" s="2490"/>
      <c r="M43" s="2489"/>
      <c r="N43" s="2489"/>
      <c r="O43" s="2490"/>
      <c r="P43" s="2489"/>
      <c r="Q43" s="2489"/>
      <c r="R43" s="2491"/>
    </row>
    <row r="44" spans="2:18" s="797" customFormat="1">
      <c r="B44" s="2489"/>
      <c r="C44" s="2489"/>
      <c r="D44" s="2489"/>
      <c r="E44" s="2489"/>
      <c r="F44" s="2489"/>
      <c r="G44" s="2490"/>
      <c r="H44" s="2489"/>
      <c r="I44" s="2490"/>
      <c r="J44" s="2489"/>
      <c r="K44" s="2489"/>
      <c r="L44" s="2490"/>
      <c r="M44" s="2489"/>
      <c r="N44" s="2489"/>
      <c r="O44" s="2490"/>
      <c r="P44" s="2489"/>
      <c r="Q44" s="2489"/>
      <c r="R44" s="2491"/>
    </row>
    <row r="45" spans="2:18" s="797" customFormat="1">
      <c r="B45" s="2489"/>
      <c r="C45" s="2489"/>
      <c r="D45" s="2489"/>
      <c r="E45" s="2489"/>
      <c r="F45" s="2489"/>
      <c r="G45" s="2490"/>
      <c r="H45" s="2489"/>
      <c r="I45" s="2490"/>
      <c r="J45" s="2489"/>
      <c r="K45" s="2489"/>
      <c r="L45" s="2490"/>
      <c r="M45" s="2489"/>
      <c r="N45" s="2489"/>
      <c r="O45" s="2490"/>
      <c r="P45" s="2489"/>
      <c r="Q45" s="2489"/>
      <c r="R45" s="2491"/>
    </row>
    <row r="46" spans="2:18" s="797" customFormat="1">
      <c r="B46" s="2489"/>
      <c r="C46" s="2489"/>
      <c r="D46" s="2489"/>
      <c r="E46" s="2489"/>
      <c r="F46" s="2489"/>
      <c r="G46" s="2490"/>
      <c r="H46" s="2489"/>
      <c r="I46" s="2490"/>
      <c r="J46" s="2489"/>
      <c r="K46" s="2489"/>
      <c r="L46" s="2490"/>
      <c r="M46" s="2489"/>
      <c r="N46" s="2489"/>
      <c r="O46" s="2490"/>
      <c r="P46" s="2489"/>
      <c r="Q46" s="2489"/>
      <c r="R46" s="2491"/>
    </row>
    <row r="47" spans="2:18" s="797" customFormat="1">
      <c r="B47" s="2489"/>
      <c r="C47" s="2489"/>
      <c r="D47" s="2489"/>
      <c r="E47" s="2489"/>
      <c r="F47" s="2489"/>
      <c r="G47" s="2490"/>
      <c r="H47" s="2489"/>
      <c r="I47" s="2490"/>
      <c r="J47" s="2489"/>
      <c r="K47" s="2489"/>
      <c r="L47" s="2490"/>
      <c r="M47" s="2489"/>
      <c r="N47" s="2489"/>
      <c r="O47" s="2490"/>
      <c r="P47" s="2489"/>
      <c r="Q47" s="2489"/>
      <c r="R47" s="2491"/>
    </row>
    <row r="48" spans="2:18" s="797" customFormat="1">
      <c r="B48" s="2489"/>
      <c r="C48" s="2489"/>
      <c r="D48" s="2489"/>
      <c r="E48" s="2489"/>
      <c r="F48" s="2489"/>
      <c r="G48" s="2490"/>
      <c r="H48" s="2489"/>
      <c r="I48" s="2490"/>
      <c r="J48" s="2489"/>
      <c r="K48" s="2489"/>
      <c r="L48" s="2490"/>
      <c r="M48" s="2489"/>
      <c r="N48" s="2489"/>
      <c r="O48" s="2490"/>
      <c r="P48" s="2489"/>
      <c r="Q48" s="2489"/>
      <c r="R48" s="2491"/>
    </row>
    <row r="49" spans="2:18" s="797" customFormat="1">
      <c r="B49" s="2489"/>
      <c r="C49" s="2489"/>
      <c r="D49" s="2489"/>
      <c r="E49" s="2489"/>
      <c r="F49" s="2489"/>
      <c r="G49" s="2490"/>
      <c r="H49" s="2489"/>
      <c r="I49" s="2490"/>
      <c r="J49" s="2489"/>
      <c r="K49" s="2489"/>
      <c r="L49" s="2490"/>
      <c r="M49" s="2489"/>
      <c r="N49" s="2489"/>
      <c r="O49" s="2490"/>
      <c r="P49" s="2489"/>
      <c r="Q49" s="2489"/>
      <c r="R49" s="2491"/>
    </row>
    <row r="50" spans="2:18" s="797" customFormat="1">
      <c r="B50" s="2489"/>
      <c r="C50" s="2489"/>
      <c r="D50" s="2489"/>
      <c r="E50" s="2489"/>
      <c r="F50" s="2489"/>
      <c r="G50" s="2490"/>
      <c r="H50" s="2489"/>
      <c r="I50" s="2490"/>
      <c r="J50" s="2489"/>
      <c r="K50" s="2489"/>
      <c r="L50" s="2490"/>
      <c r="M50" s="2489"/>
      <c r="N50" s="2489"/>
      <c r="O50" s="2490"/>
      <c r="P50" s="2489"/>
      <c r="Q50" s="2489"/>
      <c r="R50" s="2491"/>
    </row>
    <row r="51" spans="2:18" s="797" customFormat="1">
      <c r="B51" s="2489"/>
      <c r="C51" s="2489"/>
      <c r="D51" s="2489"/>
      <c r="E51" s="2489"/>
      <c r="F51" s="2489"/>
      <c r="G51" s="2490"/>
      <c r="H51" s="2489"/>
      <c r="I51" s="2490"/>
      <c r="J51" s="2489"/>
      <c r="K51" s="2489"/>
      <c r="L51" s="2490"/>
      <c r="M51" s="2489"/>
      <c r="N51" s="2489"/>
      <c r="O51" s="2490"/>
      <c r="P51" s="2489"/>
      <c r="Q51" s="2489"/>
      <c r="R51" s="2491"/>
    </row>
    <row r="52" spans="2:18" s="797" customFormat="1">
      <c r="B52" s="2489"/>
      <c r="C52" s="2489"/>
      <c r="D52" s="2489"/>
      <c r="E52" s="2489"/>
      <c r="F52" s="2489"/>
      <c r="G52" s="2490"/>
      <c r="H52" s="2489"/>
      <c r="I52" s="2490"/>
      <c r="J52" s="2489"/>
      <c r="K52" s="2489"/>
      <c r="L52" s="2490"/>
      <c r="M52" s="2489"/>
      <c r="N52" s="2489"/>
      <c r="O52" s="2490"/>
      <c r="P52" s="2489"/>
      <c r="Q52" s="2489"/>
      <c r="R52" s="2491"/>
    </row>
    <row r="53" spans="2:18" s="797" customFormat="1">
      <c r="B53" s="2489"/>
      <c r="C53" s="2489"/>
      <c r="D53" s="2489"/>
      <c r="E53" s="2489"/>
      <c r="F53" s="2489"/>
      <c r="G53" s="2490"/>
      <c r="H53" s="2489"/>
      <c r="I53" s="2490"/>
      <c r="J53" s="2489"/>
      <c r="K53" s="2489"/>
      <c r="L53" s="2490"/>
      <c r="M53" s="2489"/>
      <c r="N53" s="2489"/>
      <c r="O53" s="2490"/>
      <c r="P53" s="2489"/>
      <c r="Q53" s="2489"/>
      <c r="R53" s="2491"/>
    </row>
    <row r="54" spans="2:18" s="797" customFormat="1">
      <c r="B54" s="2489"/>
      <c r="C54" s="2489"/>
      <c r="D54" s="2489"/>
      <c r="E54" s="2489"/>
      <c r="F54" s="2489"/>
      <c r="G54" s="2490"/>
      <c r="H54" s="2489"/>
      <c r="I54" s="2490"/>
      <c r="J54" s="2489"/>
      <c r="K54" s="2489"/>
      <c r="L54" s="2490"/>
      <c r="M54" s="2489"/>
      <c r="N54" s="2489"/>
      <c r="O54" s="2490"/>
      <c r="P54" s="2489"/>
      <c r="Q54" s="2489"/>
      <c r="R54" s="2491"/>
    </row>
    <row r="55" spans="2:18" s="797" customFormat="1">
      <c r="B55" s="2489"/>
      <c r="C55" s="2489"/>
      <c r="D55" s="2489"/>
      <c r="E55" s="2489"/>
      <c r="F55" s="2489"/>
      <c r="G55" s="2490"/>
      <c r="H55" s="2489"/>
      <c r="I55" s="2490"/>
      <c r="J55" s="2489"/>
      <c r="K55" s="2489"/>
      <c r="L55" s="2490"/>
      <c r="M55" s="2489"/>
      <c r="N55" s="2489"/>
      <c r="O55" s="2490"/>
      <c r="P55" s="2489"/>
      <c r="Q55" s="2489"/>
      <c r="R55" s="2491"/>
    </row>
    <row r="56" spans="2:18" s="797" customFormat="1">
      <c r="B56" s="2489"/>
      <c r="C56" s="2489"/>
      <c r="D56" s="2489"/>
      <c r="E56" s="2489"/>
      <c r="F56" s="2489"/>
      <c r="G56" s="2490"/>
      <c r="H56" s="2489"/>
      <c r="I56" s="2490"/>
      <c r="J56" s="2489"/>
      <c r="K56" s="2489"/>
      <c r="L56" s="2490"/>
      <c r="M56" s="2489"/>
      <c r="N56" s="2489"/>
      <c r="O56" s="2490"/>
      <c r="P56" s="2489"/>
      <c r="Q56" s="2489"/>
      <c r="R56" s="2491"/>
    </row>
    <row r="57" spans="2:18" s="797" customFormat="1">
      <c r="B57" s="2489"/>
      <c r="C57" s="2489"/>
      <c r="D57" s="2489"/>
      <c r="E57" s="2489"/>
      <c r="F57" s="2489"/>
      <c r="G57" s="2490"/>
      <c r="H57" s="2489"/>
      <c r="I57" s="2490"/>
      <c r="J57" s="2489"/>
      <c r="K57" s="2489"/>
      <c r="L57" s="2490"/>
      <c r="M57" s="2489"/>
      <c r="N57" s="2489"/>
      <c r="O57" s="2490"/>
      <c r="P57" s="2489"/>
      <c r="Q57" s="2489"/>
      <c r="R57" s="2491"/>
    </row>
    <row r="58" spans="2:18" s="797" customFormat="1">
      <c r="B58" s="2489"/>
      <c r="C58" s="2489"/>
      <c r="D58" s="2489"/>
      <c r="E58" s="2489"/>
      <c r="F58" s="2489"/>
      <c r="G58" s="2490"/>
      <c r="H58" s="2489"/>
      <c r="I58" s="2490"/>
      <c r="J58" s="2489"/>
      <c r="K58" s="2489"/>
      <c r="L58" s="2490"/>
      <c r="M58" s="2489"/>
      <c r="N58" s="2489"/>
      <c r="O58" s="2490"/>
      <c r="P58" s="2489"/>
      <c r="Q58" s="2489"/>
      <c r="R58" s="2491"/>
    </row>
    <row r="59" spans="2:18" s="797" customFormat="1">
      <c r="B59" s="2489"/>
      <c r="C59" s="2489"/>
      <c r="D59" s="2489"/>
      <c r="E59" s="2489"/>
      <c r="F59" s="2489"/>
      <c r="G59" s="2490"/>
      <c r="H59" s="2489"/>
      <c r="I59" s="2490"/>
      <c r="J59" s="2489"/>
      <c r="K59" s="2489"/>
      <c r="L59" s="2490"/>
      <c r="M59" s="2489"/>
      <c r="N59" s="2489"/>
      <c r="O59" s="2490"/>
      <c r="P59" s="2489"/>
      <c r="Q59" s="2489"/>
      <c r="R59" s="2491"/>
    </row>
    <row r="60" spans="2:18" s="797" customFormat="1">
      <c r="B60" s="2489"/>
      <c r="C60" s="2489"/>
      <c r="D60" s="2489"/>
      <c r="E60" s="2489"/>
      <c r="F60" s="2489"/>
      <c r="G60" s="2490"/>
      <c r="H60" s="2489"/>
      <c r="I60" s="2490"/>
      <c r="J60" s="2489"/>
      <c r="K60" s="2489"/>
      <c r="L60" s="2490"/>
      <c r="M60" s="2489"/>
      <c r="N60" s="2489"/>
      <c r="O60" s="2490"/>
      <c r="P60" s="2489"/>
      <c r="Q60" s="2489"/>
      <c r="R60" s="2491"/>
    </row>
    <row r="61" spans="2:18" s="797" customFormat="1">
      <c r="B61" s="2489"/>
      <c r="C61" s="2489"/>
      <c r="D61" s="2489"/>
      <c r="E61" s="2489"/>
      <c r="F61" s="2489"/>
      <c r="G61" s="2490"/>
      <c r="H61" s="2489"/>
      <c r="I61" s="2490"/>
      <c r="J61" s="2489"/>
      <c r="K61" s="2489"/>
      <c r="L61" s="2490"/>
      <c r="M61" s="2489"/>
      <c r="N61" s="2489"/>
      <c r="O61" s="2490"/>
      <c r="P61" s="2489"/>
      <c r="Q61" s="2489"/>
      <c r="R61" s="2491"/>
    </row>
    <row r="62" spans="2:18" s="797" customFormat="1">
      <c r="B62" s="2489"/>
      <c r="C62" s="2489"/>
      <c r="D62" s="2489"/>
      <c r="E62" s="2489"/>
      <c r="F62" s="2489"/>
      <c r="G62" s="2490"/>
      <c r="H62" s="2489"/>
      <c r="I62" s="2490"/>
      <c r="J62" s="2489"/>
      <c r="K62" s="2489"/>
      <c r="L62" s="2490"/>
      <c r="M62" s="2489"/>
      <c r="N62" s="2489"/>
      <c r="O62" s="2490"/>
      <c r="P62" s="2489"/>
      <c r="Q62" s="2489"/>
      <c r="R62" s="2491"/>
    </row>
    <row r="63" spans="2:18" s="797" customFormat="1">
      <c r="B63" s="2489"/>
      <c r="C63" s="2489"/>
      <c r="D63" s="2489"/>
      <c r="E63" s="2489"/>
      <c r="F63" s="2489"/>
      <c r="G63" s="2490"/>
      <c r="H63" s="2489"/>
      <c r="I63" s="2490"/>
      <c r="J63" s="2489"/>
      <c r="K63" s="2489"/>
      <c r="L63" s="2490"/>
      <c r="M63" s="2489"/>
      <c r="N63" s="2489"/>
      <c r="O63" s="2490"/>
      <c r="P63" s="2489"/>
      <c r="Q63" s="2489"/>
      <c r="R63" s="2491"/>
    </row>
    <row r="64" spans="2:18" s="797" customFormat="1">
      <c r="B64" s="2489"/>
      <c r="C64" s="2489"/>
      <c r="D64" s="2489"/>
      <c r="E64" s="2489"/>
      <c r="F64" s="2489"/>
      <c r="G64" s="2490"/>
      <c r="H64" s="2489"/>
      <c r="I64" s="2490"/>
      <c r="J64" s="2489"/>
      <c r="K64" s="2489"/>
      <c r="L64" s="2490"/>
      <c r="M64" s="2489"/>
      <c r="N64" s="2489"/>
      <c r="O64" s="2490"/>
      <c r="P64" s="2489"/>
      <c r="Q64" s="2489"/>
      <c r="R64" s="2491"/>
    </row>
    <row r="65" spans="2:18" s="797" customFormat="1">
      <c r="B65" s="2489"/>
      <c r="C65" s="2489"/>
      <c r="D65" s="2489"/>
      <c r="E65" s="2489"/>
      <c r="F65" s="2489"/>
      <c r="G65" s="2490"/>
      <c r="H65" s="2489"/>
      <c r="I65" s="2490"/>
      <c r="J65" s="2489"/>
      <c r="K65" s="2489"/>
      <c r="L65" s="2490"/>
      <c r="M65" s="2489"/>
      <c r="N65" s="2489"/>
      <c r="O65" s="2490"/>
      <c r="P65" s="2489"/>
      <c r="Q65" s="2489"/>
      <c r="R65" s="2491"/>
    </row>
    <row r="66" spans="2:18" s="797" customFormat="1">
      <c r="B66" s="2489"/>
      <c r="C66" s="2489"/>
      <c r="D66" s="2489"/>
      <c r="E66" s="2489"/>
      <c r="F66" s="2489"/>
      <c r="G66" s="2490"/>
      <c r="H66" s="2489"/>
      <c r="I66" s="2490"/>
      <c r="J66" s="2489"/>
      <c r="K66" s="2489"/>
      <c r="L66" s="2490"/>
      <c r="M66" s="2489"/>
      <c r="N66" s="2489"/>
      <c r="O66" s="2490"/>
      <c r="P66" s="2489"/>
      <c r="Q66" s="2489"/>
      <c r="R66" s="2491"/>
    </row>
    <row r="67" spans="2:18" s="797" customFormat="1">
      <c r="B67" s="2489"/>
      <c r="C67" s="2489"/>
      <c r="D67" s="2489"/>
      <c r="E67" s="2489"/>
      <c r="F67" s="2489"/>
      <c r="G67" s="2490"/>
      <c r="H67" s="2489"/>
      <c r="I67" s="2490"/>
      <c r="J67" s="2489"/>
      <c r="K67" s="2489"/>
      <c r="L67" s="2490"/>
      <c r="M67" s="2489"/>
      <c r="N67" s="2489"/>
      <c r="O67" s="2490"/>
      <c r="P67" s="2489"/>
      <c r="Q67" s="2489"/>
      <c r="R67" s="2491"/>
    </row>
    <row r="68" spans="2:18" s="797" customFormat="1">
      <c r="B68" s="2489"/>
      <c r="C68" s="2489"/>
      <c r="D68" s="2489"/>
      <c r="E68" s="2489"/>
      <c r="F68" s="2489"/>
      <c r="G68" s="2490"/>
      <c r="H68" s="2489"/>
      <c r="I68" s="2490"/>
      <c r="J68" s="2489"/>
      <c r="K68" s="2489"/>
      <c r="L68" s="2490"/>
      <c r="M68" s="2489"/>
      <c r="N68" s="2489"/>
      <c r="O68" s="2490"/>
      <c r="P68" s="2489"/>
      <c r="Q68" s="2489"/>
      <c r="R68" s="2491"/>
    </row>
    <row r="69" spans="2:18" s="797" customFormat="1">
      <c r="B69" s="2489"/>
      <c r="C69" s="2489"/>
      <c r="D69" s="2489"/>
      <c r="E69" s="2489"/>
      <c r="F69" s="2489"/>
      <c r="G69" s="2490"/>
      <c r="H69" s="2489"/>
      <c r="I69" s="2490"/>
      <c r="J69" s="2489"/>
      <c r="K69" s="2489"/>
      <c r="L69" s="2490"/>
      <c r="M69" s="2489"/>
      <c r="N69" s="2489"/>
      <c r="O69" s="2490"/>
      <c r="P69" s="2489"/>
      <c r="Q69" s="2489"/>
      <c r="R69" s="2491"/>
    </row>
    <row r="70" spans="2:18" s="797" customFormat="1">
      <c r="B70" s="2489"/>
      <c r="C70" s="2489"/>
      <c r="D70" s="2489"/>
      <c r="E70" s="2489"/>
      <c r="F70" s="2489"/>
      <c r="G70" s="2490"/>
      <c r="H70" s="2489"/>
      <c r="I70" s="2490"/>
      <c r="J70" s="2489"/>
      <c r="K70" s="2489"/>
      <c r="L70" s="2490"/>
      <c r="M70" s="2489"/>
      <c r="N70" s="2489"/>
      <c r="O70" s="2490"/>
      <c r="P70" s="2489"/>
      <c r="Q70" s="2489"/>
      <c r="R70" s="2491"/>
    </row>
    <row r="71" spans="2:18" s="797" customFormat="1">
      <c r="B71" s="2489"/>
      <c r="C71" s="2489"/>
      <c r="D71" s="2489"/>
      <c r="E71" s="2489"/>
      <c r="F71" s="2489"/>
      <c r="G71" s="2490"/>
      <c r="H71" s="2489"/>
      <c r="I71" s="2490"/>
      <c r="J71" s="2489"/>
      <c r="K71" s="2489"/>
      <c r="L71" s="2490"/>
      <c r="M71" s="2489"/>
      <c r="N71" s="2489"/>
      <c r="O71" s="2490"/>
      <c r="P71" s="2489"/>
      <c r="Q71" s="2489"/>
      <c r="R71" s="2491"/>
    </row>
    <row r="72" spans="2:18" s="797" customFormat="1">
      <c r="B72" s="2489"/>
      <c r="C72" s="2489"/>
      <c r="D72" s="2489"/>
      <c r="E72" s="2489"/>
      <c r="F72" s="2489"/>
      <c r="G72" s="2490"/>
      <c r="H72" s="2489"/>
      <c r="I72" s="2490"/>
      <c r="J72" s="2489"/>
      <c r="K72" s="2489"/>
      <c r="L72" s="2490"/>
      <c r="M72" s="2489"/>
      <c r="N72" s="2489"/>
      <c r="O72" s="2490"/>
      <c r="P72" s="2489"/>
      <c r="Q72" s="2489"/>
      <c r="R72" s="2491"/>
    </row>
    <row r="73" spans="2:18" s="797" customFormat="1">
      <c r="B73" s="2489"/>
      <c r="C73" s="2489"/>
      <c r="D73" s="2489"/>
      <c r="E73" s="2489"/>
      <c r="F73" s="2489"/>
      <c r="G73" s="2490"/>
      <c r="H73" s="2489"/>
      <c r="I73" s="2490"/>
      <c r="J73" s="2489"/>
      <c r="K73" s="2489"/>
      <c r="L73" s="2490"/>
      <c r="M73" s="2489"/>
      <c r="N73" s="2489"/>
      <c r="O73" s="2490"/>
      <c r="P73" s="2489"/>
      <c r="Q73" s="2489"/>
      <c r="R73" s="2491"/>
    </row>
    <row r="74" spans="2:18" s="797" customFormat="1">
      <c r="B74" s="2489"/>
      <c r="C74" s="2489"/>
      <c r="D74" s="2489"/>
      <c r="E74" s="2489"/>
      <c r="F74" s="2489"/>
      <c r="G74" s="2490"/>
      <c r="H74" s="2489"/>
      <c r="I74" s="2490"/>
      <c r="J74" s="2489"/>
      <c r="K74" s="2489"/>
      <c r="L74" s="2490"/>
      <c r="M74" s="2489"/>
      <c r="N74" s="2489"/>
      <c r="O74" s="2490"/>
      <c r="P74" s="2489"/>
      <c r="Q74" s="2489"/>
      <c r="R74" s="2491"/>
    </row>
    <row r="75" spans="2:18" s="797" customFormat="1">
      <c r="B75" s="2489"/>
      <c r="C75" s="2489"/>
      <c r="D75" s="2489"/>
      <c r="E75" s="2489"/>
      <c r="F75" s="2489"/>
      <c r="G75" s="2490"/>
      <c r="H75" s="2489"/>
      <c r="I75" s="2490"/>
      <c r="J75" s="2489"/>
      <c r="K75" s="2489"/>
      <c r="L75" s="2490"/>
      <c r="M75" s="2489"/>
      <c r="N75" s="2489"/>
      <c r="O75" s="2490"/>
      <c r="P75" s="2489"/>
      <c r="Q75" s="2489"/>
      <c r="R75" s="2491"/>
    </row>
    <row r="76" spans="2:18" s="797" customFormat="1">
      <c r="B76" s="2489"/>
      <c r="C76" s="2489"/>
      <c r="D76" s="2489"/>
      <c r="E76" s="2489"/>
      <c r="F76" s="2489"/>
      <c r="G76" s="2490"/>
      <c r="H76" s="2489"/>
      <c r="I76" s="2490"/>
      <c r="J76" s="2489"/>
      <c r="K76" s="2489"/>
      <c r="L76" s="2490"/>
      <c r="M76" s="2489"/>
      <c r="N76" s="2489"/>
      <c r="O76" s="2490"/>
      <c r="P76" s="2489"/>
      <c r="Q76" s="2489"/>
      <c r="R76" s="2491"/>
    </row>
    <row r="77" spans="2:18" s="797" customFormat="1">
      <c r="B77" s="2489"/>
      <c r="C77" s="2489"/>
      <c r="D77" s="2489"/>
      <c r="E77" s="2489"/>
      <c r="F77" s="2489"/>
      <c r="G77" s="2490"/>
      <c r="H77" s="2489"/>
      <c r="I77" s="2490"/>
      <c r="J77" s="2489"/>
      <c r="K77" s="2489"/>
      <c r="L77" s="2490"/>
      <c r="M77" s="2489"/>
      <c r="N77" s="2489"/>
      <c r="O77" s="2490"/>
      <c r="P77" s="2489"/>
      <c r="Q77" s="2489"/>
      <c r="R77" s="2491"/>
    </row>
    <row r="78" spans="2:18" s="797" customFormat="1">
      <c r="B78" s="2489"/>
      <c r="C78" s="2489"/>
      <c r="D78" s="2489"/>
      <c r="E78" s="2489"/>
      <c r="F78" s="2489"/>
      <c r="G78" s="2490"/>
      <c r="H78" s="2489"/>
      <c r="I78" s="2490"/>
      <c r="J78" s="2489"/>
      <c r="K78" s="2489"/>
      <c r="L78" s="2490"/>
      <c r="M78" s="2489"/>
      <c r="N78" s="2489"/>
      <c r="O78" s="2490"/>
      <c r="P78" s="2489"/>
      <c r="Q78" s="2489"/>
      <c r="R78" s="2491"/>
    </row>
    <row r="79" spans="2:18" s="797" customFormat="1">
      <c r="B79" s="2489"/>
      <c r="C79" s="2489"/>
      <c r="D79" s="2489"/>
      <c r="E79" s="2489"/>
      <c r="F79" s="2489"/>
      <c r="G79" s="2490"/>
      <c r="H79" s="2489"/>
      <c r="I79" s="2490"/>
      <c r="J79" s="2489"/>
      <c r="K79" s="2489"/>
      <c r="L79" s="2490"/>
      <c r="M79" s="2489"/>
      <c r="N79" s="2489"/>
      <c r="O79" s="2490"/>
      <c r="P79" s="2489"/>
      <c r="Q79" s="2489"/>
      <c r="R79" s="2491"/>
    </row>
    <row r="80" spans="2:18" s="797" customFormat="1">
      <c r="B80" s="2489"/>
      <c r="C80" s="2489"/>
      <c r="D80" s="2489"/>
      <c r="E80" s="2489"/>
      <c r="F80" s="2489"/>
      <c r="G80" s="2490"/>
      <c r="H80" s="2489"/>
      <c r="I80" s="2490"/>
      <c r="J80" s="2489"/>
      <c r="K80" s="2489"/>
      <c r="L80" s="2490"/>
      <c r="M80" s="2489"/>
      <c r="N80" s="2489"/>
      <c r="O80" s="2490"/>
      <c r="P80" s="2489"/>
      <c r="Q80" s="2489"/>
      <c r="R80" s="2491"/>
    </row>
    <row r="81" spans="2:18" s="797" customFormat="1">
      <c r="B81" s="2489"/>
      <c r="C81" s="2489"/>
      <c r="D81" s="2489"/>
      <c r="E81" s="2489"/>
      <c r="F81" s="2489"/>
      <c r="G81" s="2490"/>
      <c r="H81" s="2489"/>
      <c r="I81" s="2490"/>
      <c r="J81" s="2489"/>
      <c r="K81" s="2489"/>
      <c r="L81" s="2490"/>
      <c r="M81" s="2489"/>
      <c r="N81" s="2489"/>
      <c r="O81" s="2490"/>
      <c r="P81" s="2489"/>
      <c r="Q81" s="2489"/>
      <c r="R81" s="2491"/>
    </row>
    <row r="82" spans="2:18" s="797" customFormat="1">
      <c r="B82" s="2489"/>
      <c r="C82" s="2489"/>
      <c r="D82" s="2489"/>
      <c r="E82" s="2489"/>
      <c r="F82" s="2489"/>
      <c r="G82" s="2490"/>
      <c r="H82" s="2489"/>
      <c r="I82" s="2490"/>
      <c r="J82" s="2489"/>
      <c r="K82" s="2489"/>
      <c r="L82" s="2490"/>
      <c r="M82" s="2489"/>
      <c r="N82" s="2489"/>
      <c r="O82" s="2490"/>
      <c r="P82" s="2489"/>
      <c r="Q82" s="2489"/>
      <c r="R82" s="2491"/>
    </row>
    <row r="83" spans="2:18" s="797" customFormat="1">
      <c r="B83" s="2489"/>
      <c r="C83" s="2489"/>
      <c r="D83" s="2489"/>
      <c r="E83" s="2489"/>
      <c r="F83" s="2489"/>
      <c r="G83" s="2490"/>
      <c r="H83" s="2489"/>
      <c r="I83" s="2490"/>
      <c r="J83" s="2489"/>
      <c r="K83" s="2489"/>
      <c r="L83" s="2490"/>
      <c r="M83" s="2489"/>
      <c r="N83" s="2489"/>
      <c r="O83" s="2490"/>
      <c r="P83" s="2489"/>
      <c r="Q83" s="2489"/>
      <c r="R83" s="2491"/>
    </row>
    <row r="84" spans="2:18" s="797" customFormat="1">
      <c r="B84" s="2489"/>
      <c r="C84" s="2489"/>
      <c r="D84" s="2489"/>
      <c r="E84" s="2489"/>
      <c r="F84" s="2489"/>
      <c r="G84" s="2490"/>
      <c r="H84" s="2489"/>
      <c r="I84" s="2490"/>
      <c r="J84" s="2489"/>
      <c r="K84" s="2489"/>
      <c r="L84" s="2490"/>
      <c r="M84" s="2489"/>
      <c r="N84" s="2489"/>
      <c r="O84" s="2490"/>
      <c r="P84" s="2489"/>
      <c r="Q84" s="2489"/>
      <c r="R84" s="2491"/>
    </row>
    <row r="85" spans="2:18" s="797" customFormat="1">
      <c r="B85" s="2489"/>
      <c r="C85" s="2489"/>
      <c r="D85" s="2489"/>
      <c r="E85" s="2489"/>
      <c r="F85" s="2489"/>
      <c r="G85" s="2490"/>
      <c r="H85" s="2489"/>
      <c r="I85" s="2490"/>
      <c r="J85" s="2489"/>
      <c r="K85" s="2489"/>
      <c r="L85" s="2490"/>
      <c r="M85" s="2489"/>
      <c r="N85" s="2489"/>
      <c r="O85" s="2490"/>
      <c r="P85" s="2489"/>
      <c r="Q85" s="2489"/>
      <c r="R85" s="2491"/>
    </row>
    <row r="86" spans="2:18" s="797" customFormat="1">
      <c r="B86" s="2489"/>
      <c r="C86" s="2489"/>
      <c r="D86" s="2489"/>
      <c r="E86" s="2489"/>
      <c r="F86" s="2489"/>
      <c r="G86" s="2490"/>
      <c r="H86" s="2489"/>
      <c r="I86" s="2490"/>
      <c r="J86" s="2489"/>
      <c r="K86" s="2489"/>
      <c r="L86" s="2490"/>
      <c r="M86" s="2489"/>
      <c r="N86" s="2489"/>
      <c r="O86" s="2490"/>
      <c r="P86" s="2489"/>
      <c r="Q86" s="2489"/>
      <c r="R86" s="2491"/>
    </row>
    <row r="87" spans="2:18" s="797" customFormat="1">
      <c r="B87" s="2489"/>
      <c r="C87" s="2489"/>
      <c r="D87" s="2489"/>
      <c r="E87" s="2489"/>
      <c r="F87" s="2489"/>
      <c r="G87" s="2490"/>
      <c r="H87" s="2489"/>
      <c r="I87" s="2490"/>
      <c r="J87" s="2489"/>
      <c r="K87" s="2489"/>
      <c r="L87" s="2490"/>
      <c r="M87" s="2489"/>
      <c r="N87" s="2489"/>
      <c r="O87" s="2490"/>
      <c r="P87" s="2489"/>
      <c r="Q87" s="2489"/>
      <c r="R87" s="2491"/>
    </row>
    <row r="88" spans="2:18" s="797" customFormat="1">
      <c r="B88" s="2489"/>
      <c r="C88" s="2489"/>
      <c r="D88" s="2489"/>
      <c r="E88" s="2489"/>
      <c r="F88" s="2489"/>
      <c r="G88" s="2490"/>
      <c r="H88" s="2489"/>
      <c r="I88" s="2490"/>
      <c r="J88" s="2489"/>
      <c r="K88" s="2489"/>
      <c r="L88" s="2490"/>
      <c r="M88" s="2489"/>
      <c r="N88" s="2489"/>
      <c r="O88" s="2490"/>
      <c r="P88" s="2489"/>
      <c r="Q88" s="2489"/>
      <c r="R88" s="2491"/>
    </row>
    <row r="89" spans="2:18" s="797" customFormat="1">
      <c r="B89" s="2489"/>
      <c r="C89" s="2489"/>
      <c r="D89" s="2489"/>
      <c r="E89" s="2489"/>
      <c r="F89" s="2489"/>
      <c r="G89" s="2490"/>
      <c r="H89" s="2489"/>
      <c r="I89" s="2490"/>
      <c r="J89" s="2489"/>
      <c r="K89" s="2489"/>
      <c r="L89" s="2490"/>
      <c r="M89" s="2489"/>
      <c r="N89" s="2489"/>
      <c r="O89" s="2490"/>
      <c r="P89" s="2489"/>
      <c r="Q89" s="2489"/>
      <c r="R89" s="2491"/>
    </row>
    <row r="90" spans="2:18" s="797" customFormat="1">
      <c r="B90" s="2489"/>
      <c r="C90" s="2489"/>
      <c r="D90" s="2489"/>
      <c r="E90" s="2489"/>
      <c r="F90" s="2489"/>
      <c r="G90" s="2490"/>
      <c r="H90" s="2489"/>
      <c r="I90" s="2490"/>
      <c r="J90" s="2489"/>
      <c r="K90" s="2489"/>
      <c r="L90" s="2490"/>
      <c r="M90" s="2489"/>
      <c r="N90" s="2489"/>
      <c r="O90" s="2490"/>
      <c r="P90" s="2489"/>
      <c r="Q90" s="2489"/>
      <c r="R90" s="2491"/>
    </row>
    <row r="91" spans="2:18" s="797" customFormat="1">
      <c r="B91" s="2489"/>
      <c r="C91" s="2489"/>
      <c r="D91" s="2489"/>
      <c r="E91" s="2489"/>
      <c r="F91" s="2489"/>
      <c r="G91" s="2490"/>
      <c r="H91" s="2489"/>
      <c r="I91" s="2490"/>
      <c r="J91" s="2489"/>
      <c r="K91" s="2489"/>
      <c r="L91" s="2490"/>
      <c r="M91" s="2489"/>
      <c r="N91" s="2489"/>
      <c r="O91" s="2490"/>
      <c r="P91" s="2489"/>
      <c r="Q91" s="2489"/>
      <c r="R91" s="2491"/>
    </row>
    <row r="92" spans="2:18" s="797" customFormat="1">
      <c r="B92" s="2489"/>
      <c r="C92" s="2489"/>
      <c r="D92" s="2489"/>
      <c r="E92" s="2489"/>
      <c r="F92" s="2489"/>
      <c r="G92" s="2490"/>
      <c r="H92" s="2489"/>
      <c r="I92" s="2490"/>
      <c r="J92" s="2489"/>
      <c r="K92" s="2489"/>
      <c r="L92" s="2490"/>
      <c r="M92" s="2489"/>
      <c r="N92" s="2489"/>
      <c r="O92" s="2490"/>
      <c r="P92" s="2489"/>
      <c r="Q92" s="2489"/>
      <c r="R92" s="2491"/>
    </row>
    <row r="93" spans="2:18" s="797" customFormat="1">
      <c r="B93" s="2489"/>
      <c r="C93" s="2489"/>
      <c r="D93" s="2489"/>
      <c r="E93" s="2489"/>
      <c r="F93" s="2489"/>
      <c r="G93" s="2490"/>
      <c r="H93" s="2489"/>
      <c r="I93" s="2490"/>
      <c r="J93" s="2489"/>
      <c r="K93" s="2489"/>
      <c r="L93" s="2490"/>
      <c r="M93" s="2489"/>
      <c r="N93" s="2489"/>
      <c r="O93" s="2490"/>
      <c r="P93" s="2489"/>
      <c r="Q93" s="2489"/>
      <c r="R93" s="2491"/>
    </row>
    <row r="94" spans="2:18" s="797" customFormat="1">
      <c r="B94" s="2489"/>
      <c r="C94" s="2489"/>
      <c r="D94" s="2489"/>
      <c r="E94" s="2489"/>
      <c r="F94" s="2489"/>
      <c r="G94" s="2490"/>
      <c r="H94" s="2489"/>
      <c r="I94" s="2490"/>
      <c r="J94" s="2489"/>
      <c r="K94" s="2489"/>
      <c r="L94" s="2490"/>
      <c r="M94" s="2489"/>
      <c r="N94" s="2489"/>
      <c r="O94" s="2490"/>
      <c r="P94" s="2489"/>
      <c r="Q94" s="2489"/>
      <c r="R94" s="2491"/>
    </row>
    <row r="95" spans="2:18" s="797" customFormat="1">
      <c r="B95" s="2489"/>
      <c r="C95" s="2489"/>
      <c r="D95" s="2489"/>
      <c r="E95" s="2489"/>
      <c r="F95" s="2489"/>
      <c r="G95" s="2490"/>
      <c r="H95" s="2489"/>
      <c r="I95" s="2490"/>
      <c r="J95" s="2489"/>
      <c r="K95" s="2489"/>
      <c r="L95" s="2490"/>
      <c r="M95" s="2489"/>
      <c r="N95" s="2489"/>
      <c r="O95" s="2490"/>
      <c r="P95" s="2489"/>
      <c r="Q95" s="2489"/>
      <c r="R95" s="2491"/>
    </row>
    <row r="96" spans="2:18" s="797" customFormat="1">
      <c r="B96" s="2489"/>
      <c r="C96" s="2489"/>
      <c r="D96" s="2489"/>
      <c r="E96" s="2489"/>
      <c r="F96" s="2489"/>
      <c r="G96" s="2490"/>
      <c r="H96" s="2489"/>
      <c r="I96" s="2490"/>
      <c r="J96" s="2489"/>
      <c r="K96" s="2489"/>
      <c r="L96" s="2490"/>
      <c r="M96" s="2489"/>
      <c r="N96" s="2489"/>
      <c r="O96" s="2490"/>
      <c r="P96" s="2489"/>
      <c r="Q96" s="2489"/>
      <c r="R96" s="2491"/>
    </row>
    <row r="97" spans="2:18" s="797" customFormat="1">
      <c r="B97" s="2489"/>
      <c r="C97" s="2489"/>
      <c r="D97" s="2489"/>
      <c r="E97" s="2489"/>
      <c r="F97" s="2489"/>
      <c r="G97" s="2490"/>
      <c r="H97" s="2489"/>
      <c r="I97" s="2490"/>
      <c r="J97" s="2489"/>
      <c r="K97" s="2489"/>
      <c r="L97" s="2490"/>
      <c r="M97" s="2489"/>
      <c r="N97" s="2489"/>
      <c r="O97" s="2490"/>
      <c r="P97" s="2489"/>
      <c r="Q97" s="2489"/>
      <c r="R97" s="2491"/>
    </row>
    <row r="98" spans="2:18" s="797" customFormat="1">
      <c r="B98" s="2489"/>
      <c r="C98" s="2489"/>
      <c r="D98" s="2489"/>
      <c r="E98" s="2489"/>
      <c r="F98" s="2489"/>
      <c r="G98" s="2490"/>
      <c r="H98" s="2489"/>
      <c r="I98" s="2490"/>
      <c r="J98" s="2489"/>
      <c r="K98" s="2489"/>
      <c r="L98" s="2490"/>
      <c r="M98" s="2489"/>
      <c r="N98" s="2489"/>
      <c r="O98" s="2490"/>
      <c r="P98" s="2489"/>
      <c r="Q98" s="2489"/>
      <c r="R98" s="2491"/>
    </row>
    <row r="99" spans="2:18" s="797" customFormat="1">
      <c r="B99" s="2489"/>
      <c r="C99" s="2489"/>
      <c r="D99" s="2489"/>
      <c r="E99" s="2489"/>
      <c r="F99" s="2489"/>
      <c r="G99" s="2490"/>
      <c r="H99" s="2489"/>
      <c r="I99" s="2490"/>
      <c r="J99" s="2489"/>
      <c r="K99" s="2489"/>
      <c r="L99" s="2490"/>
      <c r="M99" s="2489"/>
      <c r="N99" s="2489"/>
      <c r="O99" s="2490"/>
      <c r="P99" s="2489"/>
      <c r="Q99" s="2489"/>
      <c r="R99" s="2491"/>
    </row>
    <row r="100" spans="2:18" s="797" customFormat="1">
      <c r="B100" s="2489"/>
      <c r="C100" s="2489"/>
      <c r="D100" s="2489"/>
      <c r="E100" s="2489"/>
      <c r="F100" s="2489"/>
      <c r="G100" s="2490"/>
      <c r="H100" s="2489"/>
      <c r="I100" s="2490"/>
      <c r="J100" s="2489"/>
      <c r="K100" s="2489"/>
      <c r="L100" s="2490"/>
      <c r="M100" s="2489"/>
      <c r="N100" s="2489"/>
      <c r="O100" s="2490"/>
      <c r="P100" s="2489"/>
      <c r="Q100" s="2489"/>
      <c r="R100" s="2491"/>
    </row>
    <row r="101" spans="2:18" s="797" customFormat="1">
      <c r="B101" s="2489"/>
      <c r="C101" s="2489"/>
      <c r="D101" s="2489"/>
      <c r="E101" s="2489"/>
      <c r="F101" s="2489"/>
      <c r="G101" s="2490"/>
      <c r="H101" s="2489"/>
      <c r="I101" s="2490"/>
      <c r="J101" s="2489"/>
      <c r="K101" s="2489"/>
      <c r="L101" s="2490"/>
      <c r="M101" s="2489"/>
      <c r="N101" s="2489"/>
      <c r="O101" s="2490"/>
      <c r="P101" s="2489"/>
      <c r="Q101" s="2489"/>
      <c r="R101" s="2491"/>
    </row>
    <row r="102" spans="2:18" s="797" customFormat="1">
      <c r="B102" s="2489"/>
      <c r="C102" s="2489"/>
      <c r="D102" s="2489"/>
      <c r="E102" s="2489"/>
      <c r="F102" s="2489"/>
      <c r="G102" s="2490"/>
      <c r="H102" s="2489"/>
      <c r="I102" s="2490"/>
      <c r="J102" s="2489"/>
      <c r="K102" s="2489"/>
      <c r="L102" s="2490"/>
      <c r="M102" s="2489"/>
      <c r="N102" s="2489"/>
      <c r="O102" s="2490"/>
      <c r="P102" s="2489"/>
      <c r="Q102" s="2489"/>
      <c r="R102" s="2491"/>
    </row>
    <row r="103" spans="2:18" s="797" customFormat="1">
      <c r="B103" s="2489"/>
      <c r="C103" s="2489"/>
      <c r="D103" s="2489"/>
      <c r="E103" s="2489"/>
      <c r="F103" s="2489"/>
      <c r="G103" s="2490"/>
      <c r="H103" s="2489"/>
      <c r="I103" s="2490"/>
      <c r="J103" s="2489"/>
      <c r="K103" s="2489"/>
      <c r="L103" s="2490"/>
      <c r="M103" s="2489"/>
      <c r="N103" s="2489"/>
      <c r="O103" s="2490"/>
      <c r="P103" s="2489"/>
      <c r="Q103" s="2489"/>
      <c r="R103" s="2491"/>
    </row>
    <row r="104" spans="2:18" s="797" customFormat="1">
      <c r="B104" s="2489"/>
      <c r="C104" s="2489"/>
      <c r="D104" s="2489"/>
      <c r="E104" s="2489"/>
      <c r="F104" s="2489"/>
      <c r="G104" s="2490"/>
      <c r="H104" s="2489"/>
      <c r="I104" s="2490"/>
      <c r="J104" s="2489"/>
      <c r="K104" s="2489"/>
      <c r="L104" s="2490"/>
      <c r="M104" s="2489"/>
      <c r="N104" s="2489"/>
      <c r="O104" s="2490"/>
      <c r="P104" s="2489"/>
      <c r="Q104" s="2489"/>
      <c r="R104" s="2491"/>
    </row>
    <row r="105" spans="2:18" s="797" customFormat="1">
      <c r="B105" s="2489"/>
      <c r="C105" s="2489"/>
      <c r="D105" s="2489"/>
      <c r="E105" s="2489"/>
      <c r="F105" s="2489"/>
      <c r="G105" s="2490"/>
      <c r="H105" s="2489"/>
      <c r="I105" s="2490"/>
      <c r="J105" s="2489"/>
      <c r="K105" s="2489"/>
      <c r="L105" s="2490"/>
      <c r="M105" s="2489"/>
      <c r="N105" s="2489"/>
      <c r="O105" s="2490"/>
      <c r="P105" s="2489"/>
      <c r="Q105" s="2489"/>
      <c r="R105" s="2491"/>
    </row>
    <row r="106" spans="2:18" s="797" customFormat="1">
      <c r="B106" s="2489"/>
      <c r="C106" s="2489"/>
      <c r="D106" s="2489"/>
      <c r="E106" s="2489"/>
      <c r="F106" s="2489"/>
      <c r="G106" s="2490"/>
      <c r="H106" s="2489"/>
      <c r="I106" s="2490"/>
      <c r="J106" s="2489"/>
      <c r="K106" s="2489"/>
      <c r="L106" s="2490"/>
      <c r="M106" s="2489"/>
      <c r="N106" s="2489"/>
      <c r="O106" s="2490"/>
      <c r="P106" s="2489"/>
      <c r="Q106" s="2489"/>
      <c r="R106" s="2491"/>
    </row>
    <row r="107" spans="2:18" s="797" customFormat="1">
      <c r="B107" s="2489"/>
      <c r="C107" s="2489"/>
      <c r="D107" s="2489"/>
      <c r="E107" s="2489"/>
      <c r="F107" s="2489"/>
      <c r="G107" s="2490"/>
      <c r="H107" s="2489"/>
      <c r="I107" s="2490"/>
      <c r="J107" s="2489"/>
      <c r="K107" s="2489"/>
      <c r="L107" s="2490"/>
      <c r="M107" s="2489"/>
      <c r="N107" s="2489"/>
      <c r="O107" s="2490"/>
      <c r="P107" s="2489"/>
      <c r="Q107" s="2489"/>
      <c r="R107" s="2491"/>
    </row>
    <row r="108" spans="2:18" s="797" customFormat="1">
      <c r="B108" s="2489"/>
      <c r="C108" s="2489"/>
      <c r="D108" s="2489"/>
      <c r="E108" s="2489"/>
      <c r="F108" s="2489"/>
      <c r="G108" s="2490"/>
      <c r="H108" s="2489"/>
      <c r="I108" s="2490"/>
      <c r="J108" s="2489"/>
      <c r="K108" s="2489"/>
      <c r="L108" s="2490"/>
      <c r="M108" s="2489"/>
      <c r="N108" s="2489"/>
      <c r="O108" s="2490"/>
      <c r="P108" s="2489"/>
      <c r="Q108" s="2489"/>
      <c r="R108" s="2491"/>
    </row>
    <row r="109" spans="2:18" s="797" customFormat="1">
      <c r="B109" s="2489"/>
      <c r="C109" s="2489"/>
      <c r="D109" s="2489"/>
      <c r="E109" s="2489"/>
      <c r="F109" s="2489"/>
      <c r="G109" s="2490"/>
      <c r="H109" s="2489"/>
      <c r="I109" s="2490"/>
      <c r="J109" s="2489"/>
      <c r="K109" s="2489"/>
      <c r="L109" s="2490"/>
      <c r="M109" s="2489"/>
      <c r="N109" s="2489"/>
      <c r="O109" s="2490"/>
      <c r="P109" s="2489"/>
      <c r="Q109" s="2489"/>
      <c r="R109" s="2491"/>
    </row>
    <row r="110" spans="2:18" s="797" customFormat="1">
      <c r="B110" s="2489"/>
      <c r="C110" s="2489"/>
      <c r="D110" s="2489"/>
      <c r="E110" s="2489"/>
      <c r="F110" s="2489"/>
      <c r="G110" s="2490"/>
      <c r="H110" s="2489"/>
      <c r="I110" s="2490"/>
      <c r="J110" s="2489"/>
      <c r="K110" s="2489"/>
      <c r="L110" s="2490"/>
      <c r="M110" s="2489"/>
      <c r="N110" s="2489"/>
      <c r="O110" s="2490"/>
      <c r="P110" s="2489"/>
      <c r="Q110" s="2489"/>
      <c r="R110" s="2491"/>
    </row>
    <row r="111" spans="2:18" s="797" customFormat="1">
      <c r="B111" s="2489"/>
      <c r="C111" s="2489"/>
      <c r="D111" s="2489"/>
      <c r="E111" s="2489"/>
      <c r="F111" s="2489"/>
      <c r="G111" s="2490"/>
      <c r="H111" s="2489"/>
      <c r="I111" s="2490"/>
      <c r="J111" s="2489"/>
      <c r="K111" s="2489"/>
      <c r="L111" s="2490"/>
      <c r="M111" s="2489"/>
      <c r="N111" s="2489"/>
      <c r="O111" s="2490"/>
      <c r="P111" s="2489"/>
      <c r="Q111" s="2489"/>
      <c r="R111" s="2491"/>
    </row>
    <row r="112" spans="2:18" s="797" customFormat="1">
      <c r="B112" s="2489"/>
      <c r="C112" s="2489"/>
      <c r="D112" s="2489"/>
      <c r="E112" s="2489"/>
      <c r="F112" s="2489"/>
      <c r="G112" s="2490"/>
      <c r="H112" s="2489"/>
      <c r="I112" s="2490"/>
      <c r="J112" s="2489"/>
      <c r="K112" s="2489"/>
      <c r="L112" s="2490"/>
      <c r="M112" s="2489"/>
      <c r="N112" s="2489"/>
      <c r="O112" s="2490"/>
      <c r="P112" s="2489"/>
      <c r="Q112" s="2489"/>
      <c r="R112" s="2491"/>
    </row>
    <row r="113" spans="2:18" s="797" customFormat="1">
      <c r="B113" s="2489"/>
      <c r="C113" s="2489"/>
      <c r="D113" s="2489"/>
      <c r="E113" s="2489"/>
      <c r="F113" s="2489"/>
      <c r="G113" s="2490"/>
      <c r="H113" s="2489"/>
      <c r="I113" s="2490"/>
      <c r="J113" s="2489"/>
      <c r="K113" s="2489"/>
      <c r="L113" s="2490"/>
      <c r="M113" s="2489"/>
      <c r="N113" s="2489"/>
      <c r="O113" s="2490"/>
      <c r="P113" s="2489"/>
      <c r="Q113" s="2489"/>
      <c r="R113" s="2491"/>
    </row>
    <row r="114" spans="2:18" s="797" customFormat="1">
      <c r="B114" s="2489"/>
      <c r="C114" s="2489"/>
      <c r="D114" s="2489"/>
      <c r="E114" s="2489"/>
      <c r="F114" s="2489"/>
      <c r="G114" s="2490"/>
      <c r="H114" s="2489"/>
      <c r="I114" s="2490"/>
      <c r="J114" s="2489"/>
      <c r="K114" s="2489"/>
      <c r="L114" s="2490"/>
      <c r="M114" s="2489"/>
      <c r="N114" s="2489"/>
      <c r="O114" s="2490"/>
      <c r="P114" s="2489"/>
      <c r="Q114" s="2489"/>
      <c r="R114" s="2491"/>
    </row>
    <row r="115" spans="2:18" s="797" customFormat="1">
      <c r="B115" s="2489"/>
      <c r="C115" s="2489"/>
      <c r="D115" s="2489"/>
      <c r="E115" s="2489"/>
      <c r="F115" s="2489"/>
      <c r="G115" s="2490"/>
      <c r="H115" s="2489"/>
      <c r="I115" s="2490"/>
      <c r="J115" s="2489"/>
      <c r="K115" s="2489"/>
      <c r="L115" s="2490"/>
      <c r="M115" s="2489"/>
      <c r="N115" s="2489"/>
      <c r="O115" s="2490"/>
      <c r="P115" s="2489"/>
      <c r="Q115" s="2489"/>
      <c r="R115" s="2491"/>
    </row>
    <row r="116" spans="2:18" s="797" customFormat="1">
      <c r="B116" s="2489"/>
      <c r="C116" s="2489"/>
      <c r="D116" s="2489"/>
      <c r="E116" s="2489"/>
      <c r="F116" s="2489"/>
      <c r="G116" s="2490"/>
      <c r="H116" s="2489"/>
      <c r="I116" s="2490"/>
      <c r="J116" s="2489"/>
      <c r="K116" s="2489"/>
      <c r="L116" s="2490"/>
      <c r="M116" s="2489"/>
      <c r="N116" s="2489"/>
      <c r="O116" s="2490"/>
      <c r="P116" s="2489"/>
      <c r="Q116" s="2489"/>
      <c r="R116" s="2491"/>
    </row>
    <row r="117" spans="2:18" s="797" customFormat="1">
      <c r="B117" s="2489"/>
      <c r="C117" s="2489"/>
      <c r="D117" s="2489"/>
      <c r="E117" s="2489"/>
      <c r="F117" s="2489"/>
      <c r="G117" s="2490"/>
      <c r="H117" s="2489"/>
      <c r="I117" s="2490"/>
      <c r="J117" s="2489"/>
      <c r="K117" s="2489"/>
      <c r="L117" s="2490"/>
      <c r="M117" s="2489"/>
      <c r="N117" s="2489"/>
      <c r="O117" s="2490"/>
      <c r="P117" s="2489"/>
      <c r="Q117" s="2489"/>
      <c r="R117" s="2491"/>
    </row>
    <row r="118" spans="2:18" s="797" customFormat="1">
      <c r="B118" s="2489"/>
      <c r="C118" s="2489"/>
      <c r="D118" s="2489"/>
      <c r="E118" s="2489"/>
      <c r="F118" s="2489"/>
      <c r="G118" s="2490"/>
      <c r="H118" s="2489"/>
      <c r="I118" s="2490"/>
      <c r="J118" s="2489"/>
      <c r="K118" s="2489"/>
      <c r="L118" s="2490"/>
      <c r="M118" s="2489"/>
      <c r="N118" s="2489"/>
      <c r="O118" s="2490"/>
      <c r="P118" s="2489"/>
      <c r="Q118" s="2489"/>
      <c r="R118" s="2491"/>
    </row>
    <row r="119" spans="2:18" s="797" customFormat="1">
      <c r="B119" s="2489"/>
      <c r="C119" s="2489"/>
      <c r="D119" s="2489"/>
      <c r="E119" s="2489"/>
      <c r="F119" s="2489"/>
      <c r="G119" s="2490"/>
      <c r="H119" s="2489"/>
      <c r="I119" s="2490"/>
      <c r="J119" s="2489"/>
      <c r="K119" s="2489"/>
      <c r="L119" s="2490"/>
      <c r="M119" s="2489"/>
      <c r="N119" s="2489"/>
      <c r="O119" s="2490"/>
      <c r="P119" s="2489"/>
      <c r="Q119" s="2489"/>
      <c r="R119" s="2491"/>
    </row>
    <row r="120" spans="2:18" s="797" customFormat="1">
      <c r="B120" s="2489"/>
      <c r="C120" s="2489"/>
      <c r="D120" s="2489"/>
      <c r="E120" s="2489"/>
      <c r="F120" s="2489"/>
      <c r="G120" s="2490"/>
      <c r="H120" s="2489"/>
      <c r="I120" s="2490"/>
      <c r="J120" s="2489"/>
      <c r="K120" s="2489"/>
      <c r="L120" s="2490"/>
      <c r="M120" s="2489"/>
      <c r="N120" s="2489"/>
      <c r="O120" s="2490"/>
      <c r="P120" s="2489"/>
      <c r="Q120" s="2489"/>
      <c r="R120" s="2491"/>
    </row>
    <row r="121" spans="2:18" s="797" customFormat="1">
      <c r="B121" s="2489"/>
      <c r="C121" s="2489"/>
      <c r="D121" s="2489"/>
      <c r="E121" s="2489"/>
      <c r="F121" s="2489"/>
      <c r="G121" s="2490"/>
      <c r="H121" s="2489"/>
      <c r="I121" s="2490"/>
      <c r="J121" s="2489"/>
      <c r="K121" s="2489"/>
      <c r="L121" s="2490"/>
      <c r="M121" s="2489"/>
      <c r="N121" s="2489"/>
      <c r="O121" s="2490"/>
      <c r="P121" s="2489"/>
      <c r="Q121" s="2489"/>
      <c r="R121" s="2491"/>
    </row>
    <row r="122" spans="2:18" s="797" customFormat="1">
      <c r="B122" s="2489"/>
      <c r="C122" s="2489"/>
      <c r="D122" s="2489"/>
      <c r="E122" s="2489"/>
      <c r="F122" s="2489"/>
      <c r="G122" s="2490"/>
      <c r="H122" s="2489"/>
      <c r="I122" s="2490"/>
      <c r="J122" s="2489"/>
      <c r="K122" s="2489"/>
      <c r="L122" s="2490"/>
      <c r="M122" s="2489"/>
      <c r="N122" s="2489"/>
      <c r="O122" s="2490"/>
      <c r="P122" s="2489"/>
      <c r="Q122" s="2489"/>
      <c r="R122" s="2491"/>
    </row>
    <row r="123" spans="2:18" s="797" customFormat="1">
      <c r="B123" s="2489"/>
      <c r="C123" s="2489"/>
      <c r="D123" s="2489"/>
      <c r="E123" s="2489"/>
      <c r="F123" s="2489"/>
      <c r="G123" s="2490"/>
      <c r="H123" s="2489"/>
      <c r="I123" s="2490"/>
      <c r="J123" s="2489"/>
      <c r="K123" s="2489"/>
      <c r="L123" s="2490"/>
      <c r="M123" s="2489"/>
      <c r="N123" s="2489"/>
      <c r="O123" s="2490"/>
      <c r="P123" s="2489"/>
      <c r="Q123" s="2489"/>
      <c r="R123" s="2491"/>
    </row>
    <row r="124" spans="2:18" s="797" customFormat="1">
      <c r="B124" s="2489"/>
      <c r="C124" s="2489"/>
      <c r="D124" s="2489"/>
      <c r="E124" s="2489"/>
      <c r="F124" s="2489"/>
      <c r="G124" s="2490"/>
      <c r="H124" s="2489"/>
      <c r="I124" s="2490"/>
      <c r="J124" s="2489"/>
      <c r="K124" s="2489"/>
      <c r="L124" s="2490"/>
      <c r="M124" s="2489"/>
      <c r="N124" s="2489"/>
      <c r="O124" s="2490"/>
      <c r="P124" s="2489"/>
      <c r="Q124" s="2489"/>
      <c r="R124" s="2491"/>
    </row>
    <row r="125" spans="2:18" s="797" customFormat="1">
      <c r="B125" s="2489"/>
      <c r="C125" s="2489"/>
      <c r="D125" s="2489"/>
      <c r="E125" s="2489"/>
      <c r="F125" s="2489"/>
      <c r="G125" s="2490"/>
      <c r="H125" s="2489"/>
      <c r="I125" s="2490"/>
      <c r="J125" s="2489"/>
      <c r="K125" s="2489"/>
      <c r="L125" s="2490"/>
      <c r="M125" s="2489"/>
      <c r="N125" s="2489"/>
      <c r="O125" s="2490"/>
      <c r="P125" s="2489"/>
      <c r="Q125" s="2489"/>
      <c r="R125" s="2491"/>
    </row>
    <row r="126" spans="2:18" s="797" customFormat="1">
      <c r="B126" s="2489"/>
      <c r="C126" s="2489"/>
      <c r="D126" s="2489"/>
      <c r="E126" s="2489"/>
      <c r="F126" s="2489"/>
      <c r="G126" s="2490"/>
      <c r="H126" s="2489"/>
      <c r="I126" s="2490"/>
      <c r="J126" s="2489"/>
      <c r="K126" s="2489"/>
      <c r="L126" s="2490"/>
      <c r="M126" s="2489"/>
      <c r="N126" s="2489"/>
      <c r="O126" s="2490"/>
      <c r="P126" s="2489"/>
      <c r="Q126" s="2489"/>
      <c r="R126" s="2491"/>
    </row>
    <row r="127" spans="2:18" s="797" customFormat="1">
      <c r="B127" s="2489"/>
      <c r="C127" s="2489"/>
      <c r="D127" s="2489"/>
      <c r="E127" s="2489"/>
      <c r="F127" s="2489"/>
      <c r="G127" s="2490"/>
      <c r="H127" s="2489"/>
      <c r="I127" s="2490"/>
      <c r="J127" s="2489"/>
      <c r="K127" s="2489"/>
      <c r="L127" s="2490"/>
      <c r="M127" s="2489"/>
      <c r="N127" s="2489"/>
      <c r="O127" s="2490"/>
      <c r="P127" s="2489"/>
      <c r="Q127" s="2489"/>
      <c r="R127" s="2491"/>
    </row>
    <row r="128" spans="2:18" s="797" customFormat="1">
      <c r="B128" s="2489"/>
      <c r="C128" s="2489"/>
      <c r="D128" s="2489"/>
      <c r="E128" s="2489"/>
      <c r="F128" s="2489"/>
      <c r="G128" s="2490"/>
      <c r="H128" s="2489"/>
      <c r="I128" s="2490"/>
      <c r="J128" s="2489"/>
      <c r="K128" s="2489"/>
      <c r="L128" s="2490"/>
      <c r="M128" s="2489"/>
      <c r="N128" s="2489"/>
      <c r="O128" s="2490"/>
      <c r="P128" s="2489"/>
      <c r="Q128" s="2489"/>
      <c r="R128" s="2491"/>
    </row>
    <row r="129" spans="2:18" s="797" customFormat="1">
      <c r="B129" s="2489"/>
      <c r="C129" s="2489"/>
      <c r="D129" s="2489"/>
      <c r="E129" s="2489"/>
      <c r="F129" s="2489"/>
      <c r="G129" s="2490"/>
      <c r="H129" s="2489"/>
      <c r="I129" s="2490"/>
      <c r="J129" s="2489"/>
      <c r="K129" s="2489"/>
      <c r="L129" s="2490"/>
      <c r="M129" s="2489"/>
      <c r="N129" s="2489"/>
      <c r="O129" s="2490"/>
      <c r="P129" s="2489"/>
      <c r="Q129" s="2489"/>
      <c r="R129" s="2491"/>
    </row>
    <row r="130" spans="2:18" s="797" customFormat="1">
      <c r="B130" s="2489"/>
      <c r="C130" s="2489"/>
      <c r="D130" s="2489"/>
      <c r="E130" s="2489"/>
      <c r="F130" s="2489"/>
      <c r="G130" s="2490"/>
      <c r="H130" s="2489"/>
      <c r="I130" s="2490"/>
      <c r="J130" s="2489"/>
      <c r="K130" s="2489"/>
      <c r="L130" s="2490"/>
      <c r="M130" s="2489"/>
      <c r="N130" s="2489"/>
      <c r="O130" s="2490"/>
      <c r="P130" s="2489"/>
      <c r="Q130" s="2489"/>
      <c r="R130" s="2491"/>
    </row>
    <row r="131" spans="2:18" s="797" customFormat="1">
      <c r="B131" s="2489"/>
      <c r="C131" s="2489"/>
      <c r="D131" s="2489"/>
      <c r="E131" s="2489"/>
      <c r="F131" s="2489"/>
      <c r="G131" s="2490"/>
      <c r="H131" s="2489"/>
      <c r="I131" s="2490"/>
      <c r="J131" s="2489"/>
      <c r="K131" s="2489"/>
      <c r="L131" s="2490"/>
      <c r="M131" s="2489"/>
      <c r="N131" s="2489"/>
      <c r="O131" s="2490"/>
      <c r="P131" s="2489"/>
      <c r="Q131" s="2489"/>
      <c r="R131" s="2491"/>
    </row>
    <row r="132" spans="2:18" s="797" customFormat="1">
      <c r="B132" s="2489"/>
      <c r="C132" s="2489"/>
      <c r="D132" s="2489"/>
      <c r="E132" s="2489"/>
      <c r="F132" s="2489"/>
      <c r="G132" s="2490"/>
      <c r="H132" s="2489"/>
      <c r="I132" s="2490"/>
      <c r="J132" s="2489"/>
      <c r="K132" s="2489"/>
      <c r="L132" s="2490"/>
      <c r="M132" s="2489"/>
      <c r="N132" s="2489"/>
      <c r="O132" s="2490"/>
      <c r="P132" s="2489"/>
      <c r="Q132" s="2489"/>
      <c r="R132" s="2491"/>
    </row>
    <row r="133" spans="2:18" s="797" customFormat="1">
      <c r="B133" s="2489"/>
      <c r="C133" s="2489"/>
      <c r="D133" s="2489"/>
      <c r="E133" s="2489"/>
      <c r="F133" s="2489"/>
      <c r="G133" s="2490"/>
      <c r="H133" s="2489"/>
      <c r="I133" s="2490"/>
      <c r="J133" s="2489"/>
      <c r="K133" s="2489"/>
      <c r="L133" s="2490"/>
      <c r="M133" s="2489"/>
      <c r="N133" s="2489"/>
      <c r="O133" s="2490"/>
      <c r="P133" s="2489"/>
      <c r="Q133" s="2489"/>
      <c r="R133" s="2491"/>
    </row>
    <row r="134" spans="2:18" s="797" customFormat="1">
      <c r="B134" s="2489"/>
      <c r="C134" s="2489"/>
      <c r="D134" s="2489"/>
      <c r="E134" s="2489"/>
      <c r="F134" s="2489"/>
      <c r="G134" s="2490"/>
      <c r="H134" s="2489"/>
      <c r="I134" s="2490"/>
      <c r="J134" s="2489"/>
      <c r="K134" s="2489"/>
      <c r="L134" s="2490"/>
      <c r="M134" s="2489"/>
      <c r="N134" s="2489"/>
      <c r="O134" s="2490"/>
      <c r="P134" s="2489"/>
      <c r="Q134" s="2489"/>
      <c r="R134" s="2491"/>
    </row>
    <row r="135" spans="2:18" s="797" customFormat="1">
      <c r="B135" s="2489"/>
      <c r="C135" s="2489"/>
      <c r="D135" s="2489"/>
      <c r="E135" s="2489"/>
      <c r="F135" s="2489"/>
      <c r="G135" s="2490"/>
      <c r="H135" s="2489"/>
      <c r="I135" s="2490"/>
      <c r="J135" s="2489"/>
      <c r="K135" s="2489"/>
      <c r="L135" s="2490"/>
      <c r="M135" s="2489"/>
      <c r="N135" s="2489"/>
      <c r="O135" s="2490"/>
      <c r="P135" s="2489"/>
      <c r="Q135" s="2489"/>
      <c r="R135" s="2491"/>
    </row>
    <row r="136" spans="2:18" s="797" customFormat="1">
      <c r="B136" s="2489"/>
      <c r="C136" s="2489"/>
      <c r="D136" s="2489"/>
      <c r="E136" s="2489"/>
      <c r="F136" s="2489"/>
      <c r="G136" s="2490"/>
      <c r="H136" s="2489"/>
      <c r="I136" s="2490"/>
      <c r="J136" s="2489"/>
      <c r="K136" s="2489"/>
      <c r="L136" s="2490"/>
      <c r="M136" s="2489"/>
      <c r="N136" s="2489"/>
      <c r="O136" s="2490"/>
      <c r="P136" s="2489"/>
      <c r="Q136" s="2489"/>
      <c r="R136" s="2491"/>
    </row>
    <row r="137" spans="2:18" s="797" customFormat="1">
      <c r="B137" s="2489"/>
      <c r="C137" s="2489"/>
      <c r="D137" s="2489"/>
      <c r="E137" s="2489"/>
      <c r="F137" s="2489"/>
      <c r="G137" s="2490"/>
      <c r="H137" s="2489"/>
      <c r="I137" s="2490"/>
      <c r="J137" s="2489"/>
      <c r="K137" s="2489"/>
      <c r="L137" s="2490"/>
      <c r="M137" s="2489"/>
      <c r="N137" s="2489"/>
      <c r="O137" s="2490"/>
      <c r="P137" s="2489"/>
      <c r="Q137" s="2489"/>
      <c r="R137" s="2491"/>
    </row>
    <row r="138" spans="2:18" s="797" customFormat="1">
      <c r="B138" s="2489"/>
      <c r="C138" s="2489"/>
      <c r="D138" s="2489"/>
      <c r="E138" s="2489"/>
      <c r="F138" s="2489"/>
      <c r="G138" s="2490"/>
      <c r="H138" s="2489"/>
      <c r="I138" s="2490"/>
      <c r="J138" s="2489"/>
      <c r="K138" s="2489"/>
      <c r="L138" s="2490"/>
      <c r="M138" s="2489"/>
      <c r="N138" s="2489"/>
      <c r="O138" s="2490"/>
      <c r="P138" s="2489"/>
      <c r="Q138" s="2489"/>
      <c r="R138" s="2491"/>
    </row>
    <row r="139" spans="2:18" s="797" customFormat="1">
      <c r="B139" s="2489"/>
      <c r="C139" s="2489"/>
      <c r="D139" s="2489"/>
      <c r="E139" s="2489"/>
      <c r="F139" s="2489"/>
      <c r="G139" s="2490"/>
      <c r="H139" s="2489"/>
      <c r="I139" s="2490"/>
      <c r="J139" s="2489"/>
      <c r="K139" s="2489"/>
      <c r="L139" s="2490"/>
      <c r="M139" s="2489"/>
      <c r="N139" s="2489"/>
      <c r="O139" s="2490"/>
      <c r="P139" s="2489"/>
      <c r="Q139" s="2489"/>
      <c r="R139" s="2491"/>
    </row>
    <row r="140" spans="2:18" s="797" customFormat="1">
      <c r="B140" s="2489"/>
      <c r="C140" s="2489"/>
      <c r="D140" s="2489"/>
      <c r="E140" s="2489"/>
      <c r="F140" s="2489"/>
      <c r="G140" s="2490"/>
      <c r="H140" s="2489"/>
      <c r="I140" s="2490"/>
      <c r="J140" s="2489"/>
      <c r="K140" s="2489"/>
      <c r="L140" s="2490"/>
      <c r="M140" s="2489"/>
      <c r="N140" s="2489"/>
      <c r="O140" s="2490"/>
      <c r="P140" s="2489"/>
      <c r="Q140" s="2489"/>
      <c r="R140" s="2491"/>
    </row>
    <row r="141" spans="2:18" s="797" customFormat="1">
      <c r="B141" s="2489"/>
      <c r="C141" s="2489"/>
      <c r="D141" s="2489"/>
      <c r="E141" s="2489"/>
      <c r="F141" s="2489"/>
      <c r="G141" s="2490"/>
      <c r="H141" s="2489"/>
      <c r="I141" s="2490"/>
      <c r="J141" s="2489"/>
      <c r="K141" s="2489"/>
      <c r="L141" s="2490"/>
      <c r="M141" s="2489"/>
      <c r="N141" s="2489"/>
      <c r="O141" s="2490"/>
      <c r="P141" s="2489"/>
      <c r="Q141" s="2489"/>
      <c r="R141" s="2491"/>
    </row>
    <row r="142" spans="2:18" s="797" customFormat="1">
      <c r="B142" s="2489"/>
      <c r="C142" s="2489"/>
      <c r="D142" s="2489"/>
      <c r="E142" s="2489"/>
      <c r="F142" s="2489"/>
      <c r="G142" s="2490"/>
      <c r="H142" s="2489"/>
      <c r="I142" s="2490"/>
      <c r="J142" s="2489"/>
      <c r="K142" s="2489"/>
      <c r="L142" s="2490"/>
      <c r="M142" s="2489"/>
      <c r="N142" s="2489"/>
      <c r="O142" s="2490"/>
      <c r="P142" s="2489"/>
      <c r="Q142" s="2489"/>
      <c r="R142" s="2491"/>
    </row>
    <row r="143" spans="2:18" s="797" customFormat="1">
      <c r="B143" s="2489"/>
      <c r="C143" s="2489"/>
      <c r="D143" s="2489"/>
      <c r="E143" s="2489"/>
      <c r="F143" s="2489"/>
      <c r="G143" s="2490"/>
      <c r="H143" s="2489"/>
      <c r="I143" s="2490"/>
      <c r="J143" s="2489"/>
      <c r="K143" s="2489"/>
      <c r="L143" s="2490"/>
      <c r="M143" s="2489"/>
      <c r="N143" s="2489"/>
      <c r="O143" s="2490"/>
      <c r="P143" s="2489"/>
      <c r="Q143" s="2489"/>
      <c r="R143" s="2491"/>
    </row>
    <row r="144" spans="2:18" s="797" customFormat="1">
      <c r="B144" s="2489"/>
      <c r="C144" s="2489"/>
      <c r="D144" s="2489"/>
      <c r="E144" s="2489"/>
      <c r="F144" s="2489"/>
      <c r="G144" s="2490"/>
      <c r="H144" s="2489"/>
      <c r="I144" s="2490"/>
      <c r="J144" s="2489"/>
      <c r="K144" s="2489"/>
      <c r="L144" s="2490"/>
      <c r="M144" s="2489"/>
      <c r="N144" s="2489"/>
      <c r="O144" s="2490"/>
      <c r="P144" s="2489"/>
      <c r="Q144" s="2489"/>
      <c r="R144" s="2491"/>
    </row>
    <row r="145" spans="2:18" s="797" customFormat="1">
      <c r="B145" s="2489"/>
      <c r="C145" s="2489"/>
      <c r="D145" s="2489"/>
      <c r="E145" s="2489"/>
      <c r="F145" s="2489"/>
      <c r="G145" s="2490"/>
      <c r="H145" s="2489"/>
      <c r="I145" s="2490"/>
      <c r="J145" s="2489"/>
      <c r="K145" s="2489"/>
      <c r="L145" s="2490"/>
      <c r="M145" s="2489"/>
      <c r="N145" s="2489"/>
      <c r="O145" s="2490"/>
      <c r="P145" s="2489"/>
      <c r="Q145" s="2489"/>
      <c r="R145" s="2491"/>
    </row>
    <row r="146" spans="2:18" s="797" customFormat="1">
      <c r="B146" s="2489"/>
      <c r="C146" s="2489"/>
      <c r="D146" s="2489"/>
      <c r="E146" s="2489"/>
      <c r="F146" s="2489"/>
      <c r="G146" s="2490"/>
      <c r="H146" s="2489"/>
      <c r="I146" s="2490"/>
      <c r="J146" s="2489"/>
      <c r="K146" s="2489"/>
      <c r="L146" s="2490"/>
      <c r="M146" s="2489"/>
      <c r="N146" s="2489"/>
      <c r="O146" s="2490"/>
      <c r="P146" s="2489"/>
      <c r="Q146" s="2489"/>
      <c r="R146" s="2491"/>
    </row>
    <row r="147" spans="2:18" s="797" customFormat="1">
      <c r="B147" s="2489"/>
      <c r="C147" s="2489"/>
      <c r="D147" s="2489"/>
      <c r="E147" s="2489"/>
      <c r="F147" s="2489"/>
      <c r="G147" s="2490"/>
      <c r="H147" s="2489"/>
      <c r="I147" s="2490"/>
      <c r="J147" s="2489"/>
      <c r="K147" s="2489"/>
      <c r="L147" s="2490"/>
      <c r="M147" s="2489"/>
      <c r="N147" s="2489"/>
      <c r="O147" s="2490"/>
      <c r="P147" s="2489"/>
      <c r="Q147" s="2489"/>
      <c r="R147" s="2491"/>
    </row>
    <row r="148" spans="2:18" s="797" customFormat="1">
      <c r="B148" s="2489"/>
      <c r="C148" s="2489"/>
      <c r="D148" s="2489"/>
      <c r="E148" s="2489"/>
      <c r="F148" s="2489"/>
      <c r="G148" s="2490"/>
      <c r="H148" s="2489"/>
      <c r="I148" s="2490"/>
      <c r="J148" s="2489"/>
      <c r="K148" s="2489"/>
      <c r="L148" s="2490"/>
      <c r="M148" s="2489"/>
      <c r="N148" s="2489"/>
      <c r="O148" s="2490"/>
      <c r="P148" s="2489"/>
      <c r="Q148" s="2489"/>
      <c r="R148" s="2491"/>
    </row>
    <row r="149" spans="2:18" s="797" customFormat="1">
      <c r="B149" s="2489"/>
      <c r="C149" s="2489"/>
      <c r="D149" s="2489"/>
      <c r="E149" s="2489"/>
      <c r="F149" s="2489"/>
      <c r="G149" s="2490"/>
      <c r="H149" s="2489"/>
      <c r="I149" s="2490"/>
      <c r="J149" s="2489"/>
      <c r="K149" s="2489"/>
      <c r="L149" s="2490"/>
      <c r="M149" s="2489"/>
      <c r="N149" s="2489"/>
      <c r="O149" s="2490"/>
      <c r="P149" s="2489"/>
      <c r="Q149" s="2489"/>
      <c r="R149" s="2491"/>
    </row>
    <row r="150" spans="2:18" s="797" customFormat="1">
      <c r="B150" s="2489"/>
      <c r="C150" s="2489"/>
      <c r="D150" s="2489"/>
      <c r="E150" s="2489"/>
      <c r="F150" s="2489"/>
      <c r="G150" s="2490"/>
      <c r="H150" s="2489"/>
      <c r="I150" s="2490"/>
      <c r="J150" s="2489"/>
      <c r="K150" s="2489"/>
      <c r="L150" s="2490"/>
      <c r="M150" s="2489"/>
      <c r="N150" s="2489"/>
      <c r="O150" s="2490"/>
      <c r="P150" s="2489"/>
      <c r="Q150" s="2489"/>
      <c r="R150" s="2491"/>
    </row>
    <row r="151" spans="2:18" s="797" customFormat="1">
      <c r="B151" s="2489"/>
      <c r="C151" s="2489"/>
      <c r="D151" s="2489"/>
      <c r="E151" s="2489"/>
      <c r="F151" s="2489"/>
      <c r="G151" s="2490"/>
      <c r="H151" s="2489"/>
      <c r="I151" s="2490"/>
      <c r="J151" s="2489"/>
      <c r="K151" s="2489"/>
      <c r="L151" s="2490"/>
      <c r="M151" s="2489"/>
      <c r="N151" s="2489"/>
      <c r="O151" s="2490"/>
      <c r="P151" s="2489"/>
      <c r="Q151" s="2489"/>
      <c r="R151" s="2491"/>
    </row>
    <row r="152" spans="2:18" s="797" customFormat="1">
      <c r="B152" s="2489"/>
      <c r="C152" s="2489"/>
      <c r="D152" s="2489"/>
      <c r="E152" s="2489"/>
      <c r="F152" s="2489"/>
      <c r="G152" s="2490"/>
      <c r="H152" s="2489"/>
      <c r="I152" s="2490"/>
      <c r="J152" s="2489"/>
      <c r="K152" s="2489"/>
      <c r="L152" s="2490"/>
      <c r="M152" s="2489"/>
      <c r="N152" s="2489"/>
      <c r="O152" s="2490"/>
      <c r="P152" s="2489"/>
      <c r="Q152" s="2489"/>
      <c r="R152" s="2491"/>
    </row>
    <row r="153" spans="2:18" s="797" customFormat="1">
      <c r="B153" s="2489"/>
      <c r="C153" s="2489"/>
      <c r="D153" s="2489"/>
      <c r="E153" s="2489"/>
      <c r="F153" s="2489"/>
      <c r="G153" s="2490"/>
      <c r="H153" s="2489"/>
      <c r="I153" s="2490"/>
      <c r="J153" s="2489"/>
      <c r="K153" s="2489"/>
      <c r="L153" s="2490"/>
      <c r="M153" s="2489"/>
      <c r="N153" s="2489"/>
      <c r="O153" s="2490"/>
      <c r="P153" s="2489"/>
      <c r="Q153" s="2489"/>
      <c r="R153" s="2491"/>
    </row>
    <row r="154" spans="2:18" s="797" customFormat="1">
      <c r="B154" s="2489"/>
      <c r="C154" s="2489"/>
      <c r="D154" s="2489"/>
      <c r="E154" s="2489"/>
      <c r="F154" s="2489"/>
      <c r="G154" s="2490"/>
      <c r="H154" s="2489"/>
      <c r="I154" s="2490"/>
      <c r="J154" s="2489"/>
      <c r="K154" s="2489"/>
      <c r="L154" s="2490"/>
      <c r="M154" s="2489"/>
      <c r="N154" s="2489"/>
      <c r="O154" s="2490"/>
      <c r="P154" s="2489"/>
      <c r="Q154" s="2489"/>
      <c r="R154" s="2491"/>
    </row>
    <row r="155" spans="2:18" s="797" customFormat="1">
      <c r="B155" s="2489"/>
      <c r="C155" s="2489"/>
      <c r="D155" s="2489"/>
      <c r="E155" s="2489"/>
      <c r="F155" s="2489"/>
      <c r="G155" s="2490"/>
      <c r="H155" s="2489"/>
      <c r="I155" s="2490"/>
      <c r="J155" s="2489"/>
      <c r="K155" s="2489"/>
      <c r="L155" s="2490"/>
      <c r="M155" s="2489"/>
      <c r="N155" s="2489"/>
      <c r="O155" s="2490"/>
      <c r="P155" s="2489"/>
      <c r="Q155" s="2489"/>
      <c r="R155" s="2491"/>
    </row>
    <row r="156" spans="2:18" s="797" customFormat="1">
      <c r="B156" s="2489"/>
      <c r="C156" s="2489"/>
      <c r="D156" s="2489"/>
      <c r="E156" s="2489"/>
      <c r="F156" s="2489"/>
      <c r="G156" s="2490"/>
      <c r="H156" s="2489"/>
      <c r="I156" s="2490"/>
      <c r="J156" s="2489"/>
      <c r="K156" s="2489"/>
      <c r="L156" s="2490"/>
      <c r="M156" s="2489"/>
      <c r="N156" s="2489"/>
      <c r="O156" s="2490"/>
      <c r="P156" s="2489"/>
      <c r="Q156" s="2489"/>
      <c r="R156" s="2491"/>
    </row>
    <row r="157" spans="2:18" s="797" customFormat="1">
      <c r="B157" s="2489"/>
      <c r="C157" s="2489"/>
      <c r="D157" s="2489"/>
      <c r="E157" s="2489"/>
      <c r="F157" s="2489"/>
      <c r="G157" s="2490"/>
      <c r="H157" s="2489"/>
      <c r="I157" s="2490"/>
      <c r="J157" s="2489"/>
      <c r="K157" s="2489"/>
      <c r="L157" s="2490"/>
      <c r="M157" s="2489"/>
      <c r="N157" s="2489"/>
      <c r="O157" s="2490"/>
      <c r="P157" s="2489"/>
      <c r="Q157" s="2489"/>
      <c r="R157" s="2491"/>
    </row>
    <row r="158" spans="2:18" s="797" customFormat="1">
      <c r="B158" s="2489"/>
      <c r="C158" s="2489"/>
      <c r="D158" s="2489"/>
      <c r="E158" s="2489"/>
      <c r="F158" s="2489"/>
      <c r="G158" s="2490"/>
      <c r="H158" s="2489"/>
      <c r="I158" s="2490"/>
      <c r="J158" s="2489"/>
      <c r="K158" s="2489"/>
      <c r="L158" s="2490"/>
      <c r="M158" s="2489"/>
      <c r="N158" s="2489"/>
      <c r="O158" s="2490"/>
      <c r="P158" s="2489"/>
      <c r="Q158" s="2489"/>
      <c r="R158" s="2491"/>
    </row>
    <row r="159" spans="2:18" s="797" customFormat="1">
      <c r="B159" s="2489"/>
      <c r="C159" s="2489"/>
      <c r="D159" s="2489"/>
      <c r="E159" s="2489"/>
      <c r="F159" s="2489"/>
      <c r="G159" s="2490"/>
      <c r="H159" s="2489"/>
      <c r="I159" s="2490"/>
      <c r="J159" s="2489"/>
      <c r="K159" s="2489"/>
      <c r="L159" s="2490"/>
      <c r="M159" s="2489"/>
      <c r="N159" s="2489"/>
      <c r="O159" s="2490"/>
      <c r="P159" s="2489"/>
      <c r="Q159" s="2489"/>
      <c r="R159" s="2491"/>
    </row>
    <row r="160" spans="2:18" s="797" customFormat="1">
      <c r="B160" s="2489"/>
      <c r="C160" s="2489"/>
      <c r="D160" s="2489"/>
      <c r="E160" s="2489"/>
      <c r="F160" s="2489"/>
      <c r="G160" s="2490"/>
      <c r="H160" s="2489"/>
      <c r="I160" s="2490"/>
      <c r="J160" s="2489"/>
      <c r="K160" s="2489"/>
      <c r="L160" s="2490"/>
      <c r="M160" s="2489"/>
      <c r="N160" s="2489"/>
      <c r="O160" s="2490"/>
      <c r="P160" s="2489"/>
      <c r="Q160" s="2489"/>
      <c r="R160" s="2491"/>
    </row>
    <row r="161" spans="2:18" s="797" customFormat="1">
      <c r="B161" s="2489"/>
      <c r="C161" s="2489"/>
      <c r="D161" s="2489"/>
      <c r="E161" s="2489"/>
      <c r="F161" s="2489"/>
      <c r="G161" s="2490"/>
      <c r="H161" s="2489"/>
      <c r="I161" s="2490"/>
      <c r="J161" s="2489"/>
      <c r="K161" s="2489"/>
      <c r="L161" s="2490"/>
      <c r="M161" s="2489"/>
      <c r="N161" s="2489"/>
      <c r="O161" s="2490"/>
      <c r="P161" s="2489"/>
      <c r="Q161" s="2489"/>
      <c r="R161" s="2491"/>
    </row>
    <row r="162" spans="2:18" s="797" customFormat="1">
      <c r="B162" s="2489"/>
      <c r="C162" s="2489"/>
      <c r="D162" s="2489"/>
      <c r="E162" s="2489"/>
      <c r="F162" s="2489"/>
      <c r="G162" s="2490"/>
      <c r="H162" s="2489"/>
      <c r="I162" s="2490"/>
      <c r="J162" s="2489"/>
      <c r="K162" s="2489"/>
      <c r="L162" s="2490"/>
      <c r="M162" s="2489"/>
      <c r="N162" s="2489"/>
      <c r="O162" s="2490"/>
      <c r="P162" s="2489"/>
      <c r="Q162" s="2489"/>
      <c r="R162" s="2491"/>
    </row>
    <row r="163" spans="2:18" s="797" customFormat="1">
      <c r="B163" s="2489"/>
      <c r="C163" s="2489"/>
      <c r="D163" s="2489"/>
      <c r="E163" s="2489"/>
      <c r="F163" s="2489"/>
      <c r="G163" s="2490"/>
      <c r="H163" s="2489"/>
      <c r="I163" s="2490"/>
      <c r="J163" s="2489"/>
      <c r="K163" s="2489"/>
      <c r="L163" s="2490"/>
      <c r="M163" s="2489"/>
      <c r="N163" s="2489"/>
      <c r="O163" s="2490"/>
      <c r="P163" s="2489"/>
      <c r="Q163" s="2489"/>
      <c r="R163" s="2491"/>
    </row>
    <row r="164" spans="2:18" s="797" customFormat="1">
      <c r="B164" s="2489"/>
      <c r="C164" s="2489"/>
      <c r="D164" s="2489"/>
      <c r="E164" s="2489"/>
      <c r="F164" s="2489"/>
      <c r="G164" s="2490"/>
      <c r="H164" s="2489"/>
      <c r="I164" s="2490"/>
      <c r="J164" s="2489"/>
      <c r="K164" s="2489"/>
      <c r="L164" s="2490"/>
      <c r="M164" s="2489"/>
      <c r="N164" s="2489"/>
      <c r="O164" s="2490"/>
      <c r="P164" s="2489"/>
      <c r="Q164" s="2489"/>
      <c r="R164" s="2491"/>
    </row>
    <row r="165" spans="2:18" s="797" customFormat="1">
      <c r="B165" s="2489"/>
      <c r="C165" s="2489"/>
      <c r="D165" s="2489"/>
      <c r="E165" s="2489"/>
      <c r="F165" s="2489"/>
      <c r="G165" s="2490"/>
      <c r="H165" s="2489"/>
      <c r="I165" s="2490"/>
      <c r="J165" s="2489"/>
      <c r="K165" s="2489"/>
      <c r="L165" s="2490"/>
      <c r="M165" s="2489"/>
      <c r="N165" s="2489"/>
      <c r="O165" s="2490"/>
      <c r="P165" s="2489"/>
      <c r="Q165" s="2489"/>
      <c r="R165" s="2491"/>
    </row>
    <row r="166" spans="2:18" s="797" customFormat="1">
      <c r="B166" s="2489"/>
      <c r="C166" s="2489"/>
      <c r="D166" s="2489"/>
      <c r="E166" s="2489"/>
      <c r="F166" s="2489"/>
      <c r="G166" s="2490"/>
      <c r="H166" s="2489"/>
      <c r="I166" s="2490"/>
      <c r="J166" s="2489"/>
      <c r="K166" s="2489"/>
      <c r="L166" s="2490"/>
      <c r="M166" s="2489"/>
      <c r="N166" s="2489"/>
      <c r="O166" s="2490"/>
      <c r="P166" s="2489"/>
      <c r="Q166" s="2489"/>
      <c r="R166" s="2491"/>
    </row>
    <row r="167" spans="2:18" s="797" customFormat="1">
      <c r="B167" s="2489"/>
      <c r="C167" s="2489"/>
      <c r="D167" s="2489"/>
      <c r="E167" s="2489"/>
      <c r="F167" s="2489"/>
      <c r="G167" s="2490"/>
      <c r="H167" s="2489"/>
      <c r="I167" s="2490"/>
      <c r="J167" s="2489"/>
      <c r="K167" s="2489"/>
      <c r="L167" s="2490"/>
      <c r="M167" s="2489"/>
      <c r="N167" s="2489"/>
      <c r="O167" s="2490"/>
      <c r="P167" s="2489"/>
      <c r="Q167" s="2489"/>
      <c r="R167" s="2491"/>
    </row>
    <row r="168" spans="2:18" s="797" customFormat="1">
      <c r="B168" s="2489"/>
      <c r="C168" s="2489"/>
      <c r="D168" s="2489"/>
      <c r="E168" s="2489"/>
      <c r="F168" s="2489"/>
      <c r="G168" s="2490"/>
      <c r="H168" s="2489"/>
      <c r="I168" s="2490"/>
      <c r="J168" s="2489"/>
      <c r="K168" s="2489"/>
      <c r="L168" s="2490"/>
      <c r="M168" s="2489"/>
      <c r="N168" s="2489"/>
      <c r="O168" s="2490"/>
      <c r="P168" s="2489"/>
      <c r="Q168" s="2489"/>
      <c r="R168" s="2491"/>
    </row>
    <row r="169" spans="2:18" s="797" customFormat="1">
      <c r="B169" s="2489"/>
      <c r="C169" s="2489"/>
      <c r="D169" s="2489"/>
      <c r="E169" s="2489"/>
      <c r="F169" s="2489"/>
      <c r="G169" s="2490"/>
      <c r="H169" s="2489"/>
      <c r="I169" s="2490"/>
      <c r="J169" s="2489"/>
      <c r="K169" s="2489"/>
      <c r="L169" s="2490"/>
      <c r="M169" s="2489"/>
      <c r="N169" s="2489"/>
      <c r="O169" s="2490"/>
      <c r="P169" s="2489"/>
      <c r="Q169" s="2489"/>
      <c r="R169" s="2491"/>
    </row>
    <row r="170" spans="2:18" s="797" customFormat="1">
      <c r="B170" s="2489"/>
      <c r="C170" s="2489"/>
      <c r="D170" s="2489"/>
      <c r="E170" s="2489"/>
      <c r="F170" s="2489"/>
      <c r="G170" s="2490"/>
      <c r="H170" s="2489"/>
      <c r="I170" s="2490"/>
      <c r="J170" s="2489"/>
      <c r="K170" s="2489"/>
      <c r="L170" s="2490"/>
      <c r="M170" s="2489"/>
      <c r="N170" s="2489"/>
      <c r="O170" s="2490"/>
      <c r="P170" s="2489"/>
      <c r="Q170" s="2489"/>
      <c r="R170" s="2491"/>
    </row>
    <row r="171" spans="2:18" s="797" customFormat="1">
      <c r="B171" s="2489"/>
      <c r="C171" s="2489"/>
      <c r="D171" s="2489"/>
      <c r="E171" s="2489"/>
      <c r="F171" s="2489"/>
      <c r="G171" s="2490"/>
      <c r="H171" s="2489"/>
      <c r="I171" s="2490"/>
      <c r="J171" s="2489"/>
      <c r="K171" s="2489"/>
      <c r="L171" s="2490"/>
      <c r="M171" s="2489"/>
      <c r="N171" s="2489"/>
      <c r="O171" s="2490"/>
      <c r="P171" s="2489"/>
      <c r="Q171" s="2489"/>
      <c r="R171" s="2491"/>
    </row>
    <row r="172" spans="2:18" s="797" customFormat="1">
      <c r="B172" s="2489"/>
      <c r="C172" s="2489"/>
      <c r="D172" s="2489"/>
      <c r="E172" s="2489"/>
      <c r="F172" s="2489"/>
      <c r="G172" s="2490"/>
      <c r="H172" s="2489"/>
      <c r="I172" s="2490"/>
      <c r="J172" s="2489"/>
      <c r="K172" s="2489"/>
      <c r="L172" s="2490"/>
      <c r="M172" s="2489"/>
      <c r="N172" s="2489"/>
      <c r="O172" s="2490"/>
      <c r="P172" s="2489"/>
      <c r="Q172" s="2489"/>
      <c r="R172" s="2491"/>
    </row>
    <row r="173" spans="2:18" s="797" customFormat="1">
      <c r="B173" s="2489"/>
      <c r="C173" s="2489"/>
      <c r="D173" s="2489"/>
      <c r="E173" s="2489"/>
      <c r="F173" s="2489"/>
      <c r="G173" s="2490"/>
      <c r="H173" s="2489"/>
      <c r="I173" s="2490"/>
      <c r="J173" s="2489"/>
      <c r="K173" s="2489"/>
      <c r="L173" s="2490"/>
      <c r="M173" s="2489"/>
      <c r="N173" s="2489"/>
      <c r="O173" s="2490"/>
      <c r="P173" s="2489"/>
      <c r="Q173" s="2489"/>
      <c r="R173" s="2491"/>
    </row>
    <row r="174" spans="2:18" s="797" customFormat="1">
      <c r="B174" s="2489"/>
      <c r="C174" s="2489"/>
      <c r="D174" s="2489"/>
      <c r="E174" s="2489"/>
      <c r="F174" s="2489"/>
      <c r="G174" s="2490"/>
      <c r="H174" s="2489"/>
      <c r="I174" s="2490"/>
      <c r="J174" s="2489"/>
      <c r="K174" s="2489"/>
      <c r="L174" s="2490"/>
      <c r="M174" s="2489"/>
      <c r="N174" s="2489"/>
      <c r="O174" s="2490"/>
      <c r="P174" s="2489"/>
      <c r="Q174" s="2489"/>
      <c r="R174" s="2491"/>
    </row>
    <row r="175" spans="2:18" s="797" customFormat="1">
      <c r="B175" s="2489"/>
      <c r="C175" s="2489"/>
      <c r="D175" s="2489"/>
      <c r="E175" s="2489"/>
      <c r="F175" s="2489"/>
      <c r="G175" s="2490"/>
      <c r="H175" s="2489"/>
      <c r="I175" s="2490"/>
      <c r="J175" s="2489"/>
      <c r="K175" s="2489"/>
      <c r="L175" s="2490"/>
      <c r="M175" s="2489"/>
      <c r="N175" s="2489"/>
      <c r="O175" s="2490"/>
      <c r="P175" s="2489"/>
      <c r="Q175" s="2489"/>
      <c r="R175" s="2491"/>
    </row>
    <row r="176" spans="2:18" s="797" customFormat="1">
      <c r="B176" s="2489"/>
      <c r="C176" s="2489"/>
      <c r="D176" s="2489"/>
      <c r="E176" s="2489"/>
      <c r="F176" s="2489"/>
      <c r="G176" s="2490"/>
      <c r="H176" s="2489"/>
      <c r="I176" s="2490"/>
      <c r="J176" s="2489"/>
      <c r="K176" s="2489"/>
      <c r="L176" s="2490"/>
      <c r="M176" s="2489"/>
      <c r="N176" s="2489"/>
      <c r="O176" s="2490"/>
      <c r="P176" s="2489"/>
      <c r="Q176" s="2489"/>
      <c r="R176" s="2491"/>
    </row>
    <row r="177" spans="1:18" s="797" customFormat="1">
      <c r="B177" s="2489"/>
      <c r="C177" s="2489"/>
      <c r="D177" s="2489"/>
      <c r="E177" s="2489"/>
      <c r="F177" s="2489"/>
      <c r="G177" s="2490"/>
      <c r="H177" s="2489"/>
      <c r="I177" s="2490"/>
      <c r="J177" s="2489"/>
      <c r="K177" s="2489"/>
      <c r="L177" s="2490"/>
      <c r="M177" s="2489"/>
      <c r="N177" s="2489"/>
      <c r="O177" s="2490"/>
      <c r="P177" s="2489"/>
      <c r="Q177" s="2489"/>
      <c r="R177" s="2491"/>
    </row>
    <row r="178" spans="1:18" s="797" customFormat="1">
      <c r="B178" s="2489"/>
      <c r="C178" s="2489"/>
      <c r="D178" s="2489"/>
      <c r="E178" s="2489"/>
      <c r="F178" s="2489"/>
      <c r="G178" s="2490"/>
      <c r="H178" s="2489"/>
      <c r="I178" s="2490"/>
      <c r="J178" s="2489"/>
      <c r="K178" s="2489"/>
      <c r="L178" s="2490"/>
      <c r="M178" s="2489"/>
      <c r="N178" s="2489"/>
      <c r="O178" s="2490"/>
      <c r="P178" s="2489"/>
      <c r="Q178" s="2489"/>
      <c r="R178" s="2491"/>
    </row>
    <row r="179" spans="1:18" s="797" customFormat="1">
      <c r="B179" s="2489"/>
      <c r="C179" s="2489"/>
      <c r="D179" s="2489"/>
      <c r="E179" s="2489"/>
      <c r="F179" s="2489"/>
      <c r="G179" s="2490"/>
      <c r="H179" s="2489"/>
      <c r="I179" s="2490"/>
      <c r="J179" s="2489"/>
      <c r="K179" s="2489"/>
      <c r="L179" s="2490"/>
      <c r="M179" s="2489"/>
      <c r="N179" s="2489"/>
      <c r="O179" s="2490"/>
      <c r="P179" s="2489"/>
      <c r="Q179" s="2489"/>
      <c r="R179" s="2491"/>
    </row>
    <row r="180" spans="1:18" s="797" customFormat="1">
      <c r="B180" s="2489"/>
      <c r="C180" s="2489"/>
      <c r="D180" s="2489"/>
      <c r="E180" s="2489"/>
      <c r="F180" s="2489"/>
      <c r="G180" s="2490"/>
      <c r="H180" s="2489"/>
      <c r="I180" s="2490"/>
      <c r="J180" s="2489"/>
      <c r="K180" s="2489"/>
      <c r="L180" s="2490"/>
      <c r="M180" s="2489"/>
      <c r="N180" s="2489"/>
      <c r="O180" s="2490"/>
      <c r="P180" s="2489"/>
      <c r="Q180" s="2489"/>
      <c r="R180" s="2491"/>
    </row>
    <row r="181" spans="1:18" s="797" customFormat="1">
      <c r="B181" s="2489"/>
      <c r="C181" s="2489"/>
      <c r="D181" s="2489"/>
      <c r="E181" s="2489"/>
      <c r="F181" s="2489"/>
      <c r="G181" s="2490"/>
      <c r="H181" s="2489"/>
      <c r="I181" s="2490"/>
      <c r="J181" s="2489"/>
      <c r="K181" s="2489"/>
      <c r="L181" s="2490"/>
      <c r="M181" s="2489"/>
      <c r="N181" s="2489"/>
      <c r="O181" s="2490"/>
      <c r="P181" s="2489"/>
      <c r="Q181" s="2489"/>
      <c r="R181" s="2491"/>
    </row>
    <row r="182" spans="1:18" s="797" customFormat="1">
      <c r="B182" s="2489"/>
      <c r="C182" s="2489"/>
      <c r="D182" s="2489"/>
      <c r="E182" s="2489"/>
      <c r="F182" s="2489"/>
      <c r="G182" s="2490"/>
      <c r="H182" s="2489"/>
      <c r="I182" s="2490"/>
      <c r="J182" s="2489"/>
      <c r="K182" s="2489"/>
      <c r="L182" s="2490"/>
      <c r="M182" s="2489"/>
      <c r="N182" s="2489"/>
      <c r="O182" s="2490"/>
      <c r="P182" s="2489"/>
      <c r="Q182" s="2489"/>
      <c r="R182" s="2491"/>
    </row>
    <row r="183" spans="1:18" s="797" customFormat="1">
      <c r="B183" s="2489"/>
      <c r="C183" s="2489"/>
      <c r="D183" s="2489"/>
      <c r="E183" s="2489"/>
      <c r="F183" s="2489"/>
      <c r="G183" s="2490"/>
      <c r="H183" s="2489"/>
      <c r="I183" s="2490"/>
      <c r="J183" s="2489"/>
      <c r="K183" s="2489"/>
      <c r="L183" s="2490"/>
      <c r="M183" s="2489"/>
      <c r="N183" s="2489"/>
      <c r="O183" s="2490"/>
      <c r="P183" s="2489"/>
      <c r="Q183" s="2489"/>
      <c r="R183" s="2491"/>
    </row>
    <row r="184" spans="1:18" s="797" customFormat="1">
      <c r="B184" s="2489"/>
      <c r="C184" s="2489"/>
      <c r="D184" s="2489"/>
      <c r="E184" s="2489"/>
      <c r="F184" s="2489"/>
      <c r="G184" s="2490"/>
      <c r="H184" s="2489"/>
      <c r="I184" s="2490"/>
      <c r="J184" s="2489"/>
      <c r="K184" s="2489"/>
      <c r="L184" s="2490"/>
      <c r="M184" s="2489"/>
      <c r="N184" s="2489"/>
      <c r="O184" s="2490"/>
      <c r="P184" s="2489"/>
      <c r="Q184" s="2489"/>
      <c r="R184" s="2491"/>
    </row>
    <row r="185" spans="1:18" s="797"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7"/>
      <c r="B186" s="2489"/>
      <c r="C186" s="2489"/>
      <c r="E186" s="2489"/>
      <c r="F186" s="2489"/>
      <c r="G186" s="2490"/>
    </row>
    <row r="187" spans="1:18">
      <c r="A187" s="797"/>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tabSelected="1" view="pageBreakPreview" zoomScale="80" zoomScaleNormal="80" zoomScaleSheetLayoutView="80" workbookViewId="0">
      <selection activeCell="D14" sqref="D14"/>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871.14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45595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SUM(D14:D23)</f>
        <v>671</v>
      </c>
      <c r="C5" s="2510" t="e">
        <f ca="1">IF(B5=D14,结果表!H102,ROUND(B5*10000/$B$1,0))</f>
        <v>#DIV/0!</v>
      </c>
      <c r="D5" s="2510" t="e">
        <f>ROUND(B5*10000/$B$2,0)</f>
        <v>#DIV/0!</v>
      </c>
      <c r="E5" s="2684"/>
      <c r="F5" s="2685"/>
      <c r="G5" s="2685"/>
      <c r="H5" s="2686"/>
      <c r="I5" s="2686"/>
      <c r="J5" s="2686"/>
      <c r="K5" s="2686"/>
    </row>
    <row r="6" spans="1:11" ht="16.5">
      <c r="A6" s="2510" t="s">
        <v>656</v>
      </c>
      <c r="B6" s="2510">
        <f>SUM(G14:G23)</f>
        <v>671</v>
      </c>
      <c r="C6" s="2510" t="e">
        <f ca="1">IF(B6=G14,结果表!H108,ROUND(B6*10000/$B$1,0))</f>
        <v>#DIV/0!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f>H11</f>
        <v>8449</v>
      </c>
      <c r="I10" s="3450">
        <f>H11/E14</f>
        <v>1.0972727272727272</v>
      </c>
      <c r="J10" s="2686"/>
      <c r="K10" s="2686"/>
    </row>
    <row r="11" spans="1:11" ht="16.5">
      <c r="A11" s="2510" t="s">
        <v>670</v>
      </c>
      <c r="B11" s="2518"/>
      <c r="C11" s="2684"/>
      <c r="D11" s="2684"/>
      <c r="E11" s="2684"/>
      <c r="F11" s="2685"/>
      <c r="G11" s="2685" t="s">
        <v>3414</v>
      </c>
      <c r="H11" s="2686">
        <v>8449</v>
      </c>
      <c r="I11" s="2686">
        <f>H10/1.1</f>
        <v>7680.9090909090901</v>
      </c>
      <c r="J11" s="2686"/>
      <c r="K11" s="2686"/>
    </row>
    <row r="12" spans="1:11" ht="16.5">
      <c r="A12" s="2684"/>
      <c r="B12" s="2684"/>
      <c r="C12" s="2684"/>
      <c r="D12" s="2684"/>
      <c r="E12" s="2684"/>
      <c r="F12" s="2685"/>
      <c r="G12" s="2685" t="s">
        <v>3415</v>
      </c>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v>871.14</v>
      </c>
      <c r="C14" s="2516"/>
      <c r="D14" s="2516">
        <f>ROUND(E14*B14/10000,0)</f>
        <v>671</v>
      </c>
      <c r="E14" s="2516">
        <v>7700</v>
      </c>
      <c r="F14" s="2516" t="e">
        <f>ROUND(D14*10000/C14,0)</f>
        <v>#DIV/0!</v>
      </c>
      <c r="G14" s="2516">
        <f>D14</f>
        <v>671</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c r="D1" s="1745"/>
      <c r="E1" s="1745"/>
      <c r="F1" s="1747" t="s">
        <v>1263</v>
      </c>
      <c r="G1" s="1559"/>
      <c r="H1" s="1748" t="str">
        <f>IF(G1="现房","——","估价对象范围")</f>
        <v>估价对象范围</v>
      </c>
      <c r="I1" s="1749"/>
    </row>
    <row r="2" spans="1:12" ht="21.75" customHeight="1" thickBot="1">
      <c r="A2" s="3574" t="str">
        <f>项目基本情况!S2</f>
        <v>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2" t="s">
        <v>1265</v>
      </c>
      <c r="B4" s="1753" t="s">
        <v>1266</v>
      </c>
      <c r="C4" s="1754" t="s">
        <v>3410</v>
      </c>
      <c r="D4" s="1754" t="s">
        <v>3410</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54" t="s">
        <v>1268</v>
      </c>
      <c r="B5" s="3541">
        <v>25</v>
      </c>
      <c r="C5" s="3557"/>
      <c r="D5" s="3577"/>
      <c r="E5" s="131" t="s">
        <v>1269</v>
      </c>
      <c r="F5" s="1755"/>
      <c r="G5" s="1755"/>
      <c r="H5" s="1755"/>
      <c r="I5" s="1371"/>
    </row>
    <row r="6" spans="1:12" ht="12.75">
      <c r="A6" s="3554"/>
      <c r="B6" s="3541"/>
      <c r="C6" s="3558"/>
      <c r="D6" s="3577"/>
      <c r="E6" s="131" t="s">
        <v>1270</v>
      </c>
      <c r="F6" s="1755"/>
      <c r="G6" s="1755"/>
      <c r="H6" s="1755"/>
      <c r="I6" s="1371"/>
    </row>
    <row r="7" spans="1:12" ht="12.75">
      <c r="A7" s="3554"/>
      <c r="B7" s="3541"/>
      <c r="C7" s="3559"/>
      <c r="D7" s="3577"/>
      <c r="E7" s="131" t="s">
        <v>1271</v>
      </c>
      <c r="F7" s="1755"/>
      <c r="G7" s="1755"/>
      <c r="H7" s="1755"/>
      <c r="I7" s="1371"/>
    </row>
    <row r="8" spans="1:12" ht="12.75">
      <c r="A8" s="3554" t="s">
        <v>1272</v>
      </c>
      <c r="B8" s="3541">
        <v>15</v>
      </c>
      <c r="C8" s="3557"/>
      <c r="D8" s="3577"/>
      <c r="E8" s="131" t="s">
        <v>1273</v>
      </c>
      <c r="F8" s="1755"/>
      <c r="G8" s="1755"/>
      <c r="H8" s="1755"/>
      <c r="I8" s="1371"/>
    </row>
    <row r="9" spans="1:12" ht="12.75">
      <c r="A9" s="3554"/>
      <c r="B9" s="3541"/>
      <c r="C9" s="3559"/>
      <c r="D9" s="3577"/>
      <c r="E9" s="131" t="s">
        <v>1274</v>
      </c>
      <c r="F9" s="1755"/>
      <c r="G9" s="1755"/>
      <c r="H9" s="1755"/>
      <c r="I9" s="1371"/>
    </row>
    <row r="10" spans="1:12" ht="12.75">
      <c r="A10" s="3554" t="s">
        <v>1275</v>
      </c>
      <c r="B10" s="3541">
        <v>15</v>
      </c>
      <c r="C10" s="3557"/>
      <c r="D10" s="3577"/>
      <c r="E10" s="131" t="s">
        <v>1276</v>
      </c>
      <c r="F10" s="1755"/>
      <c r="G10" s="1755"/>
      <c r="H10" s="1755"/>
      <c r="I10" s="1371"/>
    </row>
    <row r="11" spans="1:12" ht="12.75">
      <c r="A11" s="3554"/>
      <c r="B11" s="3541"/>
      <c r="C11" s="3559"/>
      <c r="D11" s="3577"/>
      <c r="E11" s="131" t="s">
        <v>1277</v>
      </c>
      <c r="F11" s="1755"/>
      <c r="G11" s="1755"/>
      <c r="H11" s="1755"/>
      <c r="I11" s="1371"/>
    </row>
    <row r="12" spans="1:12" ht="12.75">
      <c r="A12" s="3554" t="s">
        <v>1278</v>
      </c>
      <c r="B12" s="3541">
        <v>15</v>
      </c>
      <c r="C12" s="3557"/>
      <c r="D12" s="3577"/>
      <c r="E12" s="131" t="s">
        <v>1279</v>
      </c>
      <c r="F12" s="1755"/>
      <c r="G12" s="1755"/>
      <c r="H12" s="1755"/>
      <c r="I12" s="1371"/>
    </row>
    <row r="13" spans="1:12" ht="12.75">
      <c r="A13" s="3554"/>
      <c r="B13" s="3541"/>
      <c r="C13" s="3559"/>
      <c r="D13" s="3577"/>
      <c r="E13" s="131" t="s">
        <v>1280</v>
      </c>
      <c r="F13" s="1755"/>
      <c r="G13" s="1755"/>
      <c r="H13" s="1755"/>
      <c r="I13" s="1371"/>
    </row>
    <row r="14" spans="1:12" ht="12.75">
      <c r="A14" s="3554" t="s">
        <v>1281</v>
      </c>
      <c r="B14" s="3541">
        <v>30</v>
      </c>
      <c r="C14" s="3557">
        <v>1</v>
      </c>
      <c r="D14" s="3577">
        <v>0</v>
      </c>
      <c r="E14" s="131" t="s">
        <v>1282</v>
      </c>
      <c r="F14" s="1755"/>
      <c r="G14" s="1755"/>
      <c r="H14" s="1755"/>
      <c r="I14" s="1371"/>
    </row>
    <row r="15" spans="1:12" ht="12.75">
      <c r="A15" s="3554"/>
      <c r="B15" s="3541"/>
      <c r="C15" s="3558"/>
      <c r="D15" s="3577"/>
      <c r="E15" s="131" t="s">
        <v>1283</v>
      </c>
      <c r="F15" s="1755"/>
      <c r="G15" s="1755"/>
      <c r="H15" s="1755"/>
      <c r="I15" s="1371"/>
    </row>
    <row r="16" spans="1:12" ht="12.75">
      <c r="A16" s="3554"/>
      <c r="B16" s="3541"/>
      <c r="C16" s="3559"/>
      <c r="D16" s="3577"/>
      <c r="E16" s="131" t="s">
        <v>1284</v>
      </c>
      <c r="F16" s="1755"/>
      <c r="G16" s="1755"/>
      <c r="H16" s="1755"/>
      <c r="I16" s="1371"/>
    </row>
    <row r="17" spans="1:36" ht="15">
      <c r="A17" s="1756" t="s">
        <v>1285</v>
      </c>
      <c r="B17" s="56"/>
      <c r="C17" s="132">
        <f>SUM(C5:C16)</f>
        <v>1</v>
      </c>
      <c r="D17" s="132">
        <f>SUM(D5:D16)</f>
        <v>0</v>
      </c>
      <c r="E17" s="129"/>
      <c r="F17" s="129"/>
      <c r="G17" s="129"/>
      <c r="H17" s="129"/>
      <c r="I17" s="129"/>
      <c r="K17" s="302"/>
      <c r="L17" s="302" t="s">
        <v>1286</v>
      </c>
      <c r="M17" s="302" t="s">
        <v>1287</v>
      </c>
    </row>
    <row r="18" spans="1:36" ht="31.9" customHeight="1" thickBot="1">
      <c r="A18" s="1757" t="s">
        <v>1288</v>
      </c>
      <c r="B18" s="1758"/>
      <c r="C18" s="133">
        <f>ROUND(C17/SUM(C17:D17),2)</f>
        <v>1</v>
      </c>
      <c r="D18" s="133">
        <f>1-C18</f>
        <v>0</v>
      </c>
      <c r="E18" s="3564" t="s">
        <v>2130</v>
      </c>
      <c r="F18" s="3565"/>
      <c r="G18" s="3565"/>
      <c r="H18" s="3565"/>
      <c r="I18" s="3565"/>
      <c r="K18" s="302" t="s">
        <v>1289</v>
      </c>
      <c r="L18" s="302">
        <f>IF(C1="",'数据-汇总表'!E3,SUMIF(项目类型,C1,'数据-汇总表'!E17:E26)+SUMIF(项目类型,C1,'数据-汇总表'!I17:I26))</f>
        <v>54.47</v>
      </c>
      <c r="M18" s="302">
        <f>IF(C1="",'数据-汇总表'!E3,SUMIF(项目类型,C1,'数据-汇总表'!E17:E26))</f>
        <v>54.47</v>
      </c>
    </row>
    <row r="19" spans="1:36" ht="15">
      <c r="A19" s="1759" t="s">
        <v>1290</v>
      </c>
      <c r="B19" s="1760" t="s">
        <v>1291</v>
      </c>
      <c r="C19" s="134" t="e">
        <f ca="1">SUMIF(INDIRECT("'"&amp;C4&amp;"'"&amp;"!A:A"),结果表!B19,INDIRECT("'"&amp;C4&amp;"'"&amp;"!B:B"))</f>
        <v>#DIV/0!</v>
      </c>
      <c r="D19" s="135" t="e">
        <f ca="1">SUMIF(INDIRECT("'"&amp;D4&amp;"'"&amp;"!A:A"),结果表!B19,INDIRECT("'"&amp;D4&amp;"'"&amp;"!B:B"))</f>
        <v>#DIV/0!</v>
      </c>
      <c r="E19" s="1759" t="s">
        <v>1292</v>
      </c>
      <c r="F19" s="1760" t="s">
        <v>1291</v>
      </c>
      <c r="G19" s="136" t="e">
        <f ca="1">ROUND(C19*$C$18+D19*$D$18,0)</f>
        <v>#DIV/0!</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t="e">
        <f ca="1">SUMIF(INDIRECT("'"&amp;C4&amp;"'"&amp;"!A:A"),结果表!B20,INDIRECT("'"&amp;C4&amp;"'"&amp;"!B:B"))</f>
        <v>#DIV/0!</v>
      </c>
      <c r="D20" s="138" t="e">
        <f ca="1">SUMIF(INDIRECT("'"&amp;D4&amp;"'"&amp;"!A:A"),结果表!B20,INDIRECT("'"&amp;D4&amp;"'"&amp;"!B:B"))</f>
        <v>#DIV/0!</v>
      </c>
      <c r="E20" s="1762"/>
      <c r="F20" s="1024" t="s">
        <v>1295</v>
      </c>
      <c r="G20" s="139" t="e">
        <f ca="1">ROUND(C20*$C$18+D20*$D$18,0)</f>
        <v>#DIV/0!</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t="e">
        <f ca="1">IF(C19&lt;D19,D19/C19-1,C19/D19-1)</f>
        <v>#DIV/0!</v>
      </c>
      <c r="E22" s="129"/>
      <c r="F22" s="129"/>
      <c r="G22" s="129"/>
      <c r="H22" s="129"/>
      <c r="I22" s="129"/>
    </row>
    <row r="23" spans="1:36" ht="13.5" thickBot="1">
      <c r="A23" s="1745"/>
      <c r="B23" s="1745"/>
      <c r="C23" s="1745"/>
      <c r="D23" s="1745"/>
      <c r="E23" s="129"/>
      <c r="F23" s="129"/>
      <c r="G23" s="129"/>
      <c r="H23" s="129"/>
      <c r="I23" s="129"/>
    </row>
    <row r="24" spans="1:36" ht="14.25">
      <c r="A24" s="3548" t="s">
        <v>1299</v>
      </c>
      <c r="B24" s="1760" t="s">
        <v>1291</v>
      </c>
      <c r="C24" s="136">
        <f>IF(B30=0,0,D30)</f>
        <v>0</v>
      </c>
      <c r="D24" s="1767"/>
      <c r="E24" s="129"/>
      <c r="F24" s="129"/>
      <c r="G24" s="129"/>
      <c r="H24" s="129"/>
      <c r="I24" s="129"/>
    </row>
    <row r="25" spans="1:36" ht="14.25">
      <c r="A25" s="3549"/>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t="e">
        <f ca="1">IF(D32="总价",G19-C24,G20-C25)</f>
        <v>#DIV/0!</v>
      </c>
      <c r="D32" s="1773" t="s">
        <v>3412</v>
      </c>
      <c r="E32" s="129"/>
      <c r="F32" s="129"/>
      <c r="G32" s="129"/>
      <c r="H32" s="129"/>
      <c r="I32" s="129"/>
    </row>
    <row r="33" spans="1:15" ht="15">
      <c r="A33" s="784" t="s">
        <v>1306</v>
      </c>
      <c r="B33" s="1774"/>
      <c r="C33" s="1775"/>
      <c r="D33" s="1776"/>
      <c r="E33" s="1777" t="s">
        <v>1307</v>
      </c>
      <c r="F33" s="1778" t="str">
        <f>IF(D32="楼面单价","取值（单价）","取值（总价）")</f>
        <v>取值（单价）</v>
      </c>
      <c r="G33" s="129"/>
      <c r="H33" s="129"/>
      <c r="I33" s="129"/>
    </row>
    <row r="34" spans="1:15" ht="15">
      <c r="A34" s="1779"/>
      <c r="B34" s="1780" t="s">
        <v>1308</v>
      </c>
      <c r="C34" s="148" t="e">
        <f ca="1">IF(C33="自定义",F34,C32-C35)</f>
        <v>#DIV/0!</v>
      </c>
      <c r="D34" s="859"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8" t="e">
        <f ca="1">IF(C33="自定义",F35,ROUND(C32*D35,0))</f>
        <v>#DIV/0!</v>
      </c>
      <c r="D35" s="1169"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68" t="s">
        <v>1312</v>
      </c>
      <c r="B36" s="1785" t="s">
        <v>1313</v>
      </c>
      <c r="C36" s="145"/>
      <c r="D36" s="1786"/>
      <c r="E36" s="1787"/>
      <c r="F36" s="1788"/>
      <c r="G36" s="129"/>
      <c r="H36" s="129"/>
      <c r="I36" s="129"/>
    </row>
    <row r="37" spans="1:15" ht="15.75" thickBot="1">
      <c r="A37" s="3569"/>
      <c r="B37" s="1672" t="s">
        <v>1314</v>
      </c>
      <c r="C37" s="147"/>
      <c r="D37" s="1137"/>
      <c r="E37" s="1137"/>
      <c r="F37" s="1788"/>
      <c r="G37" s="129"/>
      <c r="H37" s="129"/>
      <c r="I37" s="129"/>
    </row>
    <row r="38" spans="1:15" ht="15.75" thickBot="1">
      <c r="A38" s="3570"/>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45" t="s">
        <v>1326</v>
      </c>
      <c r="B45" s="3546"/>
      <c r="C45" s="3547"/>
      <c r="D45" s="155" t="e">
        <f ca="1">ROUND(H101*F45,0)</f>
        <v>#DIV/0!</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4"/>
      <c r="I46" s="159"/>
      <c r="J46" s="2521">
        <v>1</v>
      </c>
      <c r="K46" s="3604" t="s">
        <v>1331</v>
      </c>
      <c r="L46" s="3604"/>
      <c r="M46" s="3624"/>
      <c r="N46" s="3624"/>
      <c r="O46" s="3624"/>
    </row>
    <row r="47" spans="1:15" ht="12" customHeight="1">
      <c r="A47" s="160" t="s">
        <v>1332</v>
      </c>
      <c r="B47" s="161"/>
      <c r="C47" s="162"/>
      <c r="D47" s="1085" t="s">
        <v>1333</v>
      </c>
      <c r="E47" s="302" t="s">
        <v>1334</v>
      </c>
      <c r="F47" s="163" t="s">
        <v>1335</v>
      </c>
      <c r="G47" s="2544" t="s">
        <v>1336</v>
      </c>
      <c r="H47" s="2545"/>
      <c r="I47" s="159"/>
      <c r="J47" s="2521">
        <v>2</v>
      </c>
      <c r="K47" s="3604" t="s">
        <v>1337</v>
      </c>
      <c r="L47" s="3604"/>
      <c r="M47" s="3625">
        <f>'数据-取费表'!B2</f>
        <v>45595</v>
      </c>
      <c r="N47" s="3625"/>
      <c r="O47" s="3625"/>
    </row>
    <row r="48" spans="1:15" ht="25.5">
      <c r="A48" s="3573" t="s">
        <v>1338</v>
      </c>
      <c r="B48" s="3556"/>
      <c r="C48" s="3556"/>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04" t="s">
        <v>1340</v>
      </c>
      <c r="L48" s="3604"/>
      <c r="M48" s="3626" t="e">
        <f ca="1">H101</f>
        <v>#DIV/0!</v>
      </c>
      <c r="N48" s="3626"/>
      <c r="O48" s="3626"/>
    </row>
    <row r="49" spans="1:35" ht="25.5" customHeight="1">
      <c r="A49" s="2331" t="s">
        <v>1341</v>
      </c>
      <c r="B49" s="3540" t="s">
        <v>1342</v>
      </c>
      <c r="C49" s="3540"/>
      <c r="D49" s="1588">
        <v>0</v>
      </c>
      <c r="E49" s="324" t="s">
        <v>1343</v>
      </c>
      <c r="F49" s="2422" t="s">
        <v>28</v>
      </c>
      <c r="G49" s="3610"/>
      <c r="H49" s="2308" t="s">
        <v>2133</v>
      </c>
      <c r="I49" s="2309"/>
      <c r="J49" s="2521">
        <v>4</v>
      </c>
      <c r="K49" s="3604" t="str">
        <f>IF(项目基本情况!E8="房地产抵押价值","房地产抵押价值","抵押担保权已注销时的房地产抵押价值")</f>
        <v>房地产抵押价值</v>
      </c>
      <c r="L49" s="3604"/>
      <c r="M49" s="3626" t="e">
        <f ca="1">IF(项目基本情况!E8="房地产抵押价值",H107,H109)</f>
        <v>#DIV/0!</v>
      </c>
      <c r="N49" s="3626"/>
      <c r="O49" s="3626"/>
    </row>
    <row r="50" spans="1:35" ht="25.5" customHeight="1">
      <c r="A50" s="2549"/>
      <c r="B50" s="3540" t="s">
        <v>1344</v>
      </c>
      <c r="C50" s="3540"/>
      <c r="D50" s="2550"/>
      <c r="E50" s="332"/>
      <c r="F50" s="2422"/>
      <c r="G50" s="3611"/>
      <c r="H50" s="2310" t="s">
        <v>2134</v>
      </c>
      <c r="I50" s="2309"/>
      <c r="J50" s="3623" t="s">
        <v>1345</v>
      </c>
      <c r="K50" s="3623"/>
      <c r="L50" s="3623"/>
      <c r="M50" s="3623"/>
      <c r="N50" s="3623"/>
      <c r="O50" s="3623"/>
    </row>
    <row r="51" spans="1:35" ht="20.45" customHeight="1">
      <c r="A51" s="2551"/>
      <c r="B51" s="3540" t="s">
        <v>1346</v>
      </c>
      <c r="C51" s="3540"/>
      <c r="D51" s="1085"/>
      <c r="E51" s="327"/>
      <c r="F51" s="2422"/>
      <c r="G51" s="3612"/>
      <c r="H51" s="2310" t="s">
        <v>2135</v>
      </c>
      <c r="I51" s="2309"/>
      <c r="J51" s="2522" t="s">
        <v>1347</v>
      </c>
      <c r="K51" s="3604" t="s">
        <v>1348</v>
      </c>
      <c r="L51" s="3604"/>
      <c r="M51" s="2522" t="s">
        <v>1349</v>
      </c>
      <c r="N51" s="2522" t="s">
        <v>1350</v>
      </c>
      <c r="O51" s="2522" t="s">
        <v>1351</v>
      </c>
    </row>
    <row r="52" spans="1:35" ht="24" customHeight="1">
      <c r="A52" s="2333" t="s">
        <v>1352</v>
      </c>
      <c r="B52" s="3540" t="s">
        <v>1353</v>
      </c>
      <c r="C52" s="3540"/>
      <c r="D52" s="1085" t="e">
        <f ca="1">ROUND(D45*'数据-取费表'!B41/(1+'数据-取费表'!C42),0)</f>
        <v>#DIV/0!</v>
      </c>
      <c r="E52" s="2332" t="s">
        <v>1354</v>
      </c>
      <c r="F52" s="2552">
        <f>'数据-取费表'!B41</f>
        <v>5.5000000000000007E-2</v>
      </c>
      <c r="G52" s="2553"/>
      <c r="H52" s="2542"/>
      <c r="I52" s="1805"/>
      <c r="J52" s="2521">
        <v>1</v>
      </c>
      <c r="K52" s="3605" t="s">
        <v>1355</v>
      </c>
      <c r="L52" s="3605"/>
      <c r="M52" s="2523" t="b">
        <f>D48</f>
        <v>0</v>
      </c>
      <c r="N52" s="2521" t="str">
        <f>E48</f>
        <v>销售额×税（费）率</v>
      </c>
      <c r="O52" s="2524">
        <f>F48</f>
        <v>5.5000000000000007E-2</v>
      </c>
    </row>
    <row r="53" spans="1:35" ht="12" customHeight="1">
      <c r="A53" s="2333" t="s">
        <v>1356</v>
      </c>
      <c r="B53" s="3566" t="s">
        <v>2290</v>
      </c>
      <c r="C53" s="3567"/>
      <c r="D53" s="1085" t="e">
        <f ca="1">ROUND(D45*'数据-取费表'!B41/(1+'数据-取费表'!C42),0)</f>
        <v>#DIV/0!</v>
      </c>
      <c r="E53" s="2332" t="s">
        <v>1354</v>
      </c>
      <c r="F53" s="2552">
        <f>'数据-取费表'!B41</f>
        <v>5.5000000000000007E-2</v>
      </c>
      <c r="G53" s="2553"/>
      <c r="H53" s="2542"/>
      <c r="I53" s="1805"/>
      <c r="J53" s="2521">
        <v>2</v>
      </c>
      <c r="K53" s="3605" t="s">
        <v>1357</v>
      </c>
      <c r="L53" s="3605"/>
      <c r="M53" s="2523" t="e">
        <f t="shared" ref="M53:O54" ca="1" si="0">D55</f>
        <v>#DIV/0!</v>
      </c>
      <c r="N53" s="2521" t="str">
        <f t="shared" si="0"/>
        <v>销售额×税（费）率</v>
      </c>
      <c r="O53" s="2524" t="str">
        <f t="shared" si="0"/>
        <v>免征</v>
      </c>
    </row>
    <row r="54" spans="1:35" ht="12" customHeight="1">
      <c r="A54" s="2333" t="s">
        <v>1358</v>
      </c>
      <c r="B54" s="3566" t="s">
        <v>2291</v>
      </c>
      <c r="C54" s="3567"/>
      <c r="D54" s="1085" t="e">
        <f ca="1">C68</f>
        <v>#DIV/0!</v>
      </c>
      <c r="E54" s="327" t="s">
        <v>1359</v>
      </c>
      <c r="F54" s="2552">
        <f>'数据-取费表'!B41</f>
        <v>5.5000000000000007E-2</v>
      </c>
      <c r="G54" s="2553"/>
      <c r="H54" s="2554"/>
      <c r="I54" s="1805"/>
      <c r="J54" s="2521">
        <v>3</v>
      </c>
      <c r="K54" s="3605" t="s">
        <v>1360</v>
      </c>
      <c r="L54" s="3605"/>
      <c r="M54" s="2523" t="e">
        <f t="shared" ca="1" si="0"/>
        <v>#DIV/0!</v>
      </c>
      <c r="N54" s="2521" t="str">
        <f t="shared" si="0"/>
        <v>增值额×税（费）率</v>
      </c>
      <c r="O54" s="2525" t="str">
        <f t="shared" si="0"/>
        <v>免征</v>
      </c>
    </row>
    <row r="55" spans="1:35" ht="24" customHeight="1">
      <c r="A55" s="3555" t="s">
        <v>1361</v>
      </c>
      <c r="B55" s="3556"/>
      <c r="C55" s="3556"/>
      <c r="D55" s="2322" t="e">
        <f ca="1">IF(H55="个人住宅",0,ROUND(D45*I55,0))</f>
        <v>#DIV/0!</v>
      </c>
      <c r="E55" s="2332"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t="e">
        <f ca="1">D59</f>
        <v>#DIV/0!</v>
      </c>
      <c r="N55" s="2038" t="str">
        <f>E59</f>
        <v>差额计税</v>
      </c>
      <c r="O55" s="2527">
        <f>F59</f>
        <v>0.01</v>
      </c>
    </row>
    <row r="56" spans="1:35" ht="24.75">
      <c r="A56" s="3555" t="s">
        <v>1363</v>
      </c>
      <c r="B56" s="3556"/>
      <c r="C56" s="3556"/>
      <c r="D56" s="2322" t="e">
        <f ca="1">IF(H56="个人住宅",D57,D58)</f>
        <v>#DIV/0!</v>
      </c>
      <c r="E56" s="2332" t="s">
        <v>1364</v>
      </c>
      <c r="F56" s="2552" t="str">
        <f>IF(H56="正常",F58,"免征")</f>
        <v>免征</v>
      </c>
      <c r="G56" s="2555" t="s">
        <v>1365</v>
      </c>
      <c r="H56" s="2556"/>
      <c r="I56" s="1806"/>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3" t="s">
        <v>1341</v>
      </c>
      <c r="B57" s="3566" t="s">
        <v>1366</v>
      </c>
      <c r="C57" s="3567"/>
      <c r="D57" s="1588">
        <v>0</v>
      </c>
      <c r="E57" s="324" t="s">
        <v>1343</v>
      </c>
      <c r="F57" s="302"/>
      <c r="G57" s="2553"/>
      <c r="H57" s="2557"/>
      <c r="I57" s="1806"/>
      <c r="J57" s="3605">
        <f>IF(AND(J55="",J56=""),4,IF(项目基本情况!K6="上海银行",结果表!J56+1,结果表!J55+1))</f>
        <v>5</v>
      </c>
      <c r="K57" s="3605" t="s">
        <v>1367</v>
      </c>
      <c r="L57" s="2528" t="s">
        <v>1368</v>
      </c>
      <c r="M57" s="2529"/>
      <c r="N57" s="2530">
        <f ca="1">SUMIF(M52:M56,"&lt;9e307")</f>
        <v>0</v>
      </c>
      <c r="O57" s="2531"/>
      <c r="P57" s="2688" t="e">
        <f ca="1">N57/M49</f>
        <v>#DIV/0!</v>
      </c>
    </row>
    <row r="58" spans="1:35" ht="24.75">
      <c r="A58" s="2333" t="s">
        <v>1352</v>
      </c>
      <c r="B58" s="3566" t="s">
        <v>1369</v>
      </c>
      <c r="C58" s="3540"/>
      <c r="D58" s="2322" t="e">
        <f ca="1">IF(H58="转让取得",C81,C97)</f>
        <v>#DIV/0!</v>
      </c>
      <c r="E58" s="2332" t="s">
        <v>1364</v>
      </c>
      <c r="F58" s="302" t="s">
        <v>28</v>
      </c>
      <c r="G58" s="2553"/>
      <c r="H58" s="2556"/>
      <c r="I58" s="1806"/>
      <c r="J58" s="3605"/>
      <c r="K58" s="3605"/>
      <c r="L58" s="2528" t="s">
        <v>1370</v>
      </c>
      <c r="M58" s="2532"/>
      <c r="N58" s="2533" t="str">
        <f ca="1">NUMBERSTRING(INT(N57*10000),2)&amp;"元整"</f>
        <v>零元整</v>
      </c>
      <c r="O58" s="2534"/>
    </row>
    <row r="59" spans="1:35" ht="24.75" thickBot="1">
      <c r="A59" s="3608" t="s">
        <v>1371</v>
      </c>
      <c r="B59" s="3609"/>
      <c r="C59" s="3609"/>
      <c r="D59" s="2558" t="e">
        <f ca="1">IF(H59="非个人房产","——",IF(H59="个人住宅（满五唯一有凭证）",0,IF(H59="个人其他（无凭证）",ROUND(D45*F59,0),ROUND(C67*F59,0))))</f>
        <v>#DIV/0!</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06">
        <f>J57+1</f>
        <v>6</v>
      </c>
      <c r="K59" s="3605" t="s">
        <v>1372</v>
      </c>
      <c r="L59" s="2521" t="s">
        <v>1368</v>
      </c>
      <c r="M59" s="2535"/>
      <c r="N59" s="2536" t="e">
        <f ca="1">M49-N57</f>
        <v>#DIV/0!</v>
      </c>
      <c r="O59" s="2537"/>
    </row>
    <row r="60" spans="1:35" ht="12" customHeight="1">
      <c r="A60" s="1807"/>
      <c r="B60" s="1745"/>
      <c r="C60" s="1745"/>
      <c r="D60" s="1745"/>
      <c r="E60" s="1576"/>
      <c r="F60" s="1806"/>
      <c r="G60" s="1806"/>
      <c r="H60" s="1808"/>
      <c r="I60" s="129"/>
      <c r="J60" s="3607"/>
      <c r="K60" s="3605"/>
      <c r="L60" s="2528" t="s">
        <v>1370</v>
      </c>
      <c r="M60" s="2532"/>
      <c r="N60" s="2533" t="e">
        <f ca="1">NUMBERSTRING(INT(N59*10000),2)&amp;"元整"</f>
        <v>#DIV/0!</v>
      </c>
      <c r="O60" s="2534"/>
    </row>
    <row r="61" spans="1:35" ht="13.5" thickBot="1">
      <c r="A61" s="3553" t="s">
        <v>1373</v>
      </c>
      <c r="B61" s="3553"/>
      <c r="C61" s="3553"/>
      <c r="D61" s="3553"/>
      <c r="E61" s="3553"/>
      <c r="F61" s="1806"/>
      <c r="G61" s="1806"/>
      <c r="H61" s="1808"/>
      <c r="I61" s="129"/>
      <c r="J61" s="2521">
        <f>J59+1</f>
        <v>7</v>
      </c>
      <c r="K61" s="3605" t="s">
        <v>1374</v>
      </c>
      <c r="L61" s="3605"/>
      <c r="M61" s="2538"/>
      <c r="N61" s="2539" t="e">
        <f ca="1">ROUND(N59*10000/'数据-汇总表'!E3,0)</f>
        <v>#DIV/0!</v>
      </c>
      <c r="O61" s="2540"/>
    </row>
    <row r="62" spans="1:35" ht="12.75">
      <c r="A62" s="3571" t="s">
        <v>1375</v>
      </c>
      <c r="B62" s="3572"/>
      <c r="C62" s="2019"/>
      <c r="D62" s="2019" t="s">
        <v>1376</v>
      </c>
      <c r="E62" s="166" t="s">
        <v>1377</v>
      </c>
      <c r="F62" s="1806"/>
      <c r="G62" s="1806"/>
      <c r="H62" s="1808"/>
      <c r="I62" s="129"/>
    </row>
    <row r="63" spans="1:35" ht="12.75">
      <c r="A63" s="173" t="s">
        <v>330</v>
      </c>
      <c r="B63" s="167" t="s">
        <v>1378</v>
      </c>
      <c r="C63" s="2562" t="e">
        <f ca="1">ROUND((C64+C65)/(1+'数据-取费表'!C42),0)</f>
        <v>#DIV/0!</v>
      </c>
      <c r="D63" s="167"/>
      <c r="E63" s="168"/>
      <c r="F63" s="1806"/>
      <c r="G63" s="1806"/>
      <c r="H63" s="1808"/>
      <c r="I63" s="129"/>
      <c r="J63" s="3630" t="s">
        <v>1379</v>
      </c>
      <c r="K63" s="1330" t="s">
        <v>1380</v>
      </c>
      <c r="L63" s="1330" t="e">
        <f ca="1">IF(M49&gt;10000,M49*0.5%,IF(AND(M49&gt;1000,M49&lt;=10000),M49*1%,IF(AND(M49&gt;100,M49&lt;=1000),M49*3%,IF(AND(M49&gt;10,M49&lt;=100),M49*5%,M49*8%))))</f>
        <v>#DIV/0!</v>
      </c>
      <c r="M63" s="302" t="e">
        <f ca="1">ROUND(L63,1)</f>
        <v>#DIV/0!</v>
      </c>
      <c r="N63" s="2541"/>
      <c r="Z63" s="1750"/>
      <c r="AI63" s="1751"/>
    </row>
    <row r="64" spans="1:35" ht="14.25" customHeight="1">
      <c r="A64" s="169" t="s">
        <v>325</v>
      </c>
      <c r="B64" s="170" t="s">
        <v>1381</v>
      </c>
      <c r="C64" s="2563" t="e">
        <f ca="1">D45</f>
        <v>#DIV/0!</v>
      </c>
      <c r="D64" s="170" t="s">
        <v>26</v>
      </c>
      <c r="E64" s="172"/>
      <c r="F64" s="1806"/>
      <c r="G64" s="1806"/>
      <c r="H64" s="1808"/>
      <c r="I64" s="129"/>
      <c r="J64" s="3630"/>
      <c r="K64" s="1330" t="s">
        <v>1382</v>
      </c>
      <c r="L64" s="1330" t="e">
        <f ca="1">IF(M49&gt;2000,M49*0.5%,IF(AND(M49&gt;1000,M49&lt;=2000),M49*0.6%,IF(AND(M49&gt;500,M49&lt;=1000),M49*0.7%,IF(AND(M49&gt;200,M49&lt;=500),M49*0.8%,IF(AND(M49&gt;100,M49&lt;=200),M49*0.9%,IF(AND(M49&gt;50,M49&lt;=100),M49*1%,IF(AND(M49&gt;20,M49&lt;=50),M49*1.5%,IF(AND(M49&gt;10,M49&lt;=20),M49*2%,IF(AND(M49&gt;1,M49&lt;=10),M49*2.5%)))))))))</f>
        <v>#DIV/0!</v>
      </c>
      <c r="M64" s="302" t="e">
        <f t="shared" ref="M64:M65" ca="1" si="1">ROUND(L64,1)</f>
        <v>#DIV/0!</v>
      </c>
      <c r="N64" s="2542" t="s">
        <v>1383</v>
      </c>
      <c r="Z64" s="1750"/>
      <c r="AI64" s="1751"/>
    </row>
    <row r="65" spans="1:35" ht="14.25" customHeight="1">
      <c r="A65" s="169" t="s">
        <v>326</v>
      </c>
      <c r="B65" s="170" t="s">
        <v>1384</v>
      </c>
      <c r="C65" s="2564"/>
      <c r="D65" s="170"/>
      <c r="E65" s="172"/>
      <c r="F65" s="1806"/>
      <c r="G65" s="1806"/>
      <c r="H65" s="1808"/>
      <c r="I65" s="129"/>
      <c r="J65" s="3630"/>
      <c r="K65" s="1330" t="s">
        <v>1385</v>
      </c>
      <c r="L65" s="1330" t="e">
        <f ca="1">IF(M49&gt;1000,M49*0.1%,IF(AND(M49&gt;500,M49&lt;=1000),M49*0.5%,IF(AND(M49&gt;50,M49&lt;=500),M49*1%,IF(AND(M49&gt;1,M49&lt;=50),M49*1.5%))))</f>
        <v>#DIV/0!</v>
      </c>
      <c r="M65" s="302" t="e">
        <f t="shared" ca="1" si="1"/>
        <v>#DIV/0!</v>
      </c>
      <c r="N65" s="2542" t="s">
        <v>1383</v>
      </c>
      <c r="Z65" s="1750"/>
      <c r="AI65" s="1751"/>
    </row>
    <row r="66" spans="1:35" ht="14.25" customHeight="1">
      <c r="A66" s="173" t="s">
        <v>327</v>
      </c>
      <c r="B66" s="174" t="s">
        <v>1386</v>
      </c>
      <c r="C66" s="2565"/>
      <c r="D66" s="174" t="s">
        <v>26</v>
      </c>
      <c r="E66" s="1336" t="s">
        <v>671</v>
      </c>
      <c r="F66" s="1806"/>
      <c r="G66" s="1806"/>
      <c r="H66" s="1808"/>
      <c r="I66" s="129"/>
      <c r="J66" s="3630"/>
      <c r="K66" s="1330" t="s">
        <v>1387</v>
      </c>
      <c r="L66" s="1330" t="e">
        <f ca="1">M49*0.5%</f>
        <v>#DIV/0!</v>
      </c>
      <c r="M66" s="302" t="e">
        <f ca="1">IF(L66&gt;0.5,0.5,ROUND(L66,0))</f>
        <v>#DIV/0!</v>
      </c>
      <c r="N66" s="2542" t="s">
        <v>1388</v>
      </c>
      <c r="Z66" s="1750"/>
      <c r="AI66" s="1751"/>
    </row>
    <row r="67" spans="1:35" ht="14.25" customHeight="1">
      <c r="A67" s="173" t="s">
        <v>328</v>
      </c>
      <c r="B67" s="174" t="s">
        <v>1389</v>
      </c>
      <c r="C67" s="2566" t="e">
        <f ca="1">C63-C66</f>
        <v>#DIV/0!</v>
      </c>
      <c r="D67" s="170" t="s">
        <v>26</v>
      </c>
      <c r="E67" s="172"/>
      <c r="F67" s="1806"/>
      <c r="G67" s="1806"/>
      <c r="H67" s="1808"/>
      <c r="I67" s="129"/>
      <c r="J67" s="3630"/>
      <c r="K67" s="1330" t="s">
        <v>1390</v>
      </c>
      <c r="L67" s="1330" t="e">
        <f ca="1">IF(M49&gt;=10000,(8.25+(M49-10000)*0.01%),IF(AND(M49&gt;=8000,M49&lt;10000),(7.85+(M49-8000)*0.02%),IF(AND(M49&gt;=5000,M49&lt;8000),(6.65+(M49-5000)*0.04%),IF(AND(M49&gt;=2000,M49&lt;5000),(4.25+(PM49-2000)*0.08%),IF(AND(M49&gt;=1000,M49&lt;2000),(2.75+(M49-1000)*0.15%),IF(AND(M49&gt;=100,M49&lt;1000),(0.5+(M49-100)*0.25%),IF(AND(M49&gt;0,M49&lt;100),M49*0.5%)))))))</f>
        <v>#DIV/0!</v>
      </c>
      <c r="M67" s="302" t="e">
        <f ca="1">ROUND(L67*0.9,1)</f>
        <v>#DIV/0!</v>
      </c>
      <c r="N67" s="2541"/>
      <c r="Z67" s="1750"/>
      <c r="AI67" s="1751"/>
    </row>
    <row r="68" spans="1:35" ht="14.25" customHeight="1" thickBot="1">
      <c r="A68" s="176" t="s">
        <v>329</v>
      </c>
      <c r="B68" s="177" t="s">
        <v>1391</v>
      </c>
      <c r="C68" s="2567" t="e">
        <f ca="1">IF(C67&lt;=0,0,ROUND(C67*D68,0))</f>
        <v>#DIV/0!</v>
      </c>
      <c r="D68" s="2568">
        <f>'数据-取费表'!B41</f>
        <v>5.5000000000000007E-2</v>
      </c>
      <c r="E68" s="178"/>
      <c r="F68" s="1806"/>
      <c r="G68" s="1806"/>
      <c r="H68" s="1808"/>
      <c r="I68" s="129"/>
      <c r="J68" s="3630"/>
      <c r="K68" s="1330" t="s">
        <v>1392</v>
      </c>
      <c r="L68" s="1330" t="e">
        <f ca="1">IF(M49&gt;10000,M49*0.5%,IF(AND(M49&gt;5000,M49&lt;=10000),M49*1%,IF(AND(M49&gt;1000,M49&lt;=5000),M49*2%,IF(AND(M49&gt;200,M49&lt;=1000),M49*3%,M49*5%))))</f>
        <v>#DIV/0!</v>
      </c>
      <c r="M68" s="302" t="e">
        <f ca="1">ROUND(L68,1)</f>
        <v>#DIV/0!</v>
      </c>
      <c r="N68" s="2541"/>
      <c r="Z68" s="1750"/>
      <c r="AI68" s="1751"/>
    </row>
    <row r="69" spans="1:35" s="1770" customFormat="1" ht="16.5" customHeight="1">
      <c r="A69" s="1809"/>
      <c r="B69" s="1810"/>
      <c r="C69" s="1811"/>
      <c r="D69" s="1812"/>
      <c r="E69" s="1813"/>
      <c r="F69" s="1576"/>
      <c r="G69" s="1576"/>
      <c r="H69" s="1575"/>
      <c r="I69" s="1745"/>
      <c r="J69" s="3630"/>
      <c r="K69" s="1330" t="s">
        <v>1393</v>
      </c>
      <c r="L69" s="1330"/>
      <c r="M69" s="302" t="e">
        <f ca="1">ROUND(SUM(M63:M68),0)</f>
        <v>#DIV/0!</v>
      </c>
      <c r="N69" s="2543" t="e">
        <f ca="1">M69/M49</f>
        <v>#DIV/0!</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592" t="s">
        <v>1394</v>
      </c>
      <c r="B70" s="3593"/>
      <c r="C70" s="3593"/>
      <c r="D70" s="3593"/>
      <c r="E70" s="3593"/>
      <c r="F70" s="3593"/>
      <c r="G70" s="3593"/>
      <c r="H70" s="3593"/>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71" t="s">
        <v>1375</v>
      </c>
      <c r="B71" s="3572"/>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#DIV/0!</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#DIV/0!</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66" t="s">
        <v>1402</v>
      </c>
      <c r="F76" s="3540"/>
      <c r="G76" s="3540"/>
      <c r="H76" s="359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#DIV/0!</v>
      </c>
      <c r="D78" s="2575">
        <f>'数据-取费表'!B43</f>
        <v>5.000000000000001E-3</v>
      </c>
      <c r="E78" s="3550" t="s">
        <v>1406</v>
      </c>
      <c r="F78" s="3551"/>
      <c r="G78" s="3551"/>
      <c r="H78" s="3560"/>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#DIV/0!</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#DIV/0!</v>
      </c>
      <c r="D80" s="170" t="s">
        <v>26</v>
      </c>
      <c r="E80" s="2322" t="e">
        <f ca="1">IF(C80&gt;=200%,"增值额超过扣除项目金额200%",IF(C80&gt;=100%,"增值额超过扣除项目金额100%，未超过200%",IF(C80&gt;=50%,"增值额超过扣除项目金额50%，未超过100%",IF(C80&lt;50%,"增值额未超过扣除项目金额50%"))))</f>
        <v>#DIV/0!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#DIV/0!</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592" t="s">
        <v>1410</v>
      </c>
      <c r="B83" s="3593"/>
      <c r="C83" s="3593"/>
      <c r="D83" s="3593"/>
      <c r="E83" s="3593"/>
      <c r="F83" s="3593"/>
      <c r="G83" s="3593"/>
      <c r="H83" s="359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71" t="s">
        <v>1375</v>
      </c>
      <c r="B84" s="3572"/>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#DIV/0!</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#DIV/0!</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32" t="s">
        <v>2128</v>
      </c>
      <c r="H90" s="3633"/>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50" t="s">
        <v>1419</v>
      </c>
      <c r="F91" s="3551"/>
      <c r="G91" s="3551"/>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50" t="s">
        <v>1422</v>
      </c>
      <c r="F92" s="3551"/>
      <c r="G92" s="3551"/>
      <c r="H92" s="3560"/>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#DIV/0!</v>
      </c>
      <c r="D93" s="2575">
        <f>'数据-取费表'!B43</f>
        <v>5.000000000000001E-3</v>
      </c>
      <c r="E93" s="3550" t="s">
        <v>1406</v>
      </c>
      <c r="F93" s="3551"/>
      <c r="G93" s="3551"/>
      <c r="H93" s="3560"/>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61" t="s">
        <v>1426</v>
      </c>
      <c r="F94" s="3562"/>
      <c r="G94" s="3562"/>
      <c r="H94" s="3563"/>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#DIV/0!</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#DIV/0!</v>
      </c>
      <c r="D96" s="170" t="s">
        <v>26</v>
      </c>
      <c r="E96" s="2322" t="e">
        <f ca="1">IF(C96&gt;=200%,"增值额超过扣除项目金额200%",IF(C96&gt;=100%,"增值额超过扣除项目金额100%，未超过200%",IF(C96&gt;=50%,"增值额超过扣除项目金额50%，未超过100%",IF(C96&lt;50%,"增值额未超过扣除项目金额50%"))))</f>
        <v>#DIV/0!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#DIV/0!</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比较法-商业</v>
      </c>
      <c r="D101" s="2584" t="str">
        <f>D4</f>
        <v>比较法-商业</v>
      </c>
      <c r="E101" s="3627" t="s">
        <v>1431</v>
      </c>
      <c r="F101" s="3584"/>
      <c r="G101" s="1825" t="s">
        <v>1432</v>
      </c>
      <c r="H101" s="2593" t="e">
        <f ca="1">H118</f>
        <v>#DIV/0!</v>
      </c>
      <c r="I101" s="129"/>
    </row>
    <row r="102" spans="1:35" ht="18.75" customHeight="1">
      <c r="A102" s="3586" t="s">
        <v>1433</v>
      </c>
      <c r="B102" s="2582" t="s">
        <v>1432</v>
      </c>
      <c r="C102" s="2583" t="e">
        <f ca="1">IF(D32="楼面单价",ROUND(C19,0),C19)</f>
        <v>#DIV/0!</v>
      </c>
      <c r="D102" s="2584" t="e">
        <f ca="1">IF(D32="楼面单价",ROUND(D19,0),D19)</f>
        <v>#DIV/0!</v>
      </c>
      <c r="E102" s="3627"/>
      <c r="F102" s="3584"/>
      <c r="G102" s="1825" t="s">
        <v>1434</v>
      </c>
      <c r="H102" s="2553" t="e">
        <f ca="1">I118</f>
        <v>#DIV/0!</v>
      </c>
      <c r="I102" s="129"/>
    </row>
    <row r="103" spans="1:35" ht="42.75" customHeight="1">
      <c r="A103" s="3586"/>
      <c r="B103" s="2582" t="s">
        <v>1434</v>
      </c>
      <c r="C103" s="2585" t="e">
        <f ca="1">C20</f>
        <v>#DIV/0!</v>
      </c>
      <c r="D103" s="2586" t="e">
        <f ca="1">D20</f>
        <v>#DIV/0!</v>
      </c>
      <c r="E103" s="3621" t="s">
        <v>1435</v>
      </c>
      <c r="F103" s="3622"/>
      <c r="G103" s="1826" t="s">
        <v>1436</v>
      </c>
      <c r="H103" s="2593">
        <f>IF(D36="正常操作",H104+H105+H106,H105+H106)</f>
        <v>0</v>
      </c>
      <c r="I103" s="129"/>
    </row>
    <row r="104" spans="1:35" ht="18.75" customHeight="1">
      <c r="A104" s="3586" t="s">
        <v>1437</v>
      </c>
      <c r="B104" s="2587" t="s">
        <v>1432</v>
      </c>
      <c r="C104" s="2588" t="e">
        <f ca="1">H118</f>
        <v>#DIV/0!</v>
      </c>
      <c r="D104" s="2589"/>
      <c r="E104" s="1672" t="s">
        <v>1438</v>
      </c>
      <c r="F104" s="1664"/>
      <c r="G104" s="1826" t="s">
        <v>1436</v>
      </c>
      <c r="H104" s="2594">
        <f>IF(D36="同一抵押权人同一抵押物续贷",C36&amp;"（续贷，未扣减，详见特别提示）",C36)</f>
        <v>0</v>
      </c>
      <c r="I104" s="129"/>
    </row>
    <row r="105" spans="1:35" ht="18.75" customHeight="1" thickBot="1">
      <c r="A105" s="3587"/>
      <c r="B105" s="2590" t="s">
        <v>1434</v>
      </c>
      <c r="C105" s="2591" t="e">
        <f ca="1">I118</f>
        <v>#DIV/0!</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583" t="str">
        <f>IF(项目基本情况!E8="已注销","——","3.房地产抵押价值")</f>
        <v>3.房地产抵押价值</v>
      </c>
      <c r="F107" s="3584"/>
      <c r="G107" s="1825" t="s">
        <v>1432</v>
      </c>
      <c r="H107" s="2593" t="e">
        <f ca="1">IF(E107="——","——",H101-H103)</f>
        <v>#DIV/0!</v>
      </c>
      <c r="I107" s="129"/>
    </row>
    <row r="108" spans="1:35" ht="18.75" customHeight="1">
      <c r="A108" s="129"/>
      <c r="B108" s="129"/>
      <c r="C108" s="129"/>
      <c r="D108" s="129"/>
      <c r="E108" s="3583"/>
      <c r="F108" s="3584"/>
      <c r="G108" s="1825" t="s">
        <v>1434</v>
      </c>
      <c r="H108" s="2553" t="e">
        <f ca="1">IF(H107=H101,H102,ROUND(H107*10000/'数据-汇总表'!E3,0))</f>
        <v>#DIV/0!</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5" t="s">
        <v>1432</v>
      </c>
      <c r="H109" s="2596" t="str">
        <f>IF(E109="——","——",H101-H105-H106)</f>
        <v>——</v>
      </c>
      <c r="I109" s="129"/>
    </row>
    <row r="110" spans="1:35" ht="18.75" customHeight="1">
      <c r="A110" s="129"/>
      <c r="B110" s="129"/>
      <c r="C110" s="129"/>
      <c r="D110" s="129"/>
      <c r="E110" s="3583"/>
      <c r="F110" s="3584"/>
      <c r="G110" s="1825"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5" t="s">
        <v>1432</v>
      </c>
      <c r="H111" s="2593" t="str">
        <f>IF(E111="——","——",N59)</f>
        <v>——</v>
      </c>
      <c r="I111" s="129"/>
    </row>
    <row r="112" spans="1:35" ht="18.75" customHeight="1" thickBot="1">
      <c r="A112" s="129"/>
      <c r="B112" s="129"/>
      <c r="C112" s="129"/>
      <c r="D112" s="129"/>
      <c r="E112" s="3616"/>
      <c r="F112" s="3617"/>
      <c r="G112" s="1828"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5"/>
      <c r="B114" s="1745"/>
      <c r="C114" s="1745"/>
      <c r="D114" s="1745"/>
      <c r="E114" s="1807"/>
      <c r="F114" s="1807"/>
      <c r="G114" s="1807"/>
      <c r="H114" s="1807"/>
      <c r="I114" s="1745"/>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7" t="s">
        <v>1449</v>
      </c>
      <c r="E117" s="2327" t="s">
        <v>1450</v>
      </c>
      <c r="F117" s="2327" t="s">
        <v>1449</v>
      </c>
      <c r="G117" s="2327" t="s">
        <v>1451</v>
      </c>
      <c r="H117" s="2327" t="s">
        <v>1449</v>
      </c>
      <c r="I117" s="2327" t="s">
        <v>1451</v>
      </c>
    </row>
    <row r="118" spans="1:27" ht="24.75" customHeight="1">
      <c r="A118" s="2598" t="str">
        <f>项目基本情况!S2</f>
        <v>房地产</v>
      </c>
      <c r="B118" s="2327">
        <f>M18</f>
        <v>54.47</v>
      </c>
      <c r="C118" s="2327">
        <f>M19</f>
        <v>0</v>
      </c>
      <c r="D118" s="2327" t="e">
        <f ca="1">ROUND(IF(D32="总价",C34,E118*B118/10000),0)</f>
        <v>#DIV/0!</v>
      </c>
      <c r="E118" s="2327" t="e">
        <f ca="1">ROUND(IF(C33="自定义",IF(D32="楼面单价",C34,D118*10000/B118),I118-G118),0)</f>
        <v>#DIV/0!</v>
      </c>
      <c r="F118" s="2327" t="e">
        <f ca="1">ROUND(IF(D32="总价",C35,G118*B118/10000),0)</f>
        <v>#DIV/0!</v>
      </c>
      <c r="G118" s="2327" t="e">
        <f ca="1">ROUND(IF(D32="楼面单价",C35,F118*10000/B118),0)</f>
        <v>#DIV/0!</v>
      </c>
      <c r="H118" s="2327" t="e">
        <f ca="1">ROUND(IF(D32="总价",C32,I118*B118/10000),0)</f>
        <v>#DIV/0!</v>
      </c>
      <c r="I118" s="2327" t="e">
        <f ca="1">ROUND(IF(D32="楼面单价",C32,H118*10000/B118),0)</f>
        <v>#DIV/0!</v>
      </c>
    </row>
    <row r="119" spans="1:27" ht="18.75" customHeight="1">
      <c r="A119" s="3554" t="s">
        <v>1452</v>
      </c>
      <c r="B119" s="3554"/>
      <c r="C119" s="3554"/>
      <c r="D119" s="3594" t="e">
        <f ca="1">NUMBERSTRING(INT(D118*10000),2)&amp;"元整"</f>
        <v>#DIV/0!</v>
      </c>
      <c r="E119" s="3596"/>
      <c r="F119" s="3594" t="e">
        <f ca="1">NUMBERSTRING(INT(F118*10000),2)&amp;"元整"</f>
        <v>#DIV/0!</v>
      </c>
      <c r="G119" s="3596"/>
      <c r="H119" s="3594" t="e">
        <f ca="1">NUMBERSTRING(INT(H118*10000),2)&amp;"元整"</f>
        <v>#DIV/0!</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594" t="s">
        <v>1452</v>
      </c>
      <c r="B121" s="3595"/>
      <c r="C121" s="3596"/>
      <c r="D121" s="3594" t="str">
        <f>IF(D120=0,"零元整",NUMBERSTRING(INT(D120*10000),2)&amp;"元整")</f>
        <v>零元整</v>
      </c>
      <c r="E121" s="3595"/>
      <c r="F121" s="3595"/>
      <c r="G121" s="3595"/>
      <c r="H121" s="3595"/>
      <c r="I121" s="3596"/>
      <c r="AA121" s="723"/>
    </row>
    <row r="122" spans="1:27" ht="18.75" customHeight="1">
      <c r="A122" s="3585" t="str">
        <f>IF(项目基本情况!B9="房地产市场价值","",MID(E107,3,LEN(E107)-2))</f>
        <v>房地产抵押价值</v>
      </c>
      <c r="B122" s="3585"/>
      <c r="C122" s="3585"/>
      <c r="D122" s="3618" t="e">
        <f ca="1">H107</f>
        <v>#DIV/0!</v>
      </c>
      <c r="E122" s="3619"/>
      <c r="F122" s="3619"/>
      <c r="G122" s="3619"/>
      <c r="H122" s="3619"/>
      <c r="I122" s="3620"/>
      <c r="AA122" s="723"/>
    </row>
    <row r="123" spans="1:27" ht="18.75" customHeight="1">
      <c r="A123" s="3554" t="s">
        <v>1452</v>
      </c>
      <c r="B123" s="3554"/>
      <c r="C123" s="3554"/>
      <c r="D123" s="3594" t="e">
        <f ca="1">NUMBERSTRING(INT(D122*10000),2)&amp;"元整"</f>
        <v>#DIV/0!</v>
      </c>
      <c r="E123" s="3595"/>
      <c r="F123" s="3595"/>
      <c r="G123" s="3595"/>
      <c r="H123" s="3595"/>
      <c r="I123" s="3596"/>
      <c r="AA123" s="723"/>
    </row>
    <row r="124" spans="1:27" ht="18.75" customHeight="1">
      <c r="A124" s="3585" t="str">
        <f>IF(项目基本情况!B9="房地产市场价值","",MID(E109,3,LEN(E109)-2))</f>
        <v/>
      </c>
      <c r="B124" s="3585"/>
      <c r="C124" s="3585"/>
      <c r="D124" s="3618" t="str">
        <f>H109</f>
        <v>——</v>
      </c>
      <c r="E124" s="3619"/>
      <c r="F124" s="3619"/>
      <c r="G124" s="3619"/>
      <c r="H124" s="3619"/>
      <c r="I124" s="3620"/>
      <c r="AA124" s="723"/>
    </row>
    <row r="125" spans="1:27" ht="18.75" customHeight="1">
      <c r="A125" s="3554" t="s">
        <v>1452</v>
      </c>
      <c r="B125" s="3554"/>
      <c r="C125" s="3554"/>
      <c r="D125" s="3594" t="e">
        <f>NUMBERSTRING(INT(D124*10000),2)&amp;"元整"</f>
        <v>#VALUE!</v>
      </c>
      <c r="E125" s="3595"/>
      <c r="F125" s="3595"/>
      <c r="G125" s="3595"/>
      <c r="H125" s="3595"/>
      <c r="I125" s="3596"/>
      <c r="AA125" s="723"/>
    </row>
    <row r="126" spans="1:27" ht="18.75" customHeight="1">
      <c r="A126" s="3585" t="str">
        <f>IF(项目基本情况!B9="房地产市场价值","",MID(E111,3,LEN(E111)-2))</f>
        <v/>
      </c>
      <c r="B126" s="3585"/>
      <c r="C126" s="3585"/>
      <c r="D126" s="3618" t="str">
        <f>H111</f>
        <v>——</v>
      </c>
      <c r="E126" s="3619"/>
      <c r="F126" s="3619"/>
      <c r="G126" s="3619"/>
      <c r="H126" s="3619"/>
      <c r="I126" s="3620"/>
      <c r="AA126" s="723"/>
    </row>
    <row r="127" spans="1:27" ht="18.75" customHeight="1">
      <c r="A127" s="3554" t="s">
        <v>1452</v>
      </c>
      <c r="B127" s="3554"/>
      <c r="C127" s="3554"/>
      <c r="D127" s="3594" t="e">
        <f>NUMBERSTRING(INT(D126*10000),2)&amp;"元整"</f>
        <v>#VALUE!</v>
      </c>
      <c r="E127" s="3595"/>
      <c r="F127" s="3595"/>
      <c r="G127" s="3595"/>
      <c r="H127" s="3595"/>
      <c r="I127" s="3596"/>
      <c r="AA127" s="723"/>
    </row>
    <row r="128" spans="1:27" ht="21.75" customHeight="1">
      <c r="A128" s="3601" t="s">
        <v>1453</v>
      </c>
      <c r="B128" s="3601"/>
      <c r="C128" s="3601"/>
      <c r="D128" s="3601"/>
      <c r="E128" s="3601"/>
      <c r="F128" s="3601"/>
      <c r="G128" s="3601"/>
      <c r="H128" s="3601"/>
      <c r="I128" s="3601"/>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14695</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2697815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10894</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IF(G8="已包含在土地购买价格中","0",IF(B1="",'数据-取费表'!B29,IF(G9="全部缴纳",C9+C10,H9)))</f>
        <v>10894</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0</v>
      </c>
      <c r="F9" s="221"/>
      <c r="G9" s="1855"/>
      <c r="H9" s="1135"/>
      <c r="I9" s="1856" t="s">
        <v>1479</v>
      </c>
    </row>
    <row r="10" spans="1:9" s="214" customFormat="1" ht="13.5" customHeight="1">
      <c r="A10" s="777" t="s">
        <v>356</v>
      </c>
      <c r="B10" s="224" t="s">
        <v>1480</v>
      </c>
      <c r="C10" s="225">
        <f ca="1">ROUND(D10*E10/10000,0)</f>
        <v>1</v>
      </c>
      <c r="D10" s="843">
        <f ca="1">IF(B1="",'数据-汇总表'!E6,IF(INDIRECT("'数据-取费表'!c"&amp;$G$1)="住宅",INDIRECT("'数据-取费表'!s"&amp;$G$1),INDIRECT("'数据-取费表'!k"&amp;$G$1)+INDIRECT("'数据-取费表'!s"&amp;$G$1)))</f>
        <v>54.47</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1</v>
      </c>
      <c r="D19" s="847">
        <f ca="1">D9+D10</f>
        <v>54.47</v>
      </c>
      <c r="E19" s="211">
        <f>'数据-取费表'!B31</f>
        <v>200</v>
      </c>
      <c r="F19" s="231"/>
      <c r="G19" s="1854"/>
    </row>
    <row r="20" spans="1:7" s="214" customFormat="1" ht="13.5" customHeight="1">
      <c r="A20" s="255" t="s">
        <v>1493</v>
      </c>
      <c r="B20" s="210" t="s">
        <v>1494</v>
      </c>
      <c r="C20" s="232">
        <f ca="1">ROUND((C5+C19)*F20,0)</f>
        <v>218</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773</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765</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8</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1667</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ROUND((C5+C19+C20)*F27*'数据-取费表'!B21/'数据-取费表'!B20,0)</f>
        <v>1667</v>
      </c>
      <c r="D28" s="235"/>
      <c r="E28" s="236"/>
      <c r="F28" s="246"/>
      <c r="G28" s="247"/>
    </row>
    <row r="29" spans="1:7" s="214" customFormat="1" ht="13.5" customHeight="1">
      <c r="A29" s="778"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14669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21</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19</v>
      </c>
      <c r="D34" s="217"/>
      <c r="E34" s="220"/>
      <c r="F34" s="257">
        <f ca="1">IF('数据-取费表'!B24=0,1,IF(B1="",'数据-取费表'!N16,INDIRECT("'数据-取费表'!n"&amp;$G$1)))</f>
        <v>1</v>
      </c>
      <c r="G34" s="219" t="s">
        <v>1526</v>
      </c>
    </row>
    <row r="35" spans="1:7" ht="13.5" customHeight="1">
      <c r="A35" s="778" t="s">
        <v>351</v>
      </c>
      <c r="B35" s="215" t="s">
        <v>1527</v>
      </c>
      <c r="C35" s="220">
        <f ca="1">ROUND(C34*F35,0)</f>
        <v>1</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78" t="s">
        <v>353</v>
      </c>
      <c r="B37" s="215" t="s">
        <v>1531</v>
      </c>
      <c r="C37" s="249">
        <f ca="1">ROUND(E37*D37*F34/10000,0)</f>
        <v>1</v>
      </c>
      <c r="D37" s="217">
        <f ca="1">D19</f>
        <v>54.47</v>
      </c>
      <c r="E37" s="249">
        <f>'数据-取费表'!B35</f>
        <v>180</v>
      </c>
      <c r="F37" s="259"/>
      <c r="G37" s="261" t="s">
        <v>1532</v>
      </c>
    </row>
    <row r="38" spans="1:7" ht="13.5" customHeight="1">
      <c r="A38" s="778" t="s">
        <v>354</v>
      </c>
      <c r="B38" s="215" t="s">
        <v>1533</v>
      </c>
      <c r="C38" s="220">
        <f ca="1">ROUND(C34*F38,0)</f>
        <v>0</v>
      </c>
      <c r="D38" s="220"/>
      <c r="E38" s="220"/>
      <c r="F38" s="259">
        <f>'数据-取费表'!B36</f>
        <v>0.02</v>
      </c>
      <c r="G38" s="219" t="s">
        <v>1528</v>
      </c>
    </row>
    <row r="39" spans="1:7" s="214" customFormat="1" ht="13.5" customHeight="1">
      <c r="A39" s="255" t="s">
        <v>1534</v>
      </c>
      <c r="B39" s="210" t="s">
        <v>1535</v>
      </c>
      <c r="C39" s="232">
        <f ca="1">ROUND(C33*F20,0)</f>
        <v>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1</v>
      </c>
      <c r="D42" s="238"/>
      <c r="E42" s="238"/>
      <c r="F42" s="239"/>
      <c r="G42" s="3634" t="s">
        <v>1544</v>
      </c>
    </row>
    <row r="43" spans="1:7" ht="13.5" customHeight="1">
      <c r="A43" s="778" t="s">
        <v>347</v>
      </c>
      <c r="B43" s="215" t="s">
        <v>1545</v>
      </c>
      <c r="C43" s="238">
        <f ca="1">ROUND(IF('数据-取费表'!B22&lt;=1,C39*F22*'数据-取费表'!B21/2,C39*(POWER((1+F22),'数据-取费表'!B21/2)-1)),0)</f>
        <v>0</v>
      </c>
      <c r="D43" s="238"/>
      <c r="E43" s="238"/>
      <c r="F43" s="239"/>
      <c r="G43" s="3635"/>
    </row>
    <row r="44" spans="1:7" ht="13.5" customHeight="1">
      <c r="A44" s="778"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3</v>
      </c>
      <c r="D45" s="235">
        <f ca="1">C47</f>
        <v>3.0000000000000001E-3</v>
      </c>
      <c r="E45" s="236" t="s">
        <v>1539</v>
      </c>
      <c r="F45" s="246">
        <f ca="1">F27</f>
        <v>0.15</v>
      </c>
      <c r="G45" s="247" t="s">
        <v>1548</v>
      </c>
    </row>
    <row r="46" spans="1:7" s="214" customFormat="1" ht="13.5" customHeight="1">
      <c r="A46" s="778" t="s">
        <v>346</v>
      </c>
      <c r="B46" s="248" t="s">
        <v>1549</v>
      </c>
      <c r="C46" s="249">
        <f ca="1">ROUND((C33+C39)*F27,0)</f>
        <v>3</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27</v>
      </c>
      <c r="D49" s="232"/>
      <c r="E49" s="232"/>
      <c r="F49" s="264"/>
      <c r="G49" s="234" t="s">
        <v>1554</v>
      </c>
    </row>
    <row r="50" spans="1:7" s="258" customFormat="1" ht="24">
      <c r="A50" s="255" t="s">
        <v>1555</v>
      </c>
      <c r="B50" s="210" t="s">
        <v>1556</v>
      </c>
      <c r="C50" s="232"/>
      <c r="D50" s="232"/>
      <c r="E50" s="232"/>
      <c r="F50" s="264">
        <f>IF('数据-取费表'!B24=0,'数据-取费表'!N16,1)</f>
        <v>0.97</v>
      </c>
      <c r="G50" s="247" t="s">
        <v>1557</v>
      </c>
    </row>
    <row r="51" spans="1:7" ht="16.5" customHeight="1">
      <c r="A51" s="255" t="s">
        <v>1558</v>
      </c>
      <c r="B51" s="210" t="s">
        <v>1559</v>
      </c>
      <c r="C51" s="232">
        <f ca="1">ROUND(C49*F50,0)</f>
        <v>26</v>
      </c>
      <c r="D51" s="232"/>
      <c r="E51" s="232"/>
      <c r="F51" s="264"/>
      <c r="G51" s="234" t="s">
        <v>1560</v>
      </c>
    </row>
    <row r="52" spans="1:7" s="208" customFormat="1" ht="16.5" thickBot="1">
      <c r="A52" s="265" t="s">
        <v>1561</v>
      </c>
      <c r="B52" s="266"/>
      <c r="C52" s="267">
        <f ca="1">C31+C51</f>
        <v>14695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51" t="str">
        <f>项目基本情况!B1</f>
        <v>房地产抵押价值预评估</v>
      </c>
      <c r="C37" s="3451"/>
      <c r="D37" s="3451"/>
      <c r="E37" s="3451"/>
      <c r="F37" s="3451"/>
      <c r="G37" s="3451"/>
      <c r="H37" s="3451"/>
      <c r="I37" s="3451"/>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c r="C1" s="1857" t="s">
        <v>1563</v>
      </c>
      <c r="D1" s="198"/>
      <c r="E1" s="198"/>
      <c r="F1" s="198"/>
      <c r="G1" s="1124">
        <f>MATCH(B1,'数据-取费表'!A6:A16,0)+5</f>
        <v>7</v>
      </c>
      <c r="H1" s="1059" t="str">
        <f>IF(ISERROR(FIND("住宅",B1)),"非住宅","住宅")</f>
        <v>非住宅</v>
      </c>
    </row>
    <row r="2" spans="1:8" s="200" customFormat="1" ht="18" customHeight="1">
      <c r="A2" s="201" t="s">
        <v>1462</v>
      </c>
      <c r="B2" s="3422">
        <f ca="1">ROUND(IF(D2="——",C52/10000,C52/10000-E2),4)</f>
        <v>29.569199999999999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5429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10894</v>
      </c>
      <c r="D5" s="211" t="s">
        <v>1469</v>
      </c>
      <c r="E5" s="212" t="s">
        <v>1470</v>
      </c>
      <c r="F5" s="212" t="s">
        <v>1471</v>
      </c>
      <c r="G5" s="213"/>
    </row>
    <row r="6" spans="1:8" s="214" customFormat="1" ht="13.5" customHeight="1">
      <c r="A6" s="776" t="s">
        <v>1472</v>
      </c>
      <c r="B6" s="215" t="s">
        <v>1473</v>
      </c>
      <c r="C6" s="216"/>
      <c r="D6" s="217"/>
      <c r="E6" s="218"/>
      <c r="F6" s="218"/>
      <c r="G6" s="219"/>
    </row>
    <row r="7" spans="1:8" s="214" customFormat="1" ht="13.5" customHeight="1">
      <c r="A7" s="776" t="s">
        <v>1474</v>
      </c>
      <c r="B7" s="215" t="s">
        <v>1475</v>
      </c>
      <c r="C7" s="220">
        <f>ROUND(C6*F7,0)</f>
        <v>0</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10894</v>
      </c>
      <c r="D8" s="222"/>
      <c r="E8" s="220"/>
      <c r="F8" s="221"/>
      <c r="G8" s="1854"/>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1480</v>
      </c>
      <c r="C10" s="225">
        <f ca="1">ROUND(D10*E10,0)</f>
        <v>10894</v>
      </c>
      <c r="D10" s="843">
        <f ca="1">IF(B1="",'数据-汇总表'!E6,IF(INDIRECT("'数据-取费表'!c"&amp;$G$1)="住宅",INDIRECT("'数据-取费表'!s"&amp;$G$1),INDIRECT("'数据-取费表'!k"&amp;$G$1)+INDIRECT("'数据-取费表'!s"&amp;$G$1)))</f>
        <v>54.47</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f ca="1">IF(G19="已包含在土地取得成本中","0",ROUND(D19*E19,0))</f>
        <v>10894</v>
      </c>
      <c r="D19" s="847">
        <f ca="1">D9+D10</f>
        <v>54.47</v>
      </c>
      <c r="E19" s="211">
        <f>'数据-取费表'!B31</f>
        <v>200</v>
      </c>
      <c r="F19" s="231"/>
      <c r="G19" s="1854"/>
    </row>
    <row r="20" spans="1:7" s="214" customFormat="1" ht="13.5" customHeight="1">
      <c r="A20" s="255" t="s">
        <v>1574</v>
      </c>
      <c r="B20" s="210" t="s">
        <v>1575</v>
      </c>
      <c r="C20" s="232">
        <f ca="1">ROUND((C5+C19)*F20,0)</f>
        <v>436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1545</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765</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765</v>
      </c>
      <c r="D24" s="238"/>
      <c r="E24" s="238"/>
      <c r="F24" s="239"/>
      <c r="G24" s="240" t="s">
        <v>1586</v>
      </c>
    </row>
    <row r="25" spans="1:7" s="214" customFormat="1" ht="24">
      <c r="A25" s="778" t="s">
        <v>1476</v>
      </c>
      <c r="B25" s="215" t="s">
        <v>1587</v>
      </c>
      <c r="C25" s="1126">
        <f ca="1">ROUND(IF('数据-取费表'!B22&lt;=1,C20*F22*'数据-取费表'!B22/2,C20*(POWER((1+F22),'数据-取费表'!B22/2)-1)),0)</f>
        <v>15</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3334</v>
      </c>
      <c r="D27" s="235">
        <f ca="1">C29</f>
        <v>3.0000000000000001E-3</v>
      </c>
      <c r="E27" s="236" t="s">
        <v>1514</v>
      </c>
      <c r="F27" s="246">
        <f ca="1">IF(B1="",'数据-取费表'!Q16,INDIRECT("'数据-取费表'!q"&amp;$G$1))</f>
        <v>0.15</v>
      </c>
      <c r="G27" s="247" t="s">
        <v>1515</v>
      </c>
    </row>
    <row r="28" spans="1:7" s="214" customFormat="1" ht="13.5" customHeight="1">
      <c r="A28" s="778" t="s">
        <v>346</v>
      </c>
      <c r="B28" s="248" t="s">
        <v>1516</v>
      </c>
      <c r="C28" s="249">
        <f ca="1">ROUND((C5+C19+C20)*F27,0)</f>
        <v>3334</v>
      </c>
      <c r="D28" s="235"/>
      <c r="E28" s="236"/>
      <c r="F28" s="246"/>
      <c r="G28" s="247"/>
    </row>
    <row r="29" spans="1:7" s="214" customFormat="1" ht="13.5" customHeight="1">
      <c r="A29" s="778"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29335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209982</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190645</v>
      </c>
      <c r="D34" s="217"/>
      <c r="E34" s="220"/>
      <c r="F34" s="257"/>
      <c r="G34" s="219"/>
    </row>
    <row r="35" spans="1:7" ht="13.5" customHeight="1">
      <c r="A35" s="778" t="s">
        <v>351</v>
      </c>
      <c r="B35" s="215" t="s">
        <v>1527</v>
      </c>
      <c r="C35" s="220">
        <f ca="1">ROUND(C34*F35,0)</f>
        <v>5719</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78" t="s">
        <v>353</v>
      </c>
      <c r="B37" s="215" t="s">
        <v>1531</v>
      </c>
      <c r="C37" s="249">
        <f ca="1">ROUND(E37*D37,0)</f>
        <v>9805</v>
      </c>
      <c r="D37" s="217">
        <f ca="1">D19</f>
        <v>54.47</v>
      </c>
      <c r="E37" s="249">
        <f>'数据-取费表'!B35</f>
        <v>180</v>
      </c>
      <c r="F37" s="259"/>
      <c r="G37" s="261"/>
    </row>
    <row r="38" spans="1:7" ht="13.5" customHeight="1">
      <c r="A38" s="778" t="s">
        <v>354</v>
      </c>
      <c r="B38" s="215" t="s">
        <v>1533</v>
      </c>
      <c r="C38" s="220">
        <f ca="1">ROUND(C34*F38,0)</f>
        <v>3813</v>
      </c>
      <c r="D38" s="220"/>
      <c r="E38" s="220"/>
      <c r="F38" s="259">
        <f>'数据-取费表'!B36</f>
        <v>0.02</v>
      </c>
      <c r="G38" s="219" t="s">
        <v>1528</v>
      </c>
    </row>
    <row r="39" spans="1:7" s="214" customFormat="1" ht="13.5" customHeight="1">
      <c r="A39" s="255" t="s">
        <v>1534</v>
      </c>
      <c r="B39" s="210" t="s">
        <v>1535</v>
      </c>
      <c r="C39" s="232">
        <f ca="1">ROUND(C33*F20,0)</f>
        <v>4200</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7389</v>
      </c>
      <c r="D41" s="235">
        <f ca="1">C44</f>
        <v>6.9999999999999999E-4</v>
      </c>
      <c r="E41" s="236" t="s">
        <v>1539</v>
      </c>
      <c r="F41" s="237">
        <f ca="1">F22</f>
        <v>3.4500000000000003E-2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7244</v>
      </c>
      <c r="D42" s="238"/>
      <c r="E42" s="238"/>
      <c r="F42" s="239"/>
      <c r="G42" s="3634" t="s">
        <v>1591</v>
      </c>
    </row>
    <row r="43" spans="1:7" ht="13.5" customHeight="1">
      <c r="A43" s="778" t="s">
        <v>347</v>
      </c>
      <c r="B43" s="215" t="s">
        <v>1545</v>
      </c>
      <c r="C43" s="238">
        <f ca="1">ROUND(IF('数据-取费表'!B22&lt;=1,C39*F22*'数据-取费表'!B20/2,C39*(POWER((1+F22),'数据-取费表'!B20/2)-1)),0)</f>
        <v>145</v>
      </c>
      <c r="D43" s="238"/>
      <c r="E43" s="238"/>
      <c r="F43" s="239"/>
      <c r="G43" s="3635"/>
    </row>
    <row r="44" spans="1:7" ht="13.5" customHeight="1">
      <c r="A44" s="778"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32127</v>
      </c>
      <c r="D45" s="235">
        <f ca="1">C47</f>
        <v>3.0000000000000001E-3</v>
      </c>
      <c r="E45" s="236" t="s">
        <v>1539</v>
      </c>
      <c r="F45" s="246">
        <f ca="1">F27</f>
        <v>0.15</v>
      </c>
      <c r="G45" s="247" t="s">
        <v>1548</v>
      </c>
    </row>
    <row r="46" spans="1:7" s="214" customFormat="1" ht="13.5" customHeight="1">
      <c r="A46" s="778" t="s">
        <v>346</v>
      </c>
      <c r="B46" s="248" t="s">
        <v>1549</v>
      </c>
      <c r="C46" s="249">
        <f ca="1">ROUND((C33+C39)*F27,0)</f>
        <v>32127</v>
      </c>
      <c r="D46" s="263"/>
      <c r="E46" s="236"/>
      <c r="F46" s="246"/>
      <c r="G46" s="247"/>
    </row>
    <row r="47" spans="1:7" s="214" customFormat="1" ht="13.5" customHeight="1">
      <c r="A47" s="778"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274595</v>
      </c>
      <c r="D49" s="232"/>
      <c r="E49" s="232"/>
      <c r="F49" s="264"/>
      <c r="G49" s="234" t="s">
        <v>1554</v>
      </c>
    </row>
    <row r="50" spans="1:7" s="258" customFormat="1">
      <c r="A50" s="255" t="s">
        <v>1555</v>
      </c>
      <c r="B50" s="210" t="s">
        <v>1556</v>
      </c>
      <c r="C50" s="232"/>
      <c r="D50" s="232"/>
      <c r="E50" s="232"/>
      <c r="F50" s="264">
        <f>IF('数据-取费表'!B24=0,'数据-取费表'!N16,1)</f>
        <v>0.97</v>
      </c>
      <c r="G50" s="247"/>
    </row>
    <row r="51" spans="1:7" ht="16.5" customHeight="1">
      <c r="A51" s="255" t="s">
        <v>1558</v>
      </c>
      <c r="B51" s="210" t="s">
        <v>1593</v>
      </c>
      <c r="C51" s="232">
        <f ca="1">ROUND(C49*F50,0)</f>
        <v>266357</v>
      </c>
      <c r="D51" s="232"/>
      <c r="E51" s="232"/>
      <c r="F51" s="264"/>
      <c r="G51" s="234" t="s">
        <v>1560</v>
      </c>
    </row>
    <row r="52" spans="1:7" s="208" customFormat="1" ht="16.5" thickBot="1">
      <c r="A52" s="265" t="s">
        <v>1561</v>
      </c>
      <c r="B52" s="266"/>
      <c r="C52" s="267">
        <f ca="1">C31+C51</f>
        <v>295692</v>
      </c>
      <c r="D52" s="266"/>
      <c r="E52" s="266"/>
      <c r="F52" s="266"/>
      <c r="G52" s="268"/>
    </row>
    <row r="55" spans="1:7" ht="15">
      <c r="B55" s="270" t="s">
        <v>1562</v>
      </c>
      <c r="C55" s="271"/>
    </row>
    <row r="56" spans="1:7">
      <c r="B56" s="273" t="s">
        <v>802</v>
      </c>
      <c r="C56" s="275">
        <f ca="1">1-C57</f>
        <v>9.8999999999999977E-2</v>
      </c>
    </row>
    <row r="57" spans="1:7">
      <c r="B57" s="273" t="s">
        <v>803</v>
      </c>
      <c r="C57" s="274">
        <f ca="1">ROUND(C51/C52,3)</f>
        <v>0.90100000000000002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4"/>
      <c r="F1" s="2804"/>
      <c r="G1" s="2669"/>
      <c r="H1" s="2804"/>
      <c r="I1" s="2804"/>
      <c r="J1" s="2804"/>
      <c r="K1" s="2805">
        <f>MATCH(C1,'数据-取费表'!A6:A16,0)+5</f>
        <v>7</v>
      </c>
    </row>
    <row r="2" spans="1:33" ht="18" customHeight="1">
      <c r="A2" s="201" t="s">
        <v>1462</v>
      </c>
      <c r="B2" s="204">
        <f ca="1">C32</f>
        <v>12418</v>
      </c>
      <c r="C2" s="276" t="s">
        <v>1595</v>
      </c>
      <c r="D2" s="276"/>
      <c r="E2" s="2804"/>
      <c r="F2" s="2804"/>
      <c r="G2" s="2804"/>
      <c r="H2" s="2804"/>
      <c r="I2" s="2804"/>
      <c r="J2" s="2804"/>
      <c r="K2" s="2804"/>
    </row>
    <row r="3" spans="1:33" ht="18" customHeight="1" thickBot="1">
      <c r="A3" s="203" t="s">
        <v>1464</v>
      </c>
      <c r="B3" s="204">
        <f ca="1">ROUND(B2*10000/IF(C1="",'数据-汇总表'!E3,INDIRECT("'数据-取费表'!K"&amp;$K$1)),0)</f>
        <v>2279787</v>
      </c>
      <c r="C3" s="276" t="s">
        <v>1596</v>
      </c>
      <c r="D3" s="276"/>
      <c r="E3" s="2804"/>
      <c r="F3" s="2804"/>
      <c r="G3" s="2804"/>
      <c r="H3" s="2804"/>
      <c r="I3" s="2804"/>
      <c r="J3" s="2804"/>
      <c r="K3" s="2804"/>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0.05</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54.47</v>
      </c>
      <c r="E14" s="21">
        <f>'数据-取费表'!B35</f>
        <v>180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54.47</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-10893</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1</v>
      </c>
      <c r="D20" s="844">
        <f ca="1">IF(C1="",'数据-汇总表'!E6,IF(INDIRECT("'数据-取费表'!c"&amp;$K$1)="住宅",INDIRECT("'数据-取费表'!s"&amp;$K$1),INDIRECT("'数据-取费表'!k"&amp;$K$1)+INDIRECT("'数据-取费表'!s"&amp;$K$1)))</f>
        <v>54.47</v>
      </c>
      <c r="E20" s="21">
        <f>'数据-取费表'!B28</f>
        <v>200</v>
      </c>
      <c r="F20" s="802"/>
      <c r="G20" s="12"/>
      <c r="H20" s="807"/>
      <c r="I20" s="807"/>
      <c r="J20" s="807"/>
      <c r="K20" s="808"/>
    </row>
    <row r="21" spans="1:33" s="801" customFormat="1" ht="13.5" customHeight="1">
      <c r="A21" s="788" t="s">
        <v>357</v>
      </c>
      <c r="B21" s="811" t="s">
        <v>1628</v>
      </c>
      <c r="C21" s="812">
        <f ca="1">C16+C17+C18</f>
        <v>-10893</v>
      </c>
      <c r="D21" s="813"/>
      <c r="E21" s="281"/>
      <c r="F21" s="281"/>
      <c r="G21" s="131" t="s">
        <v>1629</v>
      </c>
      <c r="H21" s="805"/>
      <c r="I21" s="805"/>
      <c r="J21" s="805"/>
      <c r="K21" s="806"/>
    </row>
    <row r="22" spans="1:33" s="801" customFormat="1" ht="13.5" customHeight="1">
      <c r="A22" s="788" t="s">
        <v>1601</v>
      </c>
      <c r="B22" s="811" t="s">
        <v>1630</v>
      </c>
      <c r="C22" s="812">
        <f ca="1">ROUND(C21*F22,0)</f>
        <v>-218</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-1667</v>
      </c>
      <c r="D28" s="280">
        <f ca="1">C29</f>
        <v>0</v>
      </c>
      <c r="E28" s="282" t="s">
        <v>12</v>
      </c>
      <c r="F28" s="288">
        <f ca="1">IF(C1="",'数据-取费表'!Q16,INDIRECT("'数据-取费表'!q"&amp;$K$1))</f>
        <v>0.15</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-1667</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12418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4"/>
      <c r="H2" s="2693"/>
      <c r="I2" s="2693"/>
      <c r="J2" s="2693"/>
      <c r="K2" s="2694"/>
      <c r="L2" s="2693"/>
      <c r="M2" s="2693"/>
    </row>
    <row r="3" spans="1:37" ht="18" customHeight="1" thickBot="1">
      <c r="A3" s="1388" t="s">
        <v>806</v>
      </c>
      <c r="B3" s="1389">
        <f ca="1">IF(ISERROR(B2*10000/F43),0,ROUND(B2*10000/F43,0))</f>
        <v>0</v>
      </c>
      <c r="C3" s="1385" t="s">
        <v>807</v>
      </c>
      <c r="D3" s="1385"/>
      <c r="E3" s="1386"/>
      <c r="F3" s="1387"/>
      <c r="G3" s="2704"/>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39" t="s">
        <v>694</v>
      </c>
      <c r="C6" s="1072">
        <f ca="1">ROUND(F6*F8*F7*(1-F9)/10000,0)</f>
        <v>0</v>
      </c>
      <c r="D6" s="155" t="s">
        <v>2108</v>
      </c>
      <c r="E6" s="302" t="s">
        <v>696</v>
      </c>
      <c r="F6" s="303">
        <f ca="1">INDIRECT("'数据-取费表'!u"&amp;$G$1)</f>
        <v>0</v>
      </c>
      <c r="G6" s="1382"/>
      <c r="H6" s="1067" t="s">
        <v>398</v>
      </c>
      <c r="I6" s="3639" t="s">
        <v>694</v>
      </c>
      <c r="J6" s="301">
        <f ca="1">ROUND(M6*M8*M7*(1-M9)/10000,0)</f>
        <v>0</v>
      </c>
      <c r="K6" s="155" t="s">
        <v>2107</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0</v>
      </c>
      <c r="G7" s="1382"/>
      <c r="H7" s="304"/>
      <c r="I7" s="3640"/>
      <c r="J7" s="306"/>
      <c r="K7" s="307"/>
      <c r="L7" s="302" t="s">
        <v>697</v>
      </c>
      <c r="M7" s="303">
        <f ca="1">F7</f>
        <v>0</v>
      </c>
    </row>
    <row r="8" spans="1:37" ht="18" customHeight="1">
      <c r="A8" s="304"/>
      <c r="B8" s="3640"/>
      <c r="C8" s="306"/>
      <c r="D8" s="307"/>
      <c r="E8" s="302" t="s">
        <v>698</v>
      </c>
      <c r="F8" s="303">
        <f ca="1">INDIRECT("'数据-取费表'!ai"&amp;$G$1)</f>
        <v>0</v>
      </c>
      <c r="G8" s="1382"/>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2116</v>
      </c>
      <c r="E10" s="313" t="s">
        <v>701</v>
      </c>
      <c r="F10" s="1114"/>
      <c r="G10" s="1382"/>
      <c r="H10" s="1067" t="s">
        <v>402</v>
      </c>
      <c r="I10" s="1363" t="s">
        <v>700</v>
      </c>
      <c r="J10" s="301">
        <f ca="1">ROUND(IF(M10="押一",J6/12*M11,IF(M10="押二",J6/12*2*M11,IF(M10="押三",J6/12*3*M11,J11*M11))),0)</f>
        <v>0</v>
      </c>
      <c r="K10" s="1364" t="s">
        <v>2115</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180</v>
      </c>
      <c r="G17" s="1394"/>
      <c r="H17" s="980"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3339</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ROUND(IF(AND(项目基本情况!B11="自然人",项目基本情况!B10="北京市"),C6*F31/(1+'数据-取费表'!C42),C32+C33+C34),2)</f>
        <v>0</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IF(项目基本情况!B11="自然人","——",ROUND(C6*F32/(1+'数据-取费表'!C42),2))</f>
        <v>0</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IF(项目基本情况!B11="自然人","——",ROUND(F34*F35/10000,2))</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ROUND(C29*F36,2)</f>
        <v>0</v>
      </c>
      <c r="D36" s="1342" t="s">
        <v>771</v>
      </c>
      <c r="E36" s="302" t="s">
        <v>712</v>
      </c>
      <c r="F36" s="328">
        <f ca="1">INDIRECT("'数据-取费表'!Ak"&amp;$G$1)</f>
        <v>0</v>
      </c>
      <c r="G36" s="1382"/>
      <c r="H36" s="2698"/>
      <c r="I36" s="1396"/>
      <c r="J36" s="1397"/>
      <c r="K36" s="2542"/>
      <c r="L36" s="2698"/>
      <c r="M36" s="2698"/>
    </row>
    <row r="37" spans="1:18" ht="18" customHeight="1">
      <c r="A37" s="980" t="s">
        <v>437</v>
      </c>
      <c r="B37" s="302" t="s">
        <v>742</v>
      </c>
      <c r="C37" s="21">
        <f ca="1">ROUND(C13*F37,2)</f>
        <v>0</v>
      </c>
      <c r="D37" s="1342" t="s">
        <v>743</v>
      </c>
      <c r="E37" s="302" t="s">
        <v>744</v>
      </c>
      <c r="F37" s="330">
        <f ca="1">INDIRECT("'数据-取费表'!Al"&amp;$G$1)</f>
        <v>0</v>
      </c>
      <c r="G37" s="1382"/>
      <c r="H37" s="2698"/>
      <c r="I37" s="1396"/>
      <c r="J37" s="1397"/>
      <c r="K37" s="2542"/>
      <c r="L37" s="2698"/>
      <c r="M37" s="2698"/>
    </row>
    <row r="38" spans="1:18" ht="18" customHeight="1" thickBot="1">
      <c r="A38" s="1087" t="s">
        <v>684</v>
      </c>
      <c r="B38" s="1088" t="s">
        <v>728</v>
      </c>
      <c r="C38" s="1089">
        <f ca="1">ROUND(C5*F38,2)</f>
        <v>0</v>
      </c>
      <c r="D38" s="1090" t="s">
        <v>748</v>
      </c>
      <c r="E38" s="1088" t="s">
        <v>744</v>
      </c>
      <c r="F38" s="1084">
        <f ca="1">INDIRECT("'数据-取费表'!Am"&amp;$G$1)</f>
        <v>0</v>
      </c>
      <c r="G38" s="1382"/>
      <c r="H38" s="2698"/>
      <c r="I38" s="1396"/>
      <c r="J38" s="1397"/>
      <c r="K38" s="2702"/>
      <c r="L38" s="2698"/>
      <c r="M38" s="2698"/>
    </row>
    <row r="39" spans="1:18" ht="24.6" customHeight="1" thickTop="1">
      <c r="A39" s="1077" t="s">
        <v>394</v>
      </c>
      <c r="B39" s="1092" t="s">
        <v>772</v>
      </c>
      <c r="C39" s="310">
        <f ca="1">C5-C30</f>
        <v>0</v>
      </c>
      <c r="D39" s="1093" t="s">
        <v>773</v>
      </c>
      <c r="E39" s="1094"/>
      <c r="F39" s="1095"/>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3"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2109</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2115</v>
      </c>
      <c r="E53" s="313" t="s">
        <v>701</v>
      </c>
      <c r="F53" s="1114"/>
      <c r="I53" s="1437" t="s">
        <v>836</v>
      </c>
      <c r="J53" s="2166">
        <f ca="1">IF(M47="住宅",IF(D1="——",MAX(J51,L48),MAX(J51,L48-'数据-取费表'!B24)),IF(D1="——",MIN(J51,L48),MIN(J51,L48-'数据-取费表'!B24)))</f>
        <v>0</v>
      </c>
      <c r="K53" s="3637" t="s">
        <v>837</v>
      </c>
      <c r="L53" s="3638"/>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5">
        <f t="shared" si="0"/>
        <v>0</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2438</v>
      </c>
      <c r="B1" s="2830"/>
      <c r="C1" s="2842"/>
      <c r="D1" s="2842"/>
      <c r="E1" s="2831"/>
      <c r="F1" s="2832"/>
      <c r="G1" s="2833"/>
      <c r="J1" s="2836" t="s">
        <v>2317</v>
      </c>
      <c r="K1" s="2837"/>
      <c r="L1" s="2837"/>
      <c r="M1" s="2837"/>
      <c r="N1" s="2837"/>
      <c r="O1" s="2837"/>
      <c r="P1" s="2837"/>
      <c r="Q1" s="2837"/>
      <c r="R1" s="2838"/>
      <c r="S1" s="2839"/>
      <c r="T1" s="2839"/>
      <c r="U1" s="2839"/>
    </row>
    <row r="2" spans="1:22" s="2851" customFormat="1" ht="13.15" customHeight="1">
      <c r="A2" s="1383" t="s">
        <v>2318</v>
      </c>
      <c r="B2" s="2841" t="e">
        <f>IF(D2="——",C40,C40+E2)</f>
        <v>#DIV/0!</v>
      </c>
      <c r="C2" s="2842" t="s">
        <v>2319</v>
      </c>
      <c r="D2" s="3441" t="s">
        <v>3362</v>
      </c>
      <c r="E2" s="3442"/>
      <c r="F2" s="2844"/>
      <c r="G2" s="2845"/>
      <c r="H2" s="2846"/>
      <c r="I2" s="2847"/>
      <c r="J2" s="3648" t="s">
        <v>2320</v>
      </c>
      <c r="K2" s="3649"/>
      <c r="L2" s="2848" t="s">
        <v>2321</v>
      </c>
      <c r="M2" s="2848" t="s">
        <v>2322</v>
      </c>
      <c r="N2" s="2848" t="s">
        <v>2323</v>
      </c>
      <c r="O2" s="2848" t="s">
        <v>2324</v>
      </c>
      <c r="P2" s="2848" t="s">
        <v>2325</v>
      </c>
      <c r="Q2" s="2849" t="s">
        <v>2326</v>
      </c>
      <c r="R2" s="2850" t="s">
        <v>2327</v>
      </c>
      <c r="S2" s="2839"/>
      <c r="T2" s="2839"/>
      <c r="U2" s="2839"/>
      <c r="V2" s="2847"/>
    </row>
    <row r="3" spans="1:22" s="2851" customFormat="1" ht="13.15" customHeight="1">
      <c r="A3" s="2852" t="s">
        <v>2328</v>
      </c>
      <c r="B3" s="2853" t="e">
        <f>ROUND(B2*10000/B4,0)</f>
        <v>#DIV/0!</v>
      </c>
      <c r="C3" s="2842" t="s">
        <v>2329</v>
      </c>
      <c r="D3" s="2842"/>
      <c r="E3" s="2843"/>
      <c r="F3" s="2844"/>
      <c r="G3" s="2845"/>
      <c r="H3" s="2846"/>
      <c r="I3" s="2847"/>
      <c r="J3" s="3650" t="s">
        <v>2330</v>
      </c>
      <c r="K3" s="3651"/>
      <c r="L3" s="2854"/>
      <c r="M3" s="2854"/>
      <c r="N3" s="2854"/>
      <c r="O3" s="2854"/>
      <c r="P3" s="2854"/>
      <c r="Q3" s="2855"/>
      <c r="R3" s="2856">
        <f>SUM(L3:Q3)</f>
        <v>0</v>
      </c>
      <c r="S3" s="2839"/>
      <c r="T3" s="2839"/>
      <c r="U3" s="2839"/>
      <c r="V3" s="2847"/>
    </row>
    <row r="4" spans="1:22" s="2851" customFormat="1" ht="13.15" customHeight="1">
      <c r="A4" s="2857" t="s">
        <v>2331</v>
      </c>
      <c r="B4" s="2858"/>
      <c r="C4" s="2842"/>
      <c r="D4" s="2842"/>
      <c r="E4" s="2843"/>
      <c r="F4" s="2844"/>
      <c r="G4" s="2845"/>
      <c r="H4" s="2846"/>
      <c r="I4" s="2847"/>
      <c r="J4" s="3650" t="s">
        <v>2332</v>
      </c>
      <c r="K4" s="3651"/>
      <c r="L4" s="2859"/>
      <c r="M4" s="2859"/>
      <c r="N4" s="2859"/>
      <c r="O4" s="2859"/>
      <c r="P4" s="2859"/>
      <c r="Q4" s="2860"/>
      <c r="R4" s="2861">
        <f>SUM(L4:Q4)</f>
        <v>0</v>
      </c>
      <c r="S4" s="2839"/>
      <c r="T4" s="2839"/>
      <c r="U4" s="2839"/>
      <c r="V4" s="2847"/>
    </row>
    <row r="5" spans="1:22" s="2851" customFormat="1" ht="13.15" customHeight="1" thickBot="1">
      <c r="A5" s="2862" t="s">
        <v>2333</v>
      </c>
      <c r="B5" s="2863"/>
      <c r="C5" s="2842"/>
      <c r="D5" s="2864"/>
      <c r="E5" s="2844"/>
      <c r="F5" s="2844"/>
      <c r="G5" s="2845"/>
      <c r="H5" s="2846"/>
      <c r="I5" s="2847"/>
      <c r="J5" s="2865" t="s">
        <v>2334</v>
      </c>
      <c r="K5" s="2866"/>
      <c r="L5" s="2866"/>
      <c r="M5" s="2867"/>
      <c r="N5" s="2867"/>
      <c r="O5" s="2867"/>
      <c r="P5" s="2867"/>
      <c r="Q5" s="2867"/>
      <c r="R5" s="2850">
        <f>SUM(R14,R19,R24,R25,R27,R28)</f>
        <v>0</v>
      </c>
      <c r="S5" s="2839"/>
      <c r="T5" s="2839" t="s">
        <v>2335</v>
      </c>
      <c r="U5" s="2839" t="e">
        <f>ROUND(R5*10000/365/R3,1)</f>
        <v>#DIV/0!</v>
      </c>
      <c r="V5" s="2847"/>
    </row>
    <row r="6" spans="1:22" s="2851" customFormat="1" ht="13.15" customHeight="1" thickBot="1">
      <c r="A6" s="3656" t="s">
        <v>2336</v>
      </c>
      <c r="B6" s="3657"/>
      <c r="C6" s="3658"/>
      <c r="D6" s="2868"/>
      <c r="E6" s="2869"/>
      <c r="F6" s="2870"/>
      <c r="G6" s="2871"/>
      <c r="H6" s="2846"/>
      <c r="I6" s="2847"/>
      <c r="J6" s="3642">
        <v>1</v>
      </c>
      <c r="K6" s="3643" t="s">
        <v>2337</v>
      </c>
      <c r="L6" s="2872" t="s">
        <v>2338</v>
      </c>
      <c r="M6" s="2873" t="s">
        <v>2339</v>
      </c>
      <c r="N6" s="2873" t="s">
        <v>2340</v>
      </c>
      <c r="O6" s="2873" t="s">
        <v>2341</v>
      </c>
      <c r="P6" s="2873" t="s">
        <v>2342</v>
      </c>
      <c r="Q6" s="2873" t="s">
        <v>2343</v>
      </c>
      <c r="R6" s="2856" t="s">
        <v>2344</v>
      </c>
      <c r="S6" s="2839"/>
      <c r="T6" s="2839" t="s">
        <v>2345</v>
      </c>
      <c r="U6" s="2839"/>
      <c r="V6" s="2847"/>
    </row>
    <row r="7" spans="1:22" s="2851" customFormat="1" ht="13.15" customHeight="1">
      <c r="A7" s="2874" t="s">
        <v>2346</v>
      </c>
      <c r="B7" s="2875"/>
      <c r="C7" s="2876"/>
      <c r="D7" s="2877">
        <f>SUM(D9,D10,D11,D17,0)</f>
        <v>0</v>
      </c>
      <c r="E7" s="2878" t="e">
        <f>E9+E10+E11+E17</f>
        <v>#DIV/0!</v>
      </c>
      <c r="F7" s="2879"/>
      <c r="G7" s="2880"/>
      <c r="H7" s="2846"/>
      <c r="I7" s="2847"/>
      <c r="J7" s="3642"/>
      <c r="K7" s="3644"/>
      <c r="L7" s="2881" t="s">
        <v>2347</v>
      </c>
      <c r="M7" s="2882"/>
      <c r="N7" s="2858"/>
      <c r="O7" s="2883"/>
      <c r="P7" s="2883"/>
      <c r="Q7" s="2884">
        <v>365</v>
      </c>
      <c r="R7" s="2885">
        <f>ROUND(M7*N7*O7*P7*Q7/10000,0)</f>
        <v>0</v>
      </c>
      <c r="S7" s="2839"/>
      <c r="T7" s="2839" t="s">
        <v>2348</v>
      </c>
      <c r="U7" s="2839"/>
      <c r="V7" s="2847"/>
    </row>
    <row r="8" spans="1:22" s="2851" customFormat="1" ht="13.15" customHeight="1">
      <c r="A8" s="2886" t="s">
        <v>2349</v>
      </c>
      <c r="B8" s="3659" t="s">
        <v>2350</v>
      </c>
      <c r="C8" s="3660"/>
      <c r="D8" s="2887" t="s">
        <v>2351</v>
      </c>
      <c r="E8" s="2888" t="s">
        <v>2352</v>
      </c>
      <c r="F8" s="2889" t="s">
        <v>2353</v>
      </c>
      <c r="G8" s="2890"/>
      <c r="H8" s="2846"/>
      <c r="I8" s="2847"/>
      <c r="J8" s="3642"/>
      <c r="K8" s="3644"/>
      <c r="L8" s="2881" t="s">
        <v>2354</v>
      </c>
      <c r="M8" s="2882"/>
      <c r="N8" s="2858"/>
      <c r="O8" s="2883"/>
      <c r="P8" s="2883"/>
      <c r="Q8" s="2884">
        <v>365</v>
      </c>
      <c r="R8" s="2885">
        <f t="shared" ref="R8:R13" si="0">ROUND(M8*N8*O8*P8*Q8/10000,0)</f>
        <v>0</v>
      </c>
      <c r="S8" s="2839"/>
      <c r="T8" s="2839" t="s">
        <v>2355</v>
      </c>
      <c r="U8" s="2839"/>
      <c r="V8" s="2847"/>
    </row>
    <row r="9" spans="1:22" s="2851" customFormat="1" ht="13.15" customHeight="1">
      <c r="A9" s="2886">
        <v>1</v>
      </c>
      <c r="B9" s="3659" t="s">
        <v>2356</v>
      </c>
      <c r="C9" s="3660"/>
      <c r="D9" s="2887">
        <f>ROUND(D6*E9,0)</f>
        <v>0</v>
      </c>
      <c r="E9" s="2891"/>
      <c r="F9" s="2892" t="s">
        <v>2357</v>
      </c>
      <c r="G9" s="2871"/>
      <c r="H9" s="2846"/>
      <c r="I9" s="2847"/>
      <c r="J9" s="3642"/>
      <c r="K9" s="3644"/>
      <c r="L9" s="2881" t="s">
        <v>2358</v>
      </c>
      <c r="M9" s="2882"/>
      <c r="N9" s="2858"/>
      <c r="O9" s="2883"/>
      <c r="P9" s="2883"/>
      <c r="Q9" s="2884">
        <v>365</v>
      </c>
      <c r="R9" s="2885">
        <f t="shared" si="0"/>
        <v>0</v>
      </c>
      <c r="S9" s="2839"/>
      <c r="T9" s="2839"/>
      <c r="U9" s="2839"/>
      <c r="V9" s="2847"/>
    </row>
    <row r="10" spans="1:22" s="2851" customFormat="1" ht="13.15" customHeight="1">
      <c r="A10" s="2886">
        <v>2</v>
      </c>
      <c r="B10" s="3659" t="s">
        <v>2359</v>
      </c>
      <c r="C10" s="3660"/>
      <c r="D10" s="2887">
        <f>ROUND(D6*E10,0)</f>
        <v>0</v>
      </c>
      <c r="E10" s="2891"/>
      <c r="F10" s="2892" t="s">
        <v>2360</v>
      </c>
      <c r="G10" s="2871"/>
      <c r="H10" s="2846"/>
      <c r="I10" s="2847"/>
      <c r="J10" s="3642"/>
      <c r="K10" s="3644"/>
      <c r="L10" s="2881" t="s">
        <v>2361</v>
      </c>
      <c r="M10" s="2882"/>
      <c r="N10" s="2858"/>
      <c r="O10" s="2883"/>
      <c r="P10" s="2883"/>
      <c r="Q10" s="2884">
        <v>365</v>
      </c>
      <c r="R10" s="2885">
        <f t="shared" si="0"/>
        <v>0</v>
      </c>
      <c r="S10" s="2839"/>
      <c r="T10" s="2839"/>
      <c r="U10" s="2839"/>
      <c r="V10" s="2847"/>
    </row>
    <row r="11" spans="1:22" s="2851" customFormat="1" ht="13.15" customHeight="1">
      <c r="A11" s="2886">
        <v>3</v>
      </c>
      <c r="B11" s="3659" t="s">
        <v>2362</v>
      </c>
      <c r="C11" s="3660"/>
      <c r="D11" s="2887">
        <f>D12+D14+D15+D16</f>
        <v>0</v>
      </c>
      <c r="E11" s="2893" t="e">
        <f>D11/D6</f>
        <v>#DIV/0!</v>
      </c>
      <c r="F11" s="2889"/>
      <c r="G11" s="2890"/>
      <c r="H11" s="2846"/>
      <c r="I11" s="2847"/>
      <c r="J11" s="3642"/>
      <c r="K11" s="3644"/>
      <c r="L11" s="2881" t="s">
        <v>2363</v>
      </c>
      <c r="M11" s="2882"/>
      <c r="N11" s="2858"/>
      <c r="O11" s="2883"/>
      <c r="P11" s="2883"/>
      <c r="Q11" s="2884">
        <v>365</v>
      </c>
      <c r="R11" s="2885">
        <f t="shared" si="0"/>
        <v>0</v>
      </c>
      <c r="S11" s="2839"/>
      <c r="T11" s="2839"/>
      <c r="U11" s="2839"/>
      <c r="V11" s="2847"/>
    </row>
    <row r="12" spans="1:22" s="2851" customFormat="1" ht="13.15" customHeight="1">
      <c r="A12" s="2894" t="s">
        <v>2364</v>
      </c>
      <c r="B12" s="3652" t="s">
        <v>2365</v>
      </c>
      <c r="C12" s="3653"/>
      <c r="D12" s="2895">
        <f>ROUND(D13*1.2%*(1-30%),0)</f>
        <v>0</v>
      </c>
      <c r="E12" s="2896">
        <v>1.2E-2</v>
      </c>
      <c r="F12" s="2889" t="s">
        <v>2366</v>
      </c>
      <c r="G12" s="2890"/>
      <c r="H12" s="2846"/>
      <c r="I12" s="2847"/>
      <c r="J12" s="3642"/>
      <c r="K12" s="3644"/>
      <c r="L12" s="2881" t="s">
        <v>2367</v>
      </c>
      <c r="M12" s="2882"/>
      <c r="N12" s="2858"/>
      <c r="O12" s="2883"/>
      <c r="P12" s="2883"/>
      <c r="Q12" s="2884">
        <v>365</v>
      </c>
      <c r="R12" s="2885">
        <f t="shared" si="0"/>
        <v>0</v>
      </c>
      <c r="S12" s="2839"/>
      <c r="T12" s="2839"/>
      <c r="U12" s="2839"/>
      <c r="V12" s="2847"/>
    </row>
    <row r="13" spans="1:22" s="2851" customFormat="1" ht="13.15" customHeight="1">
      <c r="A13" s="2894"/>
      <c r="B13" s="2897"/>
      <c r="C13" s="2898" t="s">
        <v>2368</v>
      </c>
      <c r="D13" s="2899"/>
      <c r="E13" s="2900"/>
      <c r="F13" s="2889"/>
      <c r="G13" s="2890"/>
      <c r="H13" s="2846"/>
      <c r="I13" s="2847"/>
      <c r="J13" s="3642"/>
      <c r="K13" s="3644"/>
      <c r="L13" s="2881" t="s">
        <v>2369</v>
      </c>
      <c r="M13" s="2882"/>
      <c r="N13" s="2858"/>
      <c r="O13" s="2883"/>
      <c r="P13" s="2883"/>
      <c r="Q13" s="2884">
        <v>365</v>
      </c>
      <c r="R13" s="2885">
        <f t="shared" si="0"/>
        <v>0</v>
      </c>
      <c r="S13" s="2839"/>
      <c r="T13" s="2839"/>
      <c r="U13" s="2839"/>
      <c r="V13" s="2847"/>
    </row>
    <row r="14" spans="1:22" s="2851" customFormat="1" ht="13.15" customHeight="1">
      <c r="A14" s="2894" t="s">
        <v>2370</v>
      </c>
      <c r="B14" s="3652" t="s">
        <v>2371</v>
      </c>
      <c r="C14" s="3653"/>
      <c r="D14" s="2895">
        <f>ROUND(E14*B5/10000,0)</f>
        <v>0</v>
      </c>
      <c r="E14" s="2884"/>
      <c r="F14" s="2889" t="s">
        <v>2372</v>
      </c>
      <c r="G14" s="2890"/>
      <c r="H14" s="2846"/>
      <c r="I14" s="2847"/>
      <c r="J14" s="3642"/>
      <c r="K14" s="3645"/>
      <c r="L14" s="2901" t="s">
        <v>2373</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2374</v>
      </c>
      <c r="B15" s="3652" t="s">
        <v>2375</v>
      </c>
      <c r="C15" s="3653"/>
      <c r="D15" s="2895">
        <f>ROUND(D6*E15,0)</f>
        <v>0</v>
      </c>
      <c r="E15" s="2896">
        <v>5.5E-2</v>
      </c>
      <c r="F15" s="2889" t="s">
        <v>2376</v>
      </c>
      <c r="G15" s="2871"/>
      <c r="H15" s="2846"/>
      <c r="I15" s="2847"/>
      <c r="J15" s="3642">
        <v>2</v>
      </c>
      <c r="K15" s="3643" t="s">
        <v>2377</v>
      </c>
      <c r="L15" s="2881" t="s">
        <v>2378</v>
      </c>
      <c r="M15" s="2882" t="s">
        <v>2379</v>
      </c>
      <c r="N15" s="2882" t="s">
        <v>2380</v>
      </c>
      <c r="O15" s="2883" t="s">
        <v>2381</v>
      </c>
      <c r="P15" s="2883" t="s">
        <v>2343</v>
      </c>
      <c r="Q15" s="2858" t="s">
        <v>2382</v>
      </c>
      <c r="R15" s="2905" t="s">
        <v>2344</v>
      </c>
      <c r="S15" s="2839"/>
      <c r="T15" s="2839"/>
      <c r="U15" s="2839"/>
      <c r="V15" s="2847"/>
    </row>
    <row r="16" spans="1:22" s="2851" customFormat="1" ht="13.15" customHeight="1">
      <c r="A16" s="2894" t="s">
        <v>2383</v>
      </c>
      <c r="B16" s="3652" t="s">
        <v>2384</v>
      </c>
      <c r="C16" s="3653"/>
      <c r="D16" s="2906">
        <f>D6*E16</f>
        <v>0</v>
      </c>
      <c r="E16" s="2907"/>
      <c r="F16" s="2892" t="s">
        <v>2385</v>
      </c>
      <c r="G16" s="2871"/>
      <c r="H16" s="2846"/>
      <c r="I16" s="2847"/>
      <c r="J16" s="3642"/>
      <c r="K16" s="3644"/>
      <c r="L16" s="2881" t="s">
        <v>2386</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2387</v>
      </c>
      <c r="C17" s="3655"/>
      <c r="D17" s="2909">
        <f>ROUND(D6*E17,0)</f>
        <v>0</v>
      </c>
      <c r="E17" s="2910"/>
      <c r="F17" s="2911" t="s">
        <v>2388</v>
      </c>
      <c r="G17" s="2871"/>
      <c r="H17" s="2846"/>
      <c r="I17" s="2847"/>
      <c r="J17" s="3642"/>
      <c r="K17" s="3644"/>
      <c r="L17" s="2881" t="s">
        <v>2389</v>
      </c>
      <c r="M17" s="2882"/>
      <c r="N17" s="2882"/>
      <c r="O17" s="2883"/>
      <c r="P17" s="2884">
        <v>365</v>
      </c>
      <c r="Q17" s="2858"/>
      <c r="R17" s="2905">
        <f>ROUND(M17*N17*O17*P17/10000,0)</f>
        <v>0</v>
      </c>
      <c r="S17" s="2839"/>
      <c r="T17" s="2839"/>
      <c r="U17" s="2839"/>
      <c r="V17" s="2847"/>
    </row>
    <row r="18" spans="1:22" s="2851" customFormat="1" ht="13.15" customHeight="1" thickBot="1">
      <c r="A18" s="2874" t="s">
        <v>2390</v>
      </c>
      <c r="B18" s="2875"/>
      <c r="C18" s="2875"/>
      <c r="D18" s="2912">
        <f>ROUND(D6*E18,0)</f>
        <v>0</v>
      </c>
      <c r="E18" s="2913"/>
      <c r="F18" s="2914" t="s">
        <v>2391</v>
      </c>
      <c r="G18" s="2871"/>
      <c r="H18" s="2846"/>
      <c r="I18" s="2847"/>
      <c r="J18" s="3642"/>
      <c r="K18" s="3644"/>
      <c r="L18" s="2881" t="s">
        <v>2392</v>
      </c>
      <c r="M18" s="2882"/>
      <c r="N18" s="2882"/>
      <c r="O18" s="2883"/>
      <c r="P18" s="2884">
        <v>365</v>
      </c>
      <c r="Q18" s="2858"/>
      <c r="R18" s="2905">
        <f>ROUND(M18*N18*O18*P18/10000,0)</f>
        <v>0</v>
      </c>
      <c r="S18" s="2839"/>
      <c r="T18" s="2839"/>
      <c r="U18" s="2839"/>
      <c r="V18" s="2847"/>
    </row>
    <row r="19" spans="1:22" s="2851" customFormat="1" ht="13.15" customHeight="1" thickBot="1">
      <c r="A19" s="2915" t="s">
        <v>2393</v>
      </c>
      <c r="B19" s="2869"/>
      <c r="C19" s="2869"/>
      <c r="D19" s="2869"/>
      <c r="E19" s="2869"/>
      <c r="F19" s="2870"/>
      <c r="G19" s="2890"/>
      <c r="H19" s="2846"/>
      <c r="I19" s="2847"/>
      <c r="J19" s="3642"/>
      <c r="K19" s="3645"/>
      <c r="L19" s="2901" t="s">
        <v>2373</v>
      </c>
      <c r="M19" s="2902"/>
      <c r="N19" s="2902">
        <f>SUM(N16:N18)</f>
        <v>0</v>
      </c>
      <c r="O19" s="2903"/>
      <c r="P19" s="2916" t="s">
        <v>2437</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2394</v>
      </c>
      <c r="L20" s="2881" t="s">
        <v>2395</v>
      </c>
      <c r="M20" s="2882" t="s">
        <v>2396</v>
      </c>
      <c r="N20" s="2919" t="s">
        <v>2397</v>
      </c>
      <c r="O20" s="2883" t="s">
        <v>2398</v>
      </c>
      <c r="P20" s="2884" t="s">
        <v>2399</v>
      </c>
      <c r="Q20" s="2858" t="s">
        <v>2400</v>
      </c>
      <c r="R20" s="2905" t="s">
        <v>2401</v>
      </c>
      <c r="S20" s="2920"/>
      <c r="T20" s="2920"/>
      <c r="U20" s="2920"/>
      <c r="V20" s="2847"/>
    </row>
    <row r="21" spans="1:22" s="2851" customFormat="1" ht="13.15" customHeight="1">
      <c r="A21" s="2874"/>
      <c r="B21" s="2875"/>
      <c r="C21" s="2921" t="s">
        <v>2402</v>
      </c>
      <c r="D21" s="2922" t="s">
        <v>2403</v>
      </c>
      <c r="E21" s="2923" t="s">
        <v>2404</v>
      </c>
      <c r="F21" s="2918"/>
      <c r="G21" s="2890"/>
      <c r="H21" s="2846"/>
      <c r="I21" s="2847"/>
      <c r="J21" s="3642"/>
      <c r="K21" s="3644"/>
      <c r="L21" s="2881" t="s">
        <v>2405</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2406</v>
      </c>
      <c r="D22" s="2926" t="s">
        <v>2407</v>
      </c>
      <c r="E22" s="2927" t="s">
        <v>2408</v>
      </c>
      <c r="F22" s="2918"/>
      <c r="G22" s="2928"/>
      <c r="H22" s="2846"/>
      <c r="I22" s="2847"/>
      <c r="J22" s="3642"/>
      <c r="K22" s="3644"/>
      <c r="L22" s="2881" t="s">
        <v>2409</v>
      </c>
      <c r="M22" s="2882"/>
      <c r="N22" s="2882"/>
      <c r="O22" s="2883"/>
      <c r="P22" s="2884">
        <v>365</v>
      </c>
      <c r="Q22" s="2858"/>
      <c r="R22" s="2924">
        <f>ROUND(M22*N22*O22*P22/10000,0)</f>
        <v>0</v>
      </c>
      <c r="S22" s="2920"/>
      <c r="T22" s="2920"/>
      <c r="U22" s="2920"/>
      <c r="V22" s="2847"/>
    </row>
    <row r="23" spans="1:22" s="2851" customFormat="1" ht="13.15" customHeight="1">
      <c r="A23" s="2929">
        <v>1</v>
      </c>
      <c r="B23" s="2930" t="s">
        <v>2410</v>
      </c>
      <c r="C23" s="2931">
        <f>D6</f>
        <v>0</v>
      </c>
      <c r="D23" s="2932">
        <f>C23*(1+D24)</f>
        <v>0</v>
      </c>
      <c r="E23" s="2933">
        <f>D23*(1+E24)</f>
        <v>0</v>
      </c>
      <c r="F23" s="2934"/>
      <c r="G23" s="2935"/>
      <c r="H23" s="2846"/>
      <c r="I23" s="2847"/>
      <c r="J23" s="3642"/>
      <c r="K23" s="3644"/>
      <c r="L23" s="2881" t="s">
        <v>2411</v>
      </c>
      <c r="M23" s="2882"/>
      <c r="N23" s="2882"/>
      <c r="O23" s="2883"/>
      <c r="P23" s="2884">
        <v>365</v>
      </c>
      <c r="Q23" s="2858"/>
      <c r="R23" s="2924">
        <f>ROUND(M23*N23*O23*P23/10000,0)</f>
        <v>0</v>
      </c>
      <c r="S23" s="2839"/>
      <c r="T23" s="2839"/>
      <c r="U23" s="2839"/>
      <c r="V23" s="2847"/>
    </row>
    <row r="24" spans="1:22" s="2851" customFormat="1" ht="13.15" customHeight="1">
      <c r="A24" s="2936"/>
      <c r="B24" s="2937" t="s">
        <v>2412</v>
      </c>
      <c r="C24" s="2938"/>
      <c r="D24" s="2939"/>
      <c r="E24" s="2940"/>
      <c r="F24" s="2941"/>
      <c r="G24" s="2935"/>
      <c r="H24" s="2846"/>
      <c r="I24" s="2847"/>
      <c r="J24" s="3642"/>
      <c r="K24" s="3645"/>
      <c r="L24" s="2901" t="s">
        <v>2373</v>
      </c>
      <c r="M24" s="2902">
        <f>SUM(M21:M23)</f>
        <v>0</v>
      </c>
      <c r="N24" s="2902"/>
      <c r="O24" s="2903"/>
      <c r="P24" s="2916" t="s">
        <v>2437</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2413</v>
      </c>
      <c r="L25" s="2944"/>
      <c r="M25" s="2944"/>
      <c r="N25" s="2944"/>
      <c r="O25" s="2944"/>
      <c r="P25" s="2945"/>
      <c r="Q25" s="2946">
        <v>0</v>
      </c>
      <c r="R25" s="2917">
        <f>ROUND(R14*Q25,0)</f>
        <v>0</v>
      </c>
      <c r="S25" s="2839"/>
      <c r="T25" s="2839"/>
      <c r="U25" s="2839"/>
      <c r="V25" s="2947"/>
    </row>
    <row r="26" spans="1:22" s="2948" customFormat="1" ht="13.15" customHeight="1">
      <c r="A26" s="2929">
        <v>2</v>
      </c>
      <c r="B26" s="2930" t="s">
        <v>2414</v>
      </c>
      <c r="C26" s="2931">
        <f>D7</f>
        <v>0</v>
      </c>
      <c r="D26" s="2932">
        <f>D23*D27</f>
        <v>0</v>
      </c>
      <c r="E26" s="2933">
        <f>E23*E27</f>
        <v>0</v>
      </c>
      <c r="F26" s="2934"/>
      <c r="G26" s="2935"/>
      <c r="H26" s="2846"/>
      <c r="I26" s="2847"/>
      <c r="J26" s="3646">
        <v>5</v>
      </c>
      <c r="K26" s="2949" t="s">
        <v>2415</v>
      </c>
      <c r="L26" s="2950"/>
      <c r="M26" s="2951"/>
      <c r="N26" s="2952" t="s">
        <v>2416</v>
      </c>
      <c r="O26" s="2952" t="s">
        <v>2417</v>
      </c>
      <c r="P26" s="2953" t="s">
        <v>2418</v>
      </c>
      <c r="Q26" s="2953" t="s">
        <v>2419</v>
      </c>
      <c r="R26" s="2856" t="s">
        <v>2344</v>
      </c>
      <c r="S26" s="2954"/>
      <c r="T26" s="2954"/>
      <c r="U26" s="2954"/>
      <c r="V26" s="2947"/>
    </row>
    <row r="27" spans="1:22" s="2851" customFormat="1" ht="13.15" customHeight="1">
      <c r="A27" s="2936"/>
      <c r="B27" s="2937" t="s">
        <v>2420</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2421</v>
      </c>
      <c r="F28" s="2941"/>
      <c r="G28" s="2928"/>
      <c r="H28" s="2956"/>
      <c r="I28" s="2947"/>
      <c r="J28" s="2962">
        <v>6</v>
      </c>
      <c r="K28" s="2963" t="s">
        <v>2422</v>
      </c>
      <c r="L28" s="2964" t="s">
        <v>2423</v>
      </c>
      <c r="M28" s="2965"/>
      <c r="N28" s="2964" t="s">
        <v>2424</v>
      </c>
      <c r="O28" s="2966"/>
      <c r="P28" s="2964" t="s">
        <v>2425</v>
      </c>
      <c r="Q28" s="2967">
        <v>1.4999999999999999E-2</v>
      </c>
      <c r="R28" s="2968"/>
      <c r="S28" s="2920"/>
      <c r="T28" s="2920"/>
      <c r="U28" s="2920"/>
      <c r="V28" s="2947"/>
    </row>
    <row r="29" spans="1:22" s="2948" customFormat="1" ht="13.15" customHeight="1">
      <c r="A29" s="2929">
        <v>3</v>
      </c>
      <c r="B29" s="2930" t="s">
        <v>2426</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2420</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2427</v>
      </c>
      <c r="K31" s="2837"/>
      <c r="L31" s="2837"/>
      <c r="M31" s="2837"/>
      <c r="N31" s="2837"/>
      <c r="O31" s="2837"/>
      <c r="P31" s="2837"/>
      <c r="Q31" s="2837"/>
      <c r="R31" s="2838"/>
      <c r="S31" s="2920"/>
      <c r="T31" s="2839"/>
      <c r="U31" s="2839"/>
      <c r="V31" s="2947"/>
    </row>
    <row r="32" spans="1:22" s="2948" customFormat="1" ht="13.15" customHeight="1">
      <c r="A32" s="2929">
        <v>4</v>
      </c>
      <c r="B32" s="2930" t="s">
        <v>2428</v>
      </c>
      <c r="C32" s="2931">
        <f>C23-C26-C29</f>
        <v>0</v>
      </c>
      <c r="D32" s="2932">
        <f>D23-D26-D29</f>
        <v>0</v>
      </c>
      <c r="E32" s="2933">
        <f>E23-E26-E29</f>
        <v>0</v>
      </c>
      <c r="F32" s="2934"/>
      <c r="G32" s="2928"/>
      <c r="H32" s="2846"/>
      <c r="I32" s="2847"/>
      <c r="J32" s="3648" t="s">
        <v>2320</v>
      </c>
      <c r="K32" s="3649"/>
      <c r="L32" s="2848" t="s">
        <v>2321</v>
      </c>
      <c r="M32" s="2848" t="s">
        <v>2322</v>
      </c>
      <c r="N32" s="2848" t="s">
        <v>2323</v>
      </c>
      <c r="O32" s="2848" t="s">
        <v>2324</v>
      </c>
      <c r="P32" s="2848" t="s">
        <v>2325</v>
      </c>
      <c r="Q32" s="2849" t="s">
        <v>2326</v>
      </c>
      <c r="R32" s="2971" t="s">
        <v>2327</v>
      </c>
      <c r="S32" s="2920"/>
      <c r="T32" s="2839"/>
      <c r="U32" s="2839"/>
      <c r="V32" s="2947"/>
    </row>
    <row r="33" spans="1:23" s="2851" customFormat="1" ht="13.15" customHeight="1">
      <c r="A33" s="2929"/>
      <c r="B33" s="2930"/>
      <c r="C33" s="2931"/>
      <c r="D33" s="2972"/>
      <c r="E33" s="2973"/>
      <c r="F33" s="2934"/>
      <c r="G33" s="2928"/>
      <c r="H33" s="2956"/>
      <c r="I33" s="2947"/>
      <c r="J33" s="3650" t="s">
        <v>2330</v>
      </c>
      <c r="K33" s="3651"/>
      <c r="L33" s="2854"/>
      <c r="M33" s="2854"/>
      <c r="N33" s="2854"/>
      <c r="O33" s="2854"/>
      <c r="P33" s="2854"/>
      <c r="Q33" s="2855"/>
      <c r="R33" s="2974">
        <f>SUM(L33:Q33)</f>
        <v>0</v>
      </c>
      <c r="S33" s="2920"/>
      <c r="T33" s="2839"/>
      <c r="U33" s="2839"/>
      <c r="V33" s="2847"/>
    </row>
    <row r="34" spans="1:23" s="2851" customFormat="1" ht="13.15" customHeight="1">
      <c r="A34" s="2929">
        <v>5</v>
      </c>
      <c r="B34" s="2930" t="s">
        <v>2429</v>
      </c>
      <c r="C34" s="2975"/>
      <c r="D34" s="2976"/>
      <c r="E34" s="2977"/>
      <c r="F34" s="2934"/>
      <c r="G34" s="2928"/>
      <c r="H34" s="2956"/>
      <c r="I34" s="2947"/>
      <c r="J34" s="3650" t="s">
        <v>2332</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2430</v>
      </c>
      <c r="C35" s="2979"/>
      <c r="D35" s="2980"/>
      <c r="E35" s="2981"/>
      <c r="F35" s="2934"/>
      <c r="G35" s="2982"/>
      <c r="H35" s="2846"/>
      <c r="I35" s="2947"/>
      <c r="J35" s="2865" t="s">
        <v>2334</v>
      </c>
      <c r="K35" s="2866"/>
      <c r="L35" s="2866"/>
      <c r="M35" s="2867"/>
      <c r="N35" s="2867"/>
      <c r="O35" s="2867"/>
      <c r="P35" s="2867"/>
      <c r="Q35" s="2867"/>
      <c r="R35" s="2983">
        <f>R40+R41+R43</f>
        <v>0</v>
      </c>
      <c r="S35" s="2920"/>
      <c r="T35" s="2839" t="s">
        <v>2335</v>
      </c>
      <c r="U35" s="2839"/>
      <c r="V35" s="2847"/>
    </row>
    <row r="36" spans="1:23" s="2851" customFormat="1" ht="13.15" customHeight="1" thickBot="1">
      <c r="A36" s="2929">
        <v>7</v>
      </c>
      <c r="B36" s="2984" t="s">
        <v>2431</v>
      </c>
      <c r="C36" s="2985"/>
      <c r="D36" s="2986"/>
      <c r="E36" s="2987"/>
      <c r="F36" s="2988">
        <f>C36+D36+E36</f>
        <v>0</v>
      </c>
      <c r="G36" s="2928"/>
      <c r="H36" s="2846"/>
      <c r="I36" s="2847"/>
      <c r="J36" s="3642">
        <v>1</v>
      </c>
      <c r="K36" s="3643" t="s">
        <v>2432</v>
      </c>
      <c r="L36" s="2872"/>
      <c r="M36" s="2873"/>
      <c r="N36" s="2873"/>
      <c r="O36" s="2873"/>
      <c r="P36" s="2873"/>
      <c r="Q36" s="2873"/>
      <c r="R36" s="2856" t="s">
        <v>2344</v>
      </c>
      <c r="S36" s="2920"/>
      <c r="T36" s="2839" t="s">
        <v>2345</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2348</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2355</v>
      </c>
      <c r="U38" s="2839"/>
      <c r="V38" s="2847"/>
    </row>
    <row r="39" spans="1:23" s="2851" customFormat="1" ht="13.15" customHeight="1">
      <c r="A39" s="2929">
        <v>9</v>
      </c>
      <c r="B39" s="2930" t="s">
        <v>2433</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2434</v>
      </c>
      <c r="C40" s="2991" t="e">
        <f>C39+D39+E39</f>
        <v>#DIV/0!</v>
      </c>
      <c r="D40" s="2992"/>
      <c r="E40" s="2992"/>
      <c r="F40" s="2993"/>
      <c r="G40" s="2928"/>
      <c r="H40" s="2846"/>
      <c r="I40" s="2847"/>
      <c r="J40" s="3642"/>
      <c r="K40" s="3645"/>
      <c r="L40" s="2901" t="s">
        <v>2373</v>
      </c>
      <c r="M40" s="2902"/>
      <c r="N40" s="2902"/>
      <c r="O40" s="2903"/>
      <c r="P40" s="2903"/>
      <c r="Q40" s="2904"/>
      <c r="R40" s="2850">
        <f>SUM(R37:R39)</f>
        <v>0</v>
      </c>
      <c r="S40" s="2920"/>
      <c r="T40" s="2839"/>
      <c r="U40" s="2839"/>
      <c r="V40" s="2847"/>
    </row>
    <row r="41" spans="1:23" s="2851" customFormat="1" ht="13.15" customHeight="1" thickBot="1">
      <c r="A41" s="2994">
        <v>11</v>
      </c>
      <c r="B41" s="2995" t="s">
        <v>2435</v>
      </c>
      <c r="C41" s="2995" t="e">
        <f>ROUND(C40*10000/B4,0)</f>
        <v>#DIV/0!</v>
      </c>
      <c r="D41" s="2996"/>
      <c r="E41" s="2996"/>
      <c r="F41" s="2997"/>
      <c r="G41" s="2998"/>
      <c r="H41" s="2846"/>
      <c r="I41" s="2847"/>
      <c r="J41" s="2942">
        <v>2</v>
      </c>
      <c r="K41" s="2943" t="s">
        <v>2413</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2415</v>
      </c>
      <c r="L42" s="2950"/>
      <c r="M42" s="2951"/>
      <c r="N42" s="2952" t="s">
        <v>2416</v>
      </c>
      <c r="O42" s="2952" t="s">
        <v>2417</v>
      </c>
      <c r="P42" s="2953" t="s">
        <v>2418</v>
      </c>
      <c r="Q42" s="2953" t="s">
        <v>2419</v>
      </c>
      <c r="R42" s="2856" t="s">
        <v>2344</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2422</v>
      </c>
      <c r="L44" s="3002" t="s">
        <v>2423</v>
      </c>
      <c r="M44" s="2965"/>
      <c r="N44" s="3002" t="s">
        <v>2424</v>
      </c>
      <c r="O44" s="2965"/>
      <c r="P44" s="3002" t="s">
        <v>2425</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26.992000000000001</v>
      </c>
      <c r="C2" s="1870" t="s">
        <v>1651</v>
      </c>
      <c r="D2" s="1871" t="s">
        <v>1652</v>
      </c>
      <c r="E2" s="2605">
        <f>SUM(E6:E13)</f>
        <v>54.47</v>
      </c>
      <c r="F2" s="2705"/>
      <c r="G2" s="1487"/>
      <c r="H2" s="1487"/>
      <c r="I2" s="1487"/>
      <c r="J2" s="1487"/>
      <c r="K2" s="1487"/>
      <c r="L2" s="1487"/>
      <c r="M2" s="1487"/>
      <c r="N2" s="1487"/>
      <c r="O2" s="1487"/>
      <c r="P2" s="1487"/>
      <c r="Q2" s="1487"/>
      <c r="R2" s="1487"/>
      <c r="S2" s="1487"/>
    </row>
    <row r="3" spans="1:22" ht="15.75">
      <c r="A3" s="1868" t="s">
        <v>686</v>
      </c>
      <c r="B3" s="2599">
        <f ca="1">ROUND(B2*10000/E2,0)</f>
        <v>4955</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61" t="s">
        <v>1654</v>
      </c>
      <c r="C5" s="3662"/>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 (元)</v>
      </c>
      <c r="B6" s="2600">
        <f ca="1">IF(F6="是",'数据-取费表'!AO6,0)</f>
        <v>26.992000000000001</v>
      </c>
      <c r="C6" s="1870" t="s">
        <v>1651</v>
      </c>
      <c r="D6" s="2707"/>
      <c r="E6" s="2604">
        <f>IF(OR(A6=0,F6="否"),0,'数据-取费表'!K6+'数据-取费表'!S6)</f>
        <v>54.47</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4"/>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54.47</v>
      </c>
      <c r="E3" s="905"/>
      <c r="F3" s="1886"/>
      <c r="G3" s="905"/>
      <c r="H3" s="905"/>
      <c r="I3" s="905"/>
      <c r="J3" s="905"/>
      <c r="K3" s="1882"/>
      <c r="L3" s="2711"/>
      <c r="M3" s="2712"/>
      <c r="N3" s="2712"/>
      <c r="O3" s="2712"/>
      <c r="P3" s="1883"/>
      <c r="Q3" s="1884"/>
      <c r="R3" s="1884"/>
      <c r="S3" s="1884"/>
      <c r="T3" s="1884"/>
      <c r="U3" s="1884"/>
      <c r="V3" s="1884"/>
      <c r="W3" s="1884"/>
      <c r="X3" s="1884"/>
      <c r="Y3" s="1884"/>
      <c r="Z3" s="1884"/>
      <c r="AA3" s="1884"/>
      <c r="AB3" s="1884"/>
      <c r="AC3" s="1059"/>
    </row>
    <row r="4" spans="1:29" ht="15">
      <c r="A4" s="355" t="s">
        <v>1666</v>
      </c>
      <c r="B4" s="356"/>
      <c r="C4" s="3681" t="s">
        <v>1667</v>
      </c>
      <c r="D4" s="3682"/>
      <c r="E4" s="3683" t="s">
        <v>1668</v>
      </c>
      <c r="F4" s="3684"/>
      <c r="G4" s="3681" t="s">
        <v>1669</v>
      </c>
      <c r="H4" s="3682"/>
      <c r="I4" s="3681" t="s">
        <v>1670</v>
      </c>
      <c r="J4" s="3682"/>
      <c r="K4" s="1887" t="s">
        <v>1671</v>
      </c>
      <c r="L4" s="2713"/>
      <c r="M4" s="2714"/>
      <c r="N4" s="2714"/>
      <c r="O4" s="2714"/>
      <c r="P4" s="3685" t="s">
        <v>1672</v>
      </c>
      <c r="Q4" s="3686"/>
      <c r="R4" s="3691" t="s">
        <v>1668</v>
      </c>
      <c r="S4" s="3692"/>
      <c r="T4" s="3691" t="s">
        <v>1669</v>
      </c>
      <c r="U4" s="3692"/>
      <c r="V4" s="3697" t="s">
        <v>1670</v>
      </c>
      <c r="W4" s="3697"/>
      <c r="X4" s="1353"/>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88"/>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1888"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SUMIF(58:58,YEAR(E7)&amp;"-"&amp;MONTH(E7),59:59)</f>
        <v>0</v>
      </c>
      <c r="G7" s="366"/>
      <c r="H7" s="365">
        <f>SUMIF(58:58,YEAR(G7)&amp;"-"&amp;MONTH(G7),59:59)</f>
        <v>0</v>
      </c>
      <c r="I7" s="366"/>
      <c r="J7" s="365">
        <f>SUMIF(58:58,YEAR(I7)&amp;"-"&amp;MONTH(I7),59:59)</f>
        <v>0</v>
      </c>
      <c r="K7" s="1889"/>
      <c r="L7" s="2715"/>
      <c r="M7" s="2716"/>
      <c r="N7" s="2716"/>
      <c r="O7" s="2716"/>
      <c r="P7" s="3702" t="s">
        <v>1680</v>
      </c>
      <c r="Q7" s="3704"/>
      <c r="R7" s="699" t="s">
        <v>20</v>
      </c>
      <c r="S7" s="700">
        <f t="shared" ref="S7:S15" si="0">F7</f>
        <v>0</v>
      </c>
      <c r="T7" s="699" t="s">
        <v>20</v>
      </c>
      <c r="U7" s="700">
        <f t="shared" ref="U7:U15" si="1">H7</f>
        <v>0</v>
      </c>
      <c r="V7" s="699" t="s">
        <v>20</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5"/>
      <c r="M8" s="2716"/>
      <c r="N8" s="2716"/>
      <c r="O8" s="2716"/>
      <c r="P8" s="3702" t="s">
        <v>1683</v>
      </c>
      <c r="Q8" s="3703"/>
      <c r="R8" s="699" t="s">
        <v>20</v>
      </c>
      <c r="S8" s="700">
        <f t="shared" si="0"/>
        <v>100</v>
      </c>
      <c r="T8" s="699" t="s">
        <v>20</v>
      </c>
      <c r="U8" s="700">
        <f t="shared" si="1"/>
        <v>100</v>
      </c>
      <c r="V8" s="699" t="s">
        <v>20</v>
      </c>
      <c r="W8" s="700">
        <f t="shared" si="2"/>
        <v>100</v>
      </c>
      <c r="X8" s="701"/>
      <c r="Y8" s="3702" t="s">
        <v>1683</v>
      </c>
      <c r="Z8" s="3703"/>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1" t="str">
        <f t="shared" si="6"/>
        <v>容积率</v>
      </c>
      <c r="R11" s="699" t="s">
        <v>18</v>
      </c>
      <c r="S11" s="700" t="e">
        <f t="shared" si="0"/>
        <v>#N/A</v>
      </c>
      <c r="T11" s="699" t="s">
        <v>18</v>
      </c>
      <c r="U11" s="700" t="e">
        <f t="shared" si="1"/>
        <v>#N/A</v>
      </c>
      <c r="V11" s="699" t="s">
        <v>18</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677"/>
      <c r="Q12" s="1341">
        <f t="shared" si="6"/>
        <v>111</v>
      </c>
      <c r="R12" s="699" t="s">
        <v>18</v>
      </c>
      <c r="S12" s="700">
        <f t="shared" si="0"/>
        <v>100</v>
      </c>
      <c r="T12" s="699" t="s">
        <v>18</v>
      </c>
      <c r="U12" s="700">
        <f t="shared" si="1"/>
        <v>100</v>
      </c>
      <c r="V12" s="699" t="s">
        <v>18</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677"/>
      <c r="Q13" s="1341">
        <f t="shared" si="6"/>
        <v>111</v>
      </c>
      <c r="R13" s="699" t="s">
        <v>18</v>
      </c>
      <c r="S13" s="700">
        <f t="shared" si="0"/>
        <v>100</v>
      </c>
      <c r="T13" s="699" t="s">
        <v>18</v>
      </c>
      <c r="U13" s="700">
        <f t="shared" si="1"/>
        <v>100</v>
      </c>
      <c r="V13" s="699" t="s">
        <v>18</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677"/>
      <c r="Q14" s="1341">
        <f t="shared" si="6"/>
        <v>111</v>
      </c>
      <c r="R14" s="699" t="s">
        <v>18</v>
      </c>
      <c r="S14" s="700">
        <f t="shared" si="0"/>
        <v>100</v>
      </c>
      <c r="T14" s="699" t="s">
        <v>18</v>
      </c>
      <c r="U14" s="700">
        <f t="shared" si="1"/>
        <v>100</v>
      </c>
      <c r="V14" s="699" t="s">
        <v>18</v>
      </c>
      <c r="W14" s="700">
        <f t="shared" si="2"/>
        <v>100</v>
      </c>
      <c r="X14" s="701"/>
      <c r="Y14" s="3541"/>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0" t="str">
        <f t="shared" si="6"/>
        <v>居住社区成熟度</v>
      </c>
      <c r="R15" s="703" t="s">
        <v>18</v>
      </c>
      <c r="S15" s="704">
        <f t="shared" si="0"/>
        <v>100</v>
      </c>
      <c r="T15" s="703" t="s">
        <v>18</v>
      </c>
      <c r="U15" s="704">
        <f t="shared" si="1"/>
        <v>100</v>
      </c>
      <c r="V15" s="703" t="s">
        <v>18</v>
      </c>
      <c r="W15" s="704">
        <f t="shared" si="2"/>
        <v>100</v>
      </c>
      <c r="X15" s="1353"/>
      <c r="Y15" s="3668"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676"/>
      <c r="Q16" s="1350"/>
      <c r="R16" s="703"/>
      <c r="S16" s="704"/>
      <c r="T16" s="703"/>
      <c r="U16" s="704"/>
      <c r="V16" s="703"/>
      <c r="W16" s="704"/>
      <c r="X16" s="1353"/>
      <c r="Y16" s="3669"/>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0" t="str">
        <f>B17</f>
        <v>交通便捷度</v>
      </c>
      <c r="R17" s="703" t="s">
        <v>18</v>
      </c>
      <c r="S17" s="704">
        <f>F17</f>
        <v>100</v>
      </c>
      <c r="T17" s="703" t="s">
        <v>18</v>
      </c>
      <c r="U17" s="704">
        <f>H17</f>
        <v>100</v>
      </c>
      <c r="V17" s="703" t="s">
        <v>18</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0" t="str">
        <f>B19</f>
        <v>公共配套设施</v>
      </c>
      <c r="R19" s="703" t="s">
        <v>18</v>
      </c>
      <c r="S19" s="704">
        <f>F19</f>
        <v>100</v>
      </c>
      <c r="T19" s="703" t="s">
        <v>18</v>
      </c>
      <c r="U19" s="704">
        <f>H19</f>
        <v>100</v>
      </c>
      <c r="V19" s="703" t="s">
        <v>18</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20"/>
      <c r="M22" s="2714"/>
      <c r="N22" s="2714"/>
      <c r="O22" s="2714"/>
      <c r="P22" s="3676"/>
      <c r="Q22" s="1350"/>
      <c r="R22" s="703"/>
      <c r="S22" s="704"/>
      <c r="T22" s="703"/>
      <c r="U22" s="704"/>
      <c r="V22" s="703"/>
      <c r="W22" s="704"/>
      <c r="X22" s="1353"/>
      <c r="Y22" s="3669"/>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0" t="str">
        <f>B23</f>
        <v>自然及人文环境</v>
      </c>
      <c r="R23" s="703" t="s">
        <v>18</v>
      </c>
      <c r="S23" s="704">
        <f>F23</f>
        <v>100</v>
      </c>
      <c r="T23" s="703" t="s">
        <v>18</v>
      </c>
      <c r="U23" s="704">
        <f>H23</f>
        <v>100</v>
      </c>
      <c r="V23" s="703" t="s">
        <v>18</v>
      </c>
      <c r="W23" s="704">
        <f>J23</f>
        <v>100</v>
      </c>
      <c r="X23" s="1353"/>
      <c r="Y23" s="3669"/>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676"/>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669"/>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676"/>
      <c r="Q26" s="1350" t="str">
        <f t="shared" si="11"/>
        <v>朝向</v>
      </c>
      <c r="R26" s="703" t="s">
        <v>18</v>
      </c>
      <c r="S26" s="704">
        <f t="shared" si="12"/>
        <v>100</v>
      </c>
      <c r="T26" s="703" t="s">
        <v>18</v>
      </c>
      <c r="U26" s="704">
        <f t="shared" si="13"/>
        <v>100</v>
      </c>
      <c r="V26" s="703" t="s">
        <v>18</v>
      </c>
      <c r="W26" s="704">
        <f t="shared" si="14"/>
        <v>100</v>
      </c>
      <c r="X26" s="1353"/>
      <c r="Y26" s="3669"/>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5"/>
      <c r="M27" s="2716"/>
      <c r="N27" s="2716"/>
      <c r="O27" s="2716"/>
      <c r="P27" s="3676"/>
      <c r="Q27" s="1341">
        <f t="shared" si="11"/>
        <v>111</v>
      </c>
      <c r="R27" s="699" t="s">
        <v>18</v>
      </c>
      <c r="S27" s="700">
        <f t="shared" si="12"/>
        <v>100</v>
      </c>
      <c r="T27" s="699" t="s">
        <v>18</v>
      </c>
      <c r="U27" s="700">
        <f t="shared" si="13"/>
        <v>100</v>
      </c>
      <c r="V27" s="699" t="s">
        <v>18</v>
      </c>
      <c r="W27" s="700">
        <f t="shared" si="14"/>
        <v>100</v>
      </c>
      <c r="X27" s="701"/>
      <c r="Y27" s="3669"/>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676"/>
      <c r="Q28" s="1350">
        <f t="shared" si="11"/>
        <v>111</v>
      </c>
      <c r="R28" s="703" t="s">
        <v>18</v>
      </c>
      <c r="S28" s="704">
        <f t="shared" si="12"/>
        <v>100</v>
      </c>
      <c r="T28" s="703" t="s">
        <v>18</v>
      </c>
      <c r="U28" s="704">
        <f t="shared" si="13"/>
        <v>100</v>
      </c>
      <c r="V28" s="703" t="s">
        <v>18</v>
      </c>
      <c r="W28" s="704">
        <f t="shared" si="14"/>
        <v>100</v>
      </c>
      <c r="X28" s="1353"/>
      <c r="Y28" s="3669"/>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676"/>
      <c r="Q29" s="1350">
        <f t="shared" si="11"/>
        <v>111</v>
      </c>
      <c r="R29" s="703" t="s">
        <v>18</v>
      </c>
      <c r="S29" s="704">
        <f t="shared" si="12"/>
        <v>100</v>
      </c>
      <c r="T29" s="703" t="s">
        <v>18</v>
      </c>
      <c r="U29" s="704">
        <f t="shared" si="13"/>
        <v>100</v>
      </c>
      <c r="V29" s="703" t="s">
        <v>18</v>
      </c>
      <c r="W29" s="704">
        <f t="shared" si="14"/>
        <v>100</v>
      </c>
      <c r="X29" s="1353"/>
      <c r="Y29" s="3669"/>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676"/>
      <c r="Q30" s="1350">
        <f t="shared" si="11"/>
        <v>111</v>
      </c>
      <c r="R30" s="703" t="s">
        <v>18</v>
      </c>
      <c r="S30" s="704">
        <f t="shared" si="12"/>
        <v>100</v>
      </c>
      <c r="T30" s="703" t="s">
        <v>18</v>
      </c>
      <c r="U30" s="704">
        <f t="shared" si="13"/>
        <v>100</v>
      </c>
      <c r="V30" s="703" t="s">
        <v>18</v>
      </c>
      <c r="W30" s="704">
        <f t="shared" si="14"/>
        <v>100</v>
      </c>
      <c r="X30" s="1353"/>
      <c r="Y30" s="3669"/>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676"/>
      <c r="Q31" s="1350">
        <f t="shared" si="11"/>
        <v>111</v>
      </c>
      <c r="R31" s="703" t="s">
        <v>18</v>
      </c>
      <c r="S31" s="704">
        <f t="shared" si="12"/>
        <v>100</v>
      </c>
      <c r="T31" s="703" t="s">
        <v>18</v>
      </c>
      <c r="U31" s="704">
        <f t="shared" si="13"/>
        <v>100</v>
      </c>
      <c r="V31" s="703" t="s">
        <v>18</v>
      </c>
      <c r="W31" s="704">
        <f t="shared" si="14"/>
        <v>100</v>
      </c>
      <c r="X31" s="1353"/>
      <c r="Y31" s="3669"/>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670" t="s">
        <v>1696</v>
      </c>
      <c r="Q32" s="1350" t="str">
        <f t="shared" si="11"/>
        <v>建筑类型</v>
      </c>
      <c r="R32" s="703" t="s">
        <v>18</v>
      </c>
      <c r="S32" s="704">
        <f t="shared" si="12"/>
        <v>100</v>
      </c>
      <c r="T32" s="703" t="s">
        <v>18</v>
      </c>
      <c r="U32" s="704">
        <f t="shared" si="13"/>
        <v>100</v>
      </c>
      <c r="V32" s="703" t="s">
        <v>18</v>
      </c>
      <c r="W32" s="704">
        <f t="shared" si="14"/>
        <v>100</v>
      </c>
      <c r="X32" s="1353"/>
      <c r="Y32" s="3673"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9"/>
      <c r="M33" s="2721"/>
      <c r="N33" s="2721"/>
      <c r="O33" s="2721"/>
      <c r="P33" s="3671"/>
      <c r="Q33" s="705" t="str">
        <f t="shared" si="11"/>
        <v>项目建筑规模</v>
      </c>
      <c r="R33" s="706" t="s">
        <v>18</v>
      </c>
      <c r="S33" s="707" t="e">
        <f t="shared" si="12"/>
        <v>#N/A</v>
      </c>
      <c r="T33" s="706" t="s">
        <v>18</v>
      </c>
      <c r="U33" s="707" t="e">
        <f t="shared" si="13"/>
        <v>#N/A</v>
      </c>
      <c r="V33" s="706" t="s">
        <v>18</v>
      </c>
      <c r="W33" s="707" t="e">
        <f t="shared" si="14"/>
        <v>#N/A</v>
      </c>
      <c r="X33" s="708"/>
      <c r="Y33" s="3673"/>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671"/>
      <c r="Q34" s="1350" t="str">
        <f t="shared" si="11"/>
        <v>建筑结构</v>
      </c>
      <c r="R34" s="703" t="s">
        <v>18</v>
      </c>
      <c r="S34" s="704">
        <f t="shared" si="12"/>
        <v>100</v>
      </c>
      <c r="T34" s="703" t="s">
        <v>18</v>
      </c>
      <c r="U34" s="704">
        <f t="shared" si="13"/>
        <v>100</v>
      </c>
      <c r="V34" s="703" t="s">
        <v>18</v>
      </c>
      <c r="W34" s="704">
        <f t="shared" si="14"/>
        <v>100</v>
      </c>
      <c r="X34" s="1353"/>
      <c r="Y34" s="3673"/>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671"/>
      <c r="Q35" s="1350" t="str">
        <f t="shared" si="11"/>
        <v>建筑品质</v>
      </c>
      <c r="R35" s="703" t="s">
        <v>18</v>
      </c>
      <c r="S35" s="704">
        <f t="shared" si="12"/>
        <v>100</v>
      </c>
      <c r="T35" s="703" t="s">
        <v>18</v>
      </c>
      <c r="U35" s="704">
        <f t="shared" si="13"/>
        <v>100</v>
      </c>
      <c r="V35" s="703" t="s">
        <v>18</v>
      </c>
      <c r="W35" s="704">
        <f t="shared" si="14"/>
        <v>100</v>
      </c>
      <c r="X35" s="1353"/>
      <c r="Y35" s="3673"/>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671"/>
      <c r="Q36" s="1350" t="str">
        <f t="shared" si="11"/>
        <v>公共部分装修</v>
      </c>
      <c r="R36" s="703" t="s">
        <v>18</v>
      </c>
      <c r="S36" s="704">
        <f t="shared" si="12"/>
        <v>100</v>
      </c>
      <c r="T36" s="703" t="s">
        <v>18</v>
      </c>
      <c r="U36" s="704">
        <f t="shared" si="13"/>
        <v>100</v>
      </c>
      <c r="V36" s="703" t="s">
        <v>18</v>
      </c>
      <c r="W36" s="704">
        <f t="shared" si="14"/>
        <v>100</v>
      </c>
      <c r="X36" s="1353"/>
      <c r="Y36" s="3673"/>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1" t="str">
        <f t="shared" si="11"/>
        <v>成新度</v>
      </c>
      <c r="R37" s="699" t="s">
        <v>18</v>
      </c>
      <c r="S37" s="700" t="e">
        <f t="shared" si="12"/>
        <v>#N/A</v>
      </c>
      <c r="T37" s="699" t="s">
        <v>18</v>
      </c>
      <c r="U37" s="700" t="e">
        <f t="shared" si="13"/>
        <v>#N/A</v>
      </c>
      <c r="V37" s="699" t="s">
        <v>18</v>
      </c>
      <c r="W37" s="700" t="e">
        <f t="shared" si="14"/>
        <v>#N/A</v>
      </c>
      <c r="X37" s="701"/>
      <c r="Y37" s="3673"/>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671" t="s">
        <v>1696</v>
      </c>
      <c r="Q38" s="1350" t="str">
        <f t="shared" si="11"/>
        <v>物业管理</v>
      </c>
      <c r="R38" s="703" t="s">
        <v>18</v>
      </c>
      <c r="S38" s="704">
        <f t="shared" si="12"/>
        <v>100</v>
      </c>
      <c r="T38" s="703" t="s">
        <v>18</v>
      </c>
      <c r="U38" s="704">
        <f t="shared" si="13"/>
        <v>100</v>
      </c>
      <c r="V38" s="703" t="s">
        <v>18</v>
      </c>
      <c r="W38" s="704">
        <f t="shared" si="14"/>
        <v>100</v>
      </c>
      <c r="X38" s="1353"/>
      <c r="Y38" s="3673"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671"/>
      <c r="Q39" s="1350" t="str">
        <f t="shared" si="11"/>
        <v>市政基础设施</v>
      </c>
      <c r="R39" s="703" t="s">
        <v>18</v>
      </c>
      <c r="S39" s="704">
        <f t="shared" si="12"/>
        <v>100</v>
      </c>
      <c r="T39" s="703" t="s">
        <v>18</v>
      </c>
      <c r="U39" s="704">
        <f t="shared" si="13"/>
        <v>100</v>
      </c>
      <c r="V39" s="703" t="s">
        <v>18</v>
      </c>
      <c r="W39" s="704">
        <f t="shared" si="14"/>
        <v>100</v>
      </c>
      <c r="X39" s="1353"/>
      <c r="Y39" s="3673"/>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671"/>
      <c r="Q40" s="1350" t="str">
        <f t="shared" si="11"/>
        <v>房型</v>
      </c>
      <c r="R40" s="703" t="s">
        <v>18</v>
      </c>
      <c r="S40" s="704">
        <f t="shared" si="12"/>
        <v>100</v>
      </c>
      <c r="T40" s="703" t="s">
        <v>18</v>
      </c>
      <c r="U40" s="704">
        <f t="shared" si="13"/>
        <v>100</v>
      </c>
      <c r="V40" s="703" t="s">
        <v>18</v>
      </c>
      <c r="W40" s="704">
        <f t="shared" si="14"/>
        <v>100</v>
      </c>
      <c r="X40" s="1353"/>
      <c r="Y40" s="3673"/>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671"/>
      <c r="Q41" s="705" t="str">
        <f t="shared" si="11"/>
        <v>单套/主力户型建筑面积</v>
      </c>
      <c r="R41" s="706" t="s">
        <v>18</v>
      </c>
      <c r="S41" s="707">
        <f t="shared" si="12"/>
        <v>100</v>
      </c>
      <c r="T41" s="706" t="s">
        <v>18</v>
      </c>
      <c r="U41" s="707">
        <f t="shared" si="13"/>
        <v>100</v>
      </c>
      <c r="V41" s="706" t="s">
        <v>18</v>
      </c>
      <c r="W41" s="707">
        <f t="shared" si="14"/>
        <v>100</v>
      </c>
      <c r="X41" s="708"/>
      <c r="Y41" s="3673"/>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671"/>
      <c r="Q42" s="1350" t="str">
        <f t="shared" si="11"/>
        <v>内部装修</v>
      </c>
      <c r="R42" s="703" t="s">
        <v>18</v>
      </c>
      <c r="S42" s="704">
        <f t="shared" si="12"/>
        <v>100</v>
      </c>
      <c r="T42" s="703" t="s">
        <v>18</v>
      </c>
      <c r="U42" s="704">
        <f t="shared" si="13"/>
        <v>100</v>
      </c>
      <c r="V42" s="703" t="s">
        <v>18</v>
      </c>
      <c r="W42" s="704">
        <f t="shared" si="14"/>
        <v>100</v>
      </c>
      <c r="X42" s="1353"/>
      <c r="Y42" s="3673"/>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671"/>
      <c r="Q43" s="1350" t="str">
        <f t="shared" si="11"/>
        <v>内部装修维护情况</v>
      </c>
      <c r="R43" s="703" t="s">
        <v>18</v>
      </c>
      <c r="S43" s="704">
        <f t="shared" si="12"/>
        <v>100</v>
      </c>
      <c r="T43" s="703" t="s">
        <v>18</v>
      </c>
      <c r="U43" s="704">
        <f t="shared" si="13"/>
        <v>100</v>
      </c>
      <c r="V43" s="703" t="s">
        <v>18</v>
      </c>
      <c r="W43" s="704">
        <f t="shared" si="14"/>
        <v>100</v>
      </c>
      <c r="X43" s="1353"/>
      <c r="Y43" s="3673"/>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671"/>
      <c r="Q44" s="1341">
        <f t="shared" si="11"/>
        <v>111</v>
      </c>
      <c r="R44" s="699" t="s">
        <v>18</v>
      </c>
      <c r="S44" s="700">
        <f t="shared" si="12"/>
        <v>100</v>
      </c>
      <c r="T44" s="699" t="s">
        <v>18</v>
      </c>
      <c r="U44" s="700">
        <f t="shared" si="13"/>
        <v>100</v>
      </c>
      <c r="V44" s="699" t="s">
        <v>18</v>
      </c>
      <c r="W44" s="700">
        <f t="shared" si="14"/>
        <v>100</v>
      </c>
      <c r="X44" s="701"/>
      <c r="Y44" s="3673"/>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671"/>
      <c r="Q45" s="1350">
        <f t="shared" si="11"/>
        <v>111</v>
      </c>
      <c r="R45" s="703" t="s">
        <v>18</v>
      </c>
      <c r="S45" s="704">
        <f t="shared" si="12"/>
        <v>100</v>
      </c>
      <c r="T45" s="703" t="s">
        <v>18</v>
      </c>
      <c r="U45" s="704">
        <f t="shared" si="13"/>
        <v>100</v>
      </c>
      <c r="V45" s="703" t="s">
        <v>18</v>
      </c>
      <c r="W45" s="704">
        <f t="shared" si="14"/>
        <v>100</v>
      </c>
      <c r="X45" s="1353"/>
      <c r="Y45" s="3673"/>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672"/>
      <c r="Q46" s="1350">
        <f t="shared" si="11"/>
        <v>111</v>
      </c>
      <c r="R46" s="703" t="s">
        <v>17</v>
      </c>
      <c r="S46" s="704">
        <f t="shared" si="12"/>
        <v>100</v>
      </c>
      <c r="T46" s="703" t="s">
        <v>17</v>
      </c>
      <c r="U46" s="704">
        <f t="shared" si="13"/>
        <v>100</v>
      </c>
      <c r="V46" s="703" t="s">
        <v>17</v>
      </c>
      <c r="W46" s="704">
        <f t="shared" si="14"/>
        <v>100</v>
      </c>
      <c r="X46" s="1353"/>
      <c r="Y46" s="3674"/>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2"/>
      <c r="M47" s="2723"/>
      <c r="N47" s="2714"/>
      <c r="O47" s="2723"/>
      <c r="P47" s="3666" t="str">
        <f>A47</f>
        <v>成交单价（元/平方米）</v>
      </c>
      <c r="Q47" s="3666"/>
      <c r="R47" s="3667">
        <f>E47</f>
        <v>0</v>
      </c>
      <c r="S47" s="3667"/>
      <c r="T47" s="3667">
        <f>G47</f>
        <v>0</v>
      </c>
      <c r="U47" s="3667"/>
      <c r="V47" s="3667">
        <f>I47</f>
        <v>0</v>
      </c>
      <c r="W47" s="3667"/>
      <c r="X47" s="688"/>
      <c r="Y47" s="710"/>
      <c r="Z47" s="688"/>
      <c r="AA47" s="688"/>
      <c r="AB47" s="688"/>
      <c r="AC47" s="688"/>
    </row>
    <row r="48" spans="1:29" ht="15.75" thickBot="1">
      <c r="A48" s="437" t="s">
        <v>1709</v>
      </c>
      <c r="B48" s="438"/>
      <c r="C48" s="1158" t="e">
        <f>R49</f>
        <v>#DIV/0!</v>
      </c>
      <c r="D48" s="2315" t="s">
        <v>2137</v>
      </c>
      <c r="E48" s="1159" t="e">
        <f>R48</f>
        <v>#DIV/0!</v>
      </c>
      <c r="F48" s="2316"/>
      <c r="G48" s="1158" t="e">
        <f>T48</f>
        <v>#DIV/0!</v>
      </c>
      <c r="H48" s="2316"/>
      <c r="I48" s="1159" t="e">
        <f>V48</f>
        <v>#DIV/0!</v>
      </c>
      <c r="J48" s="2316"/>
      <c r="K48" s="2317">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85" zoomScaleNormal="70" zoomScaleSheetLayoutView="85" workbookViewId="0">
      <selection activeCell="E48" sqref="E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t="s">
        <v>673</v>
      </c>
      <c r="E1" s="3424" t="s">
        <v>3404</v>
      </c>
      <c r="F1" s="1877" t="s">
        <v>3405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t="e">
        <f>IF(E1="项目模式",IF(C2="——",ROUND(C49*D3/10000,0),ROUND(C49*D3/10000,0)-D2),IF(E1="单套模式",IF(C2="——",ROUND(C49*D3/10000,4),ROUND(C49*D3/10000,4)-D2)))</f>
        <v>#DIV/0!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1950"/>
      <c r="Q2" s="910"/>
      <c r="R2" s="910"/>
      <c r="S2" s="910"/>
      <c r="T2" s="910"/>
      <c r="U2" s="910"/>
      <c r="V2" s="910"/>
      <c r="W2" s="910"/>
      <c r="X2" s="910"/>
      <c r="Y2" s="910"/>
      <c r="Z2" s="910"/>
      <c r="AA2" s="910"/>
      <c r="AB2" s="910"/>
      <c r="AC2" s="1951"/>
    </row>
    <row r="3" spans="1:29" s="352" customFormat="1" ht="28.5" customHeight="1" thickBot="1">
      <c r="A3" s="203" t="s">
        <v>1464</v>
      </c>
      <c r="B3" s="558" t="e">
        <f>IF(C2="——",C49,ROUND(B2*10000/D3,0))</f>
        <v>#DIV/0!</v>
      </c>
      <c r="C3" s="354" t="s">
        <v>1768</v>
      </c>
      <c r="D3" s="353">
        <f>IF(D1="",'数据-汇总表'!E3,SUMIF('数据-汇总表'!$C19:$C33,D1,'数据-汇总表'!$E19:$E33))</f>
        <v>54.47</v>
      </c>
      <c r="E3" s="1952"/>
      <c r="F3" s="907"/>
      <c r="G3" s="906"/>
      <c r="H3" s="906"/>
      <c r="I3" s="906"/>
      <c r="J3" s="906"/>
      <c r="K3" s="908"/>
      <c r="L3" s="2732"/>
      <c r="M3" s="2733"/>
      <c r="N3" s="2733"/>
      <c r="O3" s="2733"/>
      <c r="P3" s="1950"/>
      <c r="Q3" s="910"/>
      <c r="R3" s="910"/>
      <c r="S3" s="910"/>
      <c r="T3" s="910"/>
      <c r="U3" s="910"/>
      <c r="V3" s="910"/>
      <c r="W3" s="910"/>
      <c r="X3" s="910"/>
      <c r="Y3" s="910"/>
      <c r="Z3" s="910"/>
      <c r="AA3" s="910"/>
      <c r="AB3" s="910"/>
      <c r="AC3" s="1952"/>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97"/>
      <c r="AC6" s="3680"/>
    </row>
    <row r="7" spans="1:29" s="108" customFormat="1" ht="15.75" thickBot="1">
      <c r="A7" s="362" t="s">
        <v>1679</v>
      </c>
      <c r="B7" s="363"/>
      <c r="C7" s="364">
        <f>'数据-取费表'!B2</f>
        <v>45595</v>
      </c>
      <c r="D7" s="365">
        <v>100</v>
      </c>
      <c r="E7" s="366">
        <v>45474</v>
      </c>
      <c r="F7" s="367">
        <f>SUMIF(58:58,YEAR(E7)&amp;"-"&amp;MONTH(E7),59:59)</f>
        <v>0</v>
      </c>
      <c r="G7" s="366">
        <v>45474</v>
      </c>
      <c r="H7" s="365">
        <f>SUMIF(58:58,YEAR(G7)&amp;"-"&amp;MONTH(G7),59:59)</f>
        <v>0</v>
      </c>
      <c r="I7" s="366">
        <v>45474</v>
      </c>
      <c r="J7" s="365">
        <f>SUMIF(58:58,YEAR(I7)&amp;"-"&amp;MONTH(I7),59:59)</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3407</v>
      </c>
      <c r="D8" s="365">
        <v>100</v>
      </c>
      <c r="E8" s="368" t="s">
        <v>3407</v>
      </c>
      <c r="F8" s="367">
        <f>SUMIF(61:61,E8,62:62)-SUMIF(61:61,C8,62:62)+100</f>
        <v>100</v>
      </c>
      <c r="G8" s="368" t="s">
        <v>3407</v>
      </c>
      <c r="H8" s="365">
        <f>SUMIF(61:61,G8,62:62)-SUMIF(61:61,C8,62:62)+100</f>
        <v>100</v>
      </c>
      <c r="I8" s="368" t="s">
        <v>3407</v>
      </c>
      <c r="J8" s="365">
        <f>SUMIF(61:61,I8,62:62)-SUMIF(61:61,C8,62:62)+100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46" si="3">D8/F8</f>
        <v>1</v>
      </c>
      <c r="AB8" s="702">
        <f t="shared" ref="AB8:AB46" si="4">D8/H8</f>
        <v>1</v>
      </c>
      <c r="AC8" s="702">
        <f t="shared" ref="AC8:AC46" si="5">D8/J8</f>
        <v>1</v>
      </c>
    </row>
    <row r="9" spans="1:29" s="108" customFormat="1">
      <c r="A9" s="369" t="s">
        <v>1684</v>
      </c>
      <c r="B9" s="63" t="s">
        <v>1685</v>
      </c>
      <c r="C9" s="3449" t="s">
        <v>3413</v>
      </c>
      <c r="D9" s="126">
        <v>100</v>
      </c>
      <c r="E9" s="371" t="s">
        <v>21</v>
      </c>
      <c r="F9" s="372">
        <f>SUMIF(63:63,E9,64:64)-SUMIF(63:63,C9,64:64)+100</f>
        <v>100</v>
      </c>
      <c r="G9" s="371" t="s">
        <v>21</v>
      </c>
      <c r="H9" s="126">
        <f>SUMIF(63:63,G9,64:64)-SUMIF(63:63,C9,64:64)+100</f>
        <v>100</v>
      </c>
      <c r="I9" s="371" t="s">
        <v>21</v>
      </c>
      <c r="J9" s="126">
        <f>SUMIF(63:63,I9,64:64)-SUMIF(63:63,C9,64:64)+100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0" t="str">
        <f t="shared" si="6"/>
        <v>商业繁华度</v>
      </c>
      <c r="R15" s="703" t="s">
        <v>14</v>
      </c>
      <c r="S15" s="704">
        <f t="shared" si="0"/>
        <v>100</v>
      </c>
      <c r="T15" s="703" t="s">
        <v>14</v>
      </c>
      <c r="U15" s="704">
        <f t="shared" si="1"/>
        <v>100</v>
      </c>
      <c r="V15" s="703" t="s">
        <v>14</v>
      </c>
      <c r="W15" s="704">
        <f t="shared" si="2"/>
        <v>100</v>
      </c>
      <c r="X15" s="1353"/>
      <c r="Y15" s="3668" t="s">
        <v>1691</v>
      </c>
      <c r="Z15" s="1354" t="str">
        <f t="shared" si="7"/>
        <v>商业繁华度</v>
      </c>
      <c r="AA15" s="1351">
        <f t="shared" si="3"/>
        <v>1</v>
      </c>
      <c r="AB15" s="1351">
        <f t="shared" si="4"/>
        <v>1</v>
      </c>
      <c r="AC15" s="1351">
        <f t="shared" si="5"/>
        <v>1</v>
      </c>
    </row>
    <row r="16" spans="1:29" ht="15">
      <c r="A16" s="379"/>
      <c r="B16" s="397"/>
      <c r="C16" s="398" t="s">
        <v>3408</v>
      </c>
      <c r="D16" s="399"/>
      <c r="E16" s="398" t="s">
        <v>3408</v>
      </c>
      <c r="F16" s="400"/>
      <c r="G16" s="398" t="s">
        <v>3408</v>
      </c>
      <c r="H16" s="401"/>
      <c r="I16" s="398" t="s">
        <v>3408</v>
      </c>
      <c r="J16" s="399"/>
      <c r="K16" s="564"/>
      <c r="L16" s="2720"/>
      <c r="M16" s="2714"/>
      <c r="N16" s="2714"/>
      <c r="O16" s="2714"/>
      <c r="P16" s="3676"/>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398" t="s">
        <v>3408</v>
      </c>
      <c r="D18" s="401"/>
      <c r="E18" s="398" t="s">
        <v>3408</v>
      </c>
      <c r="F18" s="404"/>
      <c r="G18" s="398" t="s">
        <v>3408</v>
      </c>
      <c r="H18" s="399"/>
      <c r="I18" s="398" t="s">
        <v>3408</v>
      </c>
      <c r="J18" s="399"/>
      <c r="K18" s="564"/>
      <c r="L18" s="2720"/>
      <c r="M18" s="2714"/>
      <c r="N18" s="2714"/>
      <c r="O18" s="2714"/>
      <c r="P18" s="3676"/>
      <c r="Q18" s="1350"/>
      <c r="R18" s="703"/>
      <c r="S18" s="704"/>
      <c r="T18" s="703"/>
      <c r="U18" s="704"/>
      <c r="V18" s="703"/>
      <c r="W18" s="704"/>
      <c r="X18" s="1353"/>
      <c r="Y18" s="3669"/>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t="s">
        <v>3408</v>
      </c>
      <c r="D20" s="399"/>
      <c r="E20" s="398" t="s">
        <v>3408</v>
      </c>
      <c r="F20" s="400"/>
      <c r="G20" s="398" t="s">
        <v>3408</v>
      </c>
      <c r="H20" s="399"/>
      <c r="I20" s="398" t="s">
        <v>3408</v>
      </c>
      <c r="J20" s="399"/>
      <c r="K20" s="564"/>
      <c r="L20" s="2720"/>
      <c r="M20" s="2714"/>
      <c r="N20" s="2714"/>
      <c r="O20" s="2714"/>
      <c r="P20" s="3676"/>
      <c r="Q20" s="1350"/>
      <c r="R20" s="703"/>
      <c r="S20" s="704"/>
      <c r="T20" s="703"/>
      <c r="U20" s="704"/>
      <c r="V20" s="703"/>
      <c r="W20" s="704"/>
      <c r="X20" s="1353"/>
      <c r="Y20" s="3669"/>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t="s">
        <v>3409</v>
      </c>
      <c r="D22" s="399"/>
      <c r="E22" s="1899" t="s">
        <v>3409</v>
      </c>
      <c r="F22" s="400"/>
      <c r="G22" s="1899" t="s">
        <v>3409</v>
      </c>
      <c r="H22" s="399"/>
      <c r="I22" s="1899" t="s">
        <v>3409</v>
      </c>
      <c r="J22" s="399"/>
      <c r="K22" s="1128"/>
      <c r="L22" s="2720"/>
      <c r="M22" s="2714"/>
      <c r="N22" s="2714"/>
      <c r="O22" s="2714"/>
      <c r="P22" s="3676"/>
      <c r="Q22" s="1350"/>
      <c r="R22" s="703"/>
      <c r="S22" s="704"/>
      <c r="T22" s="703"/>
      <c r="U22" s="704"/>
      <c r="V22" s="703"/>
      <c r="W22" s="704"/>
      <c r="X22" s="1353"/>
      <c r="Y22" s="3669"/>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0" t="str">
        <f>B23</f>
        <v>自然及人文环境</v>
      </c>
      <c r="R23" s="703" t="s">
        <v>14</v>
      </c>
      <c r="S23" s="704">
        <f>F23</f>
        <v>100</v>
      </c>
      <c r="T23" s="703" t="s">
        <v>14</v>
      </c>
      <c r="U23" s="704">
        <f>H23</f>
        <v>100</v>
      </c>
      <c r="V23" s="703" t="s">
        <v>14</v>
      </c>
      <c r="W23" s="704">
        <f>J23</f>
        <v>100</v>
      </c>
      <c r="X23" s="1353"/>
      <c r="Y23" s="3669"/>
      <c r="Z23" s="1354" t="str">
        <f>Q23</f>
        <v>自然及人文环境</v>
      </c>
      <c r="AA23" s="1351">
        <f t="shared" si="3"/>
        <v>1</v>
      </c>
      <c r="AB23" s="1351">
        <f t="shared" si="4"/>
        <v>1</v>
      </c>
      <c r="AC23" s="1351">
        <f t="shared" si="5"/>
        <v>1</v>
      </c>
    </row>
    <row r="24" spans="1:29" ht="15">
      <c r="A24" s="379"/>
      <c r="B24" s="407"/>
      <c r="C24" s="398" t="s">
        <v>3408</v>
      </c>
      <c r="D24" s="399"/>
      <c r="E24" s="398" t="s">
        <v>3408</v>
      </c>
      <c r="F24" s="400"/>
      <c r="G24" s="398" t="s">
        <v>3408</v>
      </c>
      <c r="H24" s="399"/>
      <c r="I24" s="398" t="s">
        <v>3408</v>
      </c>
      <c r="J24" s="399"/>
      <c r="K24" s="564"/>
      <c r="L24" s="2720"/>
      <c r="M24" s="2714"/>
      <c r="N24" s="2714"/>
      <c r="O24" s="2714"/>
      <c r="P24" s="3676"/>
      <c r="Q24" s="1350"/>
      <c r="R24" s="703"/>
      <c r="S24" s="704"/>
      <c r="T24" s="703"/>
      <c r="U24" s="704"/>
      <c r="V24" s="703"/>
      <c r="W24" s="704"/>
      <c r="X24" s="1353"/>
      <c r="Y24" s="3669"/>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0" t="str">
        <f t="shared" ref="Q25:Q46" si="11">B25</f>
        <v>临街状况</v>
      </c>
      <c r="R25" s="703" t="s">
        <v>14</v>
      </c>
      <c r="S25" s="704">
        <f>F25</f>
        <v>100</v>
      </c>
      <c r="T25" s="703" t="s">
        <v>14</v>
      </c>
      <c r="U25" s="704">
        <f>H25</f>
        <v>100</v>
      </c>
      <c r="V25" s="703" t="s">
        <v>14</v>
      </c>
      <c r="W25" s="704">
        <f>J25</f>
        <v>100</v>
      </c>
      <c r="X25" s="1353"/>
      <c r="Y25" s="3669"/>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0" t="str">
        <f t="shared" si="11"/>
        <v>平面位置/可视性</v>
      </c>
      <c r="R26" s="703" t="s">
        <v>14</v>
      </c>
      <c r="S26" s="704">
        <f>F26</f>
        <v>100</v>
      </c>
      <c r="T26" s="703" t="s">
        <v>14</v>
      </c>
      <c r="U26" s="704">
        <f>H26</f>
        <v>100</v>
      </c>
      <c r="V26" s="703" t="s">
        <v>14</v>
      </c>
      <c r="W26" s="704">
        <f>J26</f>
        <v>100</v>
      </c>
      <c r="X26" s="1353"/>
      <c r="Y26" s="3669"/>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676"/>
      <c r="Q27" s="1341" t="str">
        <f t="shared" si="11"/>
        <v>人流量</v>
      </c>
      <c r="R27" s="699" t="s">
        <v>14</v>
      </c>
      <c r="S27" s="700">
        <f>F27</f>
        <v>100</v>
      </c>
      <c r="T27" s="699" t="s">
        <v>14</v>
      </c>
      <c r="U27" s="700">
        <f>H27</f>
        <v>100</v>
      </c>
      <c r="V27" s="699" t="s">
        <v>14</v>
      </c>
      <c r="W27" s="700">
        <f>J27</f>
        <v>100</v>
      </c>
      <c r="X27" s="701"/>
      <c r="Y27" s="3669"/>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669"/>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0">
        <f t="shared" si="11"/>
        <v>111</v>
      </c>
      <c r="R29" s="703" t="s">
        <v>14</v>
      </c>
      <c r="S29" s="704">
        <f t="shared" si="12"/>
        <v>100</v>
      </c>
      <c r="T29" s="703" t="s">
        <v>14</v>
      </c>
      <c r="U29" s="704">
        <f t="shared" si="13"/>
        <v>100</v>
      </c>
      <c r="V29" s="703" t="s">
        <v>14</v>
      </c>
      <c r="W29" s="704">
        <f t="shared" si="14"/>
        <v>100</v>
      </c>
      <c r="X29" s="1353"/>
      <c r="Y29" s="3669"/>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670" t="s">
        <v>1696</v>
      </c>
      <c r="Q32" s="1350" t="str">
        <f t="shared" si="11"/>
        <v>商业类型</v>
      </c>
      <c r="R32" s="703" t="s">
        <v>14</v>
      </c>
      <c r="S32" s="704">
        <f t="shared" si="12"/>
        <v>100</v>
      </c>
      <c r="T32" s="703" t="s">
        <v>14</v>
      </c>
      <c r="U32" s="704">
        <f t="shared" si="13"/>
        <v>100</v>
      </c>
      <c r="V32" s="703" t="s">
        <v>14</v>
      </c>
      <c r="W32" s="704">
        <f t="shared" si="14"/>
        <v>100</v>
      </c>
      <c r="X32" s="1353"/>
      <c r="Y32" s="3673" t="s">
        <v>1696</v>
      </c>
      <c r="Z32" s="1354" t="str">
        <f t="shared" si="15"/>
        <v>商业类型</v>
      </c>
      <c r="AA32" s="1351">
        <f t="shared" si="3"/>
        <v>1</v>
      </c>
      <c r="AB32" s="1351">
        <f t="shared" si="4"/>
        <v>1</v>
      </c>
      <c r="AC32" s="1351">
        <f t="shared" si="5"/>
        <v>1</v>
      </c>
    </row>
    <row r="33" spans="1:29" s="422" customFormat="1" ht="15">
      <c r="A33" s="419"/>
      <c r="B33" s="375" t="s">
        <v>1697</v>
      </c>
      <c r="C33" s="420">
        <f>'数据-汇总表'!F19</f>
        <v>54.47</v>
      </c>
      <c r="D33" s="127">
        <v>100</v>
      </c>
      <c r="E33" s="381">
        <v>90</v>
      </c>
      <c r="F33" s="376">
        <f>LOOKUP(E33,103:103,104:104)-LOOKUP(C33,103:103,104:104)+100</f>
        <v>100</v>
      </c>
      <c r="G33" s="380">
        <v>30</v>
      </c>
      <c r="H33" s="127">
        <f>LOOKUP(G33,103:103,104:104)-LOOKUP(C33,103:103,104:104)+100</f>
        <v>100</v>
      </c>
      <c r="I33" s="380">
        <v>50</v>
      </c>
      <c r="J33" s="127">
        <f>LOOKUP(I33,103:103,104:104)-LOOKUP(C33,103:103,104:104)+100</f>
        <v>100</v>
      </c>
      <c r="K33" s="562"/>
      <c r="L33" s="2719"/>
      <c r="M33" s="2721"/>
      <c r="N33" s="2721"/>
      <c r="O33" s="2721"/>
      <c r="P33" s="3671"/>
      <c r="Q33" s="705" t="str">
        <f t="shared" si="11"/>
        <v>项目建筑规模</v>
      </c>
      <c r="R33" s="706" t="s">
        <v>14</v>
      </c>
      <c r="S33" s="707">
        <f t="shared" si="12"/>
        <v>100</v>
      </c>
      <c r="T33" s="706" t="s">
        <v>14</v>
      </c>
      <c r="U33" s="707">
        <f t="shared" si="13"/>
        <v>100</v>
      </c>
      <c r="V33" s="706" t="s">
        <v>14</v>
      </c>
      <c r="W33" s="707">
        <f t="shared" si="14"/>
        <v>100</v>
      </c>
      <c r="X33" s="708"/>
      <c r="Y33" s="3673"/>
      <c r="Z33" s="709" t="str">
        <f t="shared" si="15"/>
        <v>项目建筑规模</v>
      </c>
      <c r="AA33" s="1351">
        <f t="shared" si="3"/>
        <v>1</v>
      </c>
      <c r="AB33" s="1351">
        <f t="shared" si="4"/>
        <v>1</v>
      </c>
      <c r="AC33" s="1351">
        <f t="shared" si="5"/>
        <v>1</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671"/>
      <c r="Q34" s="1350" t="str">
        <f t="shared" si="11"/>
        <v>建筑结构</v>
      </c>
      <c r="R34" s="703" t="s">
        <v>14</v>
      </c>
      <c r="S34" s="704">
        <f t="shared" si="12"/>
        <v>100</v>
      </c>
      <c r="T34" s="703" t="s">
        <v>14</v>
      </c>
      <c r="U34" s="704">
        <f t="shared" si="13"/>
        <v>100</v>
      </c>
      <c r="V34" s="703" t="s">
        <v>14</v>
      </c>
      <c r="W34" s="704">
        <f t="shared" si="14"/>
        <v>100</v>
      </c>
      <c r="X34" s="1353"/>
      <c r="Y34" s="3673"/>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671"/>
      <c r="Q35" s="1350" t="str">
        <f t="shared" si="11"/>
        <v>公共部分装修</v>
      </c>
      <c r="R35" s="703" t="s">
        <v>14</v>
      </c>
      <c r="S35" s="704">
        <f t="shared" si="12"/>
        <v>100</v>
      </c>
      <c r="T35" s="703" t="s">
        <v>14</v>
      </c>
      <c r="U35" s="704">
        <f t="shared" si="13"/>
        <v>100</v>
      </c>
      <c r="V35" s="703" t="s">
        <v>14</v>
      </c>
      <c r="W35" s="704">
        <f t="shared" si="14"/>
        <v>100</v>
      </c>
      <c r="X35" s="1353"/>
      <c r="Y35" s="3673"/>
      <c r="Z35" s="1354" t="str">
        <f t="shared" si="15"/>
        <v>公共部分装修</v>
      </c>
      <c r="AA35" s="1351">
        <f t="shared" si="3"/>
        <v>1</v>
      </c>
      <c r="AB35" s="1351">
        <f t="shared" si="4"/>
        <v>1</v>
      </c>
      <c r="AC35" s="1351">
        <f t="shared" si="5"/>
        <v>1</v>
      </c>
    </row>
    <row r="36" spans="1:29" ht="15">
      <c r="A36" s="423"/>
      <c r="B36" s="375" t="s">
        <v>1786</v>
      </c>
      <c r="C36" s="425">
        <v>0.97</v>
      </c>
      <c r="D36" s="386">
        <v>100</v>
      </c>
      <c r="E36" s="425">
        <f>C36</f>
        <v>0.97</v>
      </c>
      <c r="F36" s="412">
        <f>LOOKUP(E36,110:110,111:111)-LOOKUP(C36,110:110,111:111)+100</f>
        <v>100</v>
      </c>
      <c r="G36" s="425">
        <f>C36</f>
        <v>0.97</v>
      </c>
      <c r="H36" s="412">
        <f>LOOKUP(G36,110:110,111:111)-LOOKUP(C36,110:110,111:111)+100</f>
        <v>100</v>
      </c>
      <c r="I36" s="425">
        <f>C36</f>
        <v>0.97</v>
      </c>
      <c r="J36" s="386">
        <f>LOOKUP(I36,110:110,111:111)-LOOKUP(C36,110:110,111:111)+100</f>
        <v>100</v>
      </c>
      <c r="K36" s="561"/>
      <c r="L36" s="2720"/>
      <c r="M36" s="2714"/>
      <c r="N36" s="2714"/>
      <c r="O36" s="2714"/>
      <c r="P36" s="3671"/>
      <c r="Q36" s="1350" t="str">
        <f t="shared" si="11"/>
        <v>成新度</v>
      </c>
      <c r="R36" s="703" t="s">
        <v>14</v>
      </c>
      <c r="S36" s="704">
        <f t="shared" si="12"/>
        <v>100</v>
      </c>
      <c r="T36" s="703" t="s">
        <v>14</v>
      </c>
      <c r="U36" s="704">
        <f t="shared" si="13"/>
        <v>100</v>
      </c>
      <c r="V36" s="703" t="s">
        <v>14</v>
      </c>
      <c r="W36" s="704">
        <f t="shared" si="14"/>
        <v>100</v>
      </c>
      <c r="X36" s="1353"/>
      <c r="Y36" s="3673"/>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671"/>
      <c r="Q37" s="1341" t="str">
        <f t="shared" si="11"/>
        <v>市政基础设施</v>
      </c>
      <c r="R37" s="699" t="s">
        <v>14</v>
      </c>
      <c r="S37" s="700">
        <f t="shared" si="12"/>
        <v>100</v>
      </c>
      <c r="T37" s="699" t="s">
        <v>14</v>
      </c>
      <c r="U37" s="700">
        <f t="shared" si="13"/>
        <v>100</v>
      </c>
      <c r="V37" s="699" t="s">
        <v>14</v>
      </c>
      <c r="W37" s="700">
        <f t="shared" si="14"/>
        <v>100</v>
      </c>
      <c r="X37" s="701"/>
      <c r="Y37" s="3673"/>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671" t="s">
        <v>1696</v>
      </c>
      <c r="Q38" s="1350" t="str">
        <f t="shared" si="11"/>
        <v>业态</v>
      </c>
      <c r="R38" s="703" t="s">
        <v>14</v>
      </c>
      <c r="S38" s="704">
        <f t="shared" si="12"/>
        <v>100</v>
      </c>
      <c r="T38" s="703" t="s">
        <v>14</v>
      </c>
      <c r="U38" s="704">
        <f t="shared" si="13"/>
        <v>100</v>
      </c>
      <c r="V38" s="703" t="s">
        <v>14</v>
      </c>
      <c r="W38" s="704">
        <f t="shared" si="14"/>
        <v>100</v>
      </c>
      <c r="X38" s="1353"/>
      <c r="Y38" s="3673"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671"/>
      <c r="Q39" s="1350" t="str">
        <f t="shared" si="11"/>
        <v>层高</v>
      </c>
      <c r="R39" s="703" t="s">
        <v>14</v>
      </c>
      <c r="S39" s="704">
        <f t="shared" si="12"/>
        <v>100</v>
      </c>
      <c r="T39" s="703" t="s">
        <v>14</v>
      </c>
      <c r="U39" s="704">
        <f t="shared" si="13"/>
        <v>100</v>
      </c>
      <c r="V39" s="703" t="s">
        <v>14</v>
      </c>
      <c r="W39" s="704">
        <f t="shared" si="14"/>
        <v>100</v>
      </c>
      <c r="X39" s="1353"/>
      <c r="Y39" s="3673"/>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0" t="str">
        <f t="shared" si="11"/>
        <v>单套建筑面积</v>
      </c>
      <c r="R40" s="703" t="s">
        <v>14</v>
      </c>
      <c r="S40" s="704">
        <f t="shared" si="12"/>
        <v>100</v>
      </c>
      <c r="T40" s="703" t="s">
        <v>14</v>
      </c>
      <c r="U40" s="704">
        <f t="shared" si="13"/>
        <v>100</v>
      </c>
      <c r="V40" s="703" t="s">
        <v>14</v>
      </c>
      <c r="W40" s="704">
        <f t="shared" si="14"/>
        <v>100</v>
      </c>
      <c r="X40" s="1353"/>
      <c r="Y40" s="3673"/>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5" t="str">
        <f t="shared" si="11"/>
        <v>进深比</v>
      </c>
      <c r="R41" s="706" t="s">
        <v>14</v>
      </c>
      <c r="S41" s="707">
        <f t="shared" si="12"/>
        <v>100</v>
      </c>
      <c r="T41" s="706" t="s">
        <v>14</v>
      </c>
      <c r="U41" s="707">
        <f t="shared" si="13"/>
        <v>100</v>
      </c>
      <c r="V41" s="706" t="s">
        <v>14</v>
      </c>
      <c r="W41" s="707">
        <f t="shared" si="14"/>
        <v>100</v>
      </c>
      <c r="X41" s="708"/>
      <c r="Y41" s="3673"/>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671"/>
      <c r="Q42" s="1350" t="str">
        <f t="shared" si="11"/>
        <v>内部装修</v>
      </c>
      <c r="R42" s="703" t="s">
        <v>14</v>
      </c>
      <c r="S42" s="704">
        <f t="shared" si="12"/>
        <v>100</v>
      </c>
      <c r="T42" s="703" t="s">
        <v>14</v>
      </c>
      <c r="U42" s="704">
        <f t="shared" si="13"/>
        <v>100</v>
      </c>
      <c r="V42" s="703" t="s">
        <v>14</v>
      </c>
      <c r="W42" s="704">
        <f t="shared" si="14"/>
        <v>100</v>
      </c>
      <c r="X42" s="1353"/>
      <c r="Y42" s="3673"/>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671"/>
      <c r="Q43" s="1350" t="str">
        <f t="shared" si="11"/>
        <v>内部装修维护情况</v>
      </c>
      <c r="R43" s="703" t="s">
        <v>14</v>
      </c>
      <c r="S43" s="704">
        <f t="shared" si="12"/>
        <v>100</v>
      </c>
      <c r="T43" s="703" t="s">
        <v>14</v>
      </c>
      <c r="U43" s="704">
        <f t="shared" si="13"/>
        <v>100</v>
      </c>
      <c r="V43" s="703" t="s">
        <v>14</v>
      </c>
      <c r="W43" s="704">
        <f t="shared" si="14"/>
        <v>100</v>
      </c>
      <c r="X43" s="1353"/>
      <c r="Y43" s="3673"/>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1">
        <f t="shared" si="11"/>
        <v>111</v>
      </c>
      <c r="R44" s="699" t="s">
        <v>14</v>
      </c>
      <c r="S44" s="700">
        <f t="shared" si="12"/>
        <v>100</v>
      </c>
      <c r="T44" s="699" t="s">
        <v>14</v>
      </c>
      <c r="U44" s="700">
        <f t="shared" si="13"/>
        <v>100</v>
      </c>
      <c r="V44" s="699" t="s">
        <v>14</v>
      </c>
      <c r="W44" s="700">
        <f t="shared" si="14"/>
        <v>100</v>
      </c>
      <c r="X44" s="701"/>
      <c r="Y44" s="3673"/>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0">
        <f t="shared" si="11"/>
        <v>111</v>
      </c>
      <c r="R45" s="703" t="s">
        <v>14</v>
      </c>
      <c r="S45" s="704">
        <f t="shared" si="12"/>
        <v>100</v>
      </c>
      <c r="T45" s="703" t="s">
        <v>14</v>
      </c>
      <c r="U45" s="704">
        <f t="shared" si="13"/>
        <v>100</v>
      </c>
      <c r="V45" s="703" t="s">
        <v>14</v>
      </c>
      <c r="W45" s="704">
        <f t="shared" si="14"/>
        <v>100</v>
      </c>
      <c r="X45" s="1353"/>
      <c r="Y45" s="3673"/>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0">
        <f t="shared" si="11"/>
        <v>111</v>
      </c>
      <c r="R46" s="703" t="s">
        <v>14</v>
      </c>
      <c r="S46" s="704">
        <f t="shared" si="12"/>
        <v>100</v>
      </c>
      <c r="T46" s="703" t="s">
        <v>14</v>
      </c>
      <c r="U46" s="704">
        <f t="shared" si="13"/>
        <v>100</v>
      </c>
      <c r="V46" s="703" t="s">
        <v>14</v>
      </c>
      <c r="W46" s="704">
        <f t="shared" si="14"/>
        <v>100</v>
      </c>
      <c r="X46" s="1353"/>
      <c r="Y46" s="3674"/>
      <c r="Z46" s="1354">
        <f t="shared" si="15"/>
        <v>111</v>
      </c>
      <c r="AA46" s="1351">
        <f t="shared" si="3"/>
        <v>1</v>
      </c>
      <c r="AB46" s="1351">
        <f t="shared" si="4"/>
        <v>1</v>
      </c>
      <c r="AC46" s="1351">
        <f t="shared" si="5"/>
        <v>1</v>
      </c>
    </row>
    <row r="47" spans="1:29" ht="15">
      <c r="A47" s="430" t="s">
        <v>1708</v>
      </c>
      <c r="B47" s="431"/>
      <c r="C47" s="1152" t="s">
        <v>0</v>
      </c>
      <c r="D47" s="1153"/>
      <c r="E47" s="1154">
        <v>29200</v>
      </c>
      <c r="F47" s="1155"/>
      <c r="G47" s="1156">
        <f>E47</f>
        <v>29200</v>
      </c>
      <c r="H47" s="1157"/>
      <c r="I47" s="1154">
        <f>E47</f>
        <v>29200</v>
      </c>
      <c r="J47" s="1157"/>
      <c r="K47" s="712"/>
      <c r="L47" s="2722"/>
      <c r="M47" s="2723"/>
      <c r="N47" s="2714"/>
      <c r="O47" s="2723"/>
      <c r="P47" s="3666" t="str">
        <f>A47</f>
        <v>成交单价（元/平方米）</v>
      </c>
      <c r="Q47" s="3666"/>
      <c r="R47" s="3697">
        <f>E47</f>
        <v>29200</v>
      </c>
      <c r="S47" s="3697"/>
      <c r="T47" s="3697">
        <f>G47</f>
        <v>29200</v>
      </c>
      <c r="U47" s="3697"/>
      <c r="V47" s="3697">
        <f>I47</f>
        <v>29200</v>
      </c>
      <c r="W47" s="3697"/>
      <c r="X47" s="688"/>
      <c r="Y47" s="710"/>
      <c r="Z47" s="688"/>
      <c r="AA47" s="688"/>
      <c r="AB47" s="688"/>
      <c r="AC47" s="688"/>
    </row>
    <row r="48" spans="1:29" ht="15.75" thickBot="1">
      <c r="A48" s="437" t="s">
        <v>1793</v>
      </c>
      <c r="B48" s="438"/>
      <c r="C48" s="1158" t="e">
        <f>R49</f>
        <v>#DIV/0!</v>
      </c>
      <c r="D48" s="2315" t="s">
        <v>2137</v>
      </c>
      <c r="E48" s="1159" t="e">
        <f>R48</f>
        <v>#DIV/0!</v>
      </c>
      <c r="F48" s="2316"/>
      <c r="G48" s="1158" t="e">
        <f>T48</f>
        <v>#DIV/0!</v>
      </c>
      <c r="H48" s="2316"/>
      <c r="I48" s="1159" t="e">
        <f>V48</f>
        <v>#DIV/0!</v>
      </c>
      <c r="J48" s="2316"/>
      <c r="K48" s="2318">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88"/>
      <c r="Y48" s="688"/>
      <c r="Z48" s="688"/>
      <c r="AA48" s="688"/>
      <c r="AB48" s="688"/>
      <c r="AC48" s="688"/>
    </row>
    <row r="49" spans="1:29" ht="15.75" thickBot="1">
      <c r="A49" s="441" t="s">
        <v>1794</v>
      </c>
      <c r="B49" s="442"/>
      <c r="C49" s="1161" t="e">
        <f>R49</f>
        <v>#DIV/0!</v>
      </c>
      <c r="D49" s="1161"/>
      <c r="E49" s="1161"/>
      <c r="F49" s="1161"/>
      <c r="G49" s="1161"/>
      <c r="H49" s="1161"/>
      <c r="I49" s="1161"/>
      <c r="J49" s="1161"/>
      <c r="K49" s="713"/>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88"/>
      <c r="Y49" s="688"/>
      <c r="Z49" s="688"/>
      <c r="AA49" s="688"/>
      <c r="AB49" s="688"/>
      <c r="AC49" s="688"/>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f>IF(E47&lt;G47,G47/E47-1,E47/G47-1)</f>
        <v>0</v>
      </c>
      <c r="F54" s="449" t="str">
        <f>IF(OR(E54&gt;=0.3,E54&lt;=-0.3),"超过30%","")</f>
        <v/>
      </c>
      <c r="G54" s="448">
        <f>IF(G47&lt;I47,I47/G47-1,G47/I47-1)</f>
        <v>0</v>
      </c>
      <c r="H54" s="449" t="str">
        <f>IF(OR(G54&gt;=0.3,G54&lt;=-0.3),"超过30%","")</f>
        <v/>
      </c>
      <c r="I54" s="448">
        <f>IF(I47&lt;E47,E47/I47-1,I47/E47-1)</f>
        <v>0</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2" t="s">
        <v>1798</v>
      </c>
      <c r="B57" s="688"/>
      <c r="C57" s="693"/>
      <c r="D57" s="693"/>
      <c r="E57" s="693"/>
      <c r="F57" s="694"/>
      <c r="G57" s="694"/>
      <c r="H57" s="693"/>
      <c r="I57" s="693"/>
      <c r="J57" s="693"/>
      <c r="K57" s="695"/>
      <c r="L57" s="940"/>
      <c r="M57" s="938"/>
      <c r="N57" s="938"/>
      <c r="O57" s="938"/>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3448" t="s">
        <v>3406</v>
      </c>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v>103</v>
      </c>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t="str">
        <f>C9</f>
        <v>办公</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7"/>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0(含)-100</v>
      </c>
      <c r="D102" s="527" t="str">
        <f t="shared" ref="D102:L102" si="23">D103&amp;"(含)"&amp;"-"&amp;E103</f>
        <v>100(含)-200</v>
      </c>
      <c r="E102" s="527" t="str">
        <f t="shared" si="23"/>
        <v>200(含)-300</v>
      </c>
      <c r="F102" s="527" t="str">
        <f t="shared" si="23"/>
        <v>300(含)-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300</v>
      </c>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v>100</v>
      </c>
      <c r="D104" s="485">
        <f>C104-1</f>
        <v>99</v>
      </c>
      <c r="E104" s="485">
        <f t="shared" ref="E104:F104" si="24">D104-1</f>
        <v>98</v>
      </c>
      <c r="F104" s="485">
        <f t="shared" si="24"/>
        <v>97</v>
      </c>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5">C106-$K34</f>
        <v>100</v>
      </c>
      <c r="E106" s="493">
        <f t="shared" si="25"/>
        <v>100</v>
      </c>
      <c r="F106" s="493">
        <f t="shared" si="25"/>
        <v>100</v>
      </c>
      <c r="G106" s="493">
        <f t="shared" si="25"/>
        <v>100</v>
      </c>
      <c r="H106" s="493">
        <f t="shared" si="25"/>
        <v>100</v>
      </c>
      <c r="I106" s="493">
        <f t="shared" si="25"/>
        <v>100</v>
      </c>
      <c r="J106" s="493">
        <f t="shared" si="25"/>
        <v>100</v>
      </c>
      <c r="K106" s="493">
        <f t="shared" si="25"/>
        <v>100</v>
      </c>
      <c r="L106" s="493">
        <f t="shared" si="25"/>
        <v>100</v>
      </c>
      <c r="M106" s="494">
        <f t="shared" si="25"/>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7">D111+$K36</f>
        <v>100</v>
      </c>
      <c r="F111" s="493">
        <f t="shared" si="27"/>
        <v>100</v>
      </c>
      <c r="G111" s="493">
        <f t="shared" si="27"/>
        <v>100</v>
      </c>
      <c r="H111" s="493">
        <f t="shared" si="27"/>
        <v>100</v>
      </c>
      <c r="I111" s="493">
        <f t="shared" si="27"/>
        <v>100</v>
      </c>
      <c r="J111" s="493">
        <f t="shared" si="27"/>
        <v>100</v>
      </c>
      <c r="K111" s="493">
        <f t="shared" si="27"/>
        <v>100</v>
      </c>
      <c r="L111" s="493">
        <f t="shared" si="27"/>
        <v>100</v>
      </c>
      <c r="M111" s="493">
        <f t="shared" si="27"/>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9">C115-$K38</f>
        <v>100</v>
      </c>
      <c r="E115" s="493">
        <f t="shared" si="29"/>
        <v>100</v>
      </c>
      <c r="F115" s="493">
        <f t="shared" si="29"/>
        <v>100</v>
      </c>
      <c r="G115" s="493">
        <f t="shared" si="29"/>
        <v>100</v>
      </c>
      <c r="H115" s="493">
        <f t="shared" si="29"/>
        <v>100</v>
      </c>
      <c r="I115" s="493">
        <f t="shared" si="29"/>
        <v>100</v>
      </c>
      <c r="J115" s="493">
        <f t="shared" si="29"/>
        <v>100</v>
      </c>
      <c r="K115" s="493">
        <f t="shared" si="29"/>
        <v>100</v>
      </c>
      <c r="L115" s="493">
        <f t="shared" si="29"/>
        <v>100</v>
      </c>
      <c r="M115" s="494">
        <f t="shared" si="29"/>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1">C123-$K42</f>
        <v>100</v>
      </c>
      <c r="E123" s="493">
        <f t="shared" si="31"/>
        <v>100</v>
      </c>
      <c r="F123" s="493">
        <f t="shared" si="31"/>
        <v>100</v>
      </c>
      <c r="G123" s="493">
        <f t="shared" si="31"/>
        <v>100</v>
      </c>
      <c r="H123" s="493">
        <f t="shared" si="31"/>
        <v>100</v>
      </c>
      <c r="I123" s="493">
        <f t="shared" si="31"/>
        <v>100</v>
      </c>
      <c r="J123" s="493">
        <f t="shared" si="31"/>
        <v>100</v>
      </c>
      <c r="K123" s="493">
        <f t="shared" si="31"/>
        <v>100</v>
      </c>
      <c r="L123" s="493">
        <f t="shared" si="31"/>
        <v>100</v>
      </c>
      <c r="M123" s="494">
        <f t="shared" si="31"/>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54.47</v>
      </c>
      <c r="E3" s="1952"/>
      <c r="F3" s="907"/>
      <c r="G3" s="906"/>
      <c r="H3" s="906"/>
      <c r="I3" s="906"/>
      <c r="J3" s="906"/>
      <c r="K3" s="908"/>
      <c r="L3" s="2732"/>
      <c r="M3" s="2733"/>
      <c r="N3" s="2733"/>
      <c r="O3" s="2733"/>
      <c r="P3" s="697"/>
      <c r="Q3" s="697"/>
      <c r="R3" s="697"/>
      <c r="S3" s="697"/>
      <c r="T3" s="697"/>
      <c r="U3" s="697"/>
      <c r="V3" s="697"/>
      <c r="W3" s="697"/>
      <c r="X3" s="697"/>
      <c r="Y3" s="697"/>
      <c r="Z3" s="697"/>
      <c r="AA3" s="697"/>
      <c r="AB3" s="697"/>
      <c r="AC3" s="698"/>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6"/>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3"/>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3"/>
      <c r="Y6" s="3695"/>
      <c r="Z6" s="3696"/>
      <c r="AA6" s="3680"/>
      <c r="AB6" s="3680"/>
      <c r="AC6" s="3714"/>
    </row>
    <row r="7" spans="1:29" s="108" customFormat="1" ht="15.75" thickBot="1">
      <c r="A7" s="362" t="s">
        <v>1679</v>
      </c>
      <c r="B7" s="363"/>
      <c r="C7" s="364">
        <f>'数据-取费表'!B2</f>
        <v>45595</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699" t="s">
        <v>14</v>
      </c>
      <c r="S8" s="700">
        <f t="shared" si="0"/>
        <v>100</v>
      </c>
      <c r="T8" s="699" t="s">
        <v>14</v>
      </c>
      <c r="U8" s="700">
        <f t="shared" si="1"/>
        <v>100</v>
      </c>
      <c r="V8" s="699" t="s">
        <v>14</v>
      </c>
      <c r="W8" s="700">
        <f t="shared" si="2"/>
        <v>100</v>
      </c>
      <c r="X8" s="701"/>
      <c r="Y8" s="3702" t="s">
        <v>1683</v>
      </c>
      <c r="Z8" s="3703"/>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677"/>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677"/>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677"/>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0" t="str">
        <f t="shared" si="6"/>
        <v>办公集聚程度</v>
      </c>
      <c r="R15" s="703" t="s">
        <v>14</v>
      </c>
      <c r="S15" s="704">
        <f t="shared" si="0"/>
        <v>100</v>
      </c>
      <c r="T15" s="703" t="s">
        <v>14</v>
      </c>
      <c r="U15" s="704">
        <f t="shared" si="1"/>
        <v>100</v>
      </c>
      <c r="V15" s="703" t="s">
        <v>14</v>
      </c>
      <c r="W15" s="704">
        <f t="shared" si="2"/>
        <v>100</v>
      </c>
      <c r="X15" s="1353"/>
      <c r="Y15" s="3668"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676"/>
      <c r="Q16" s="1350"/>
      <c r="R16" s="703"/>
      <c r="S16" s="704"/>
      <c r="T16" s="703"/>
      <c r="U16" s="704"/>
      <c r="V16" s="703"/>
      <c r="W16" s="704"/>
      <c r="X16" s="1353"/>
      <c r="Y16" s="3669"/>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676"/>
      <c r="Q18" s="1350"/>
      <c r="R18" s="703"/>
      <c r="S18" s="704"/>
      <c r="T18" s="703"/>
      <c r="U18" s="704"/>
      <c r="V18" s="703"/>
      <c r="W18" s="704"/>
      <c r="X18" s="1353"/>
      <c r="Y18" s="3669"/>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676"/>
      <c r="Q20" s="1350"/>
      <c r="R20" s="703"/>
      <c r="S20" s="704"/>
      <c r="T20" s="703"/>
      <c r="U20" s="704"/>
      <c r="V20" s="703"/>
      <c r="W20" s="704"/>
      <c r="X20" s="1353"/>
      <c r="Y20" s="3669"/>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20"/>
      <c r="M22" s="2714"/>
      <c r="N22" s="2714"/>
      <c r="O22" s="2714"/>
      <c r="P22" s="3676"/>
      <c r="Q22" s="1350"/>
      <c r="R22" s="703"/>
      <c r="S22" s="704"/>
      <c r="T22" s="703"/>
      <c r="U22" s="704"/>
      <c r="V22" s="703"/>
      <c r="W22" s="704"/>
      <c r="X22" s="1353"/>
      <c r="Y22" s="3669"/>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676"/>
      <c r="Q24" s="1350"/>
      <c r="R24" s="703"/>
      <c r="S24" s="704"/>
      <c r="T24" s="703"/>
      <c r="U24" s="704"/>
      <c r="V24" s="703"/>
      <c r="W24" s="704"/>
      <c r="X24" s="1353"/>
      <c r="Y24" s="3669"/>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676"/>
      <c r="Q25" s="1350" t="str">
        <f>B25</f>
        <v>毗邻道路的类型与等级</v>
      </c>
      <c r="R25" s="703" t="s">
        <v>14</v>
      </c>
      <c r="S25" s="704">
        <f>F25</f>
        <v>100</v>
      </c>
      <c r="T25" s="703" t="s">
        <v>14</v>
      </c>
      <c r="U25" s="704">
        <f>H25</f>
        <v>100</v>
      </c>
      <c r="V25" s="703" t="s">
        <v>14</v>
      </c>
      <c r="W25" s="704">
        <f>J25</f>
        <v>100</v>
      </c>
      <c r="X25" s="1353"/>
      <c r="Y25" s="3669"/>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676"/>
      <c r="Q26" s="1350"/>
      <c r="R26" s="703"/>
      <c r="S26" s="704"/>
      <c r="T26" s="703"/>
      <c r="U26" s="704"/>
      <c r="V26" s="703"/>
      <c r="W26" s="704"/>
      <c r="X26" s="1353"/>
      <c r="Y26" s="3669"/>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0" t="str">
        <f t="shared" ref="Q27:Q47" si="11">B27</f>
        <v>楼层</v>
      </c>
      <c r="R27" s="703" t="s">
        <v>14</v>
      </c>
      <c r="S27" s="704">
        <f>F27</f>
        <v>100</v>
      </c>
      <c r="T27" s="703" t="s">
        <v>14</v>
      </c>
      <c r="U27" s="704">
        <f>H27</f>
        <v>100</v>
      </c>
      <c r="V27" s="703" t="s">
        <v>14</v>
      </c>
      <c r="W27" s="704">
        <f>J27</f>
        <v>100</v>
      </c>
      <c r="X27" s="1353"/>
      <c r="Y27" s="3669"/>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676"/>
      <c r="Q28" s="1341" t="str">
        <f t="shared" si="11"/>
        <v>朝向</v>
      </c>
      <c r="R28" s="699" t="s">
        <v>14</v>
      </c>
      <c r="S28" s="700">
        <f>F28</f>
        <v>100</v>
      </c>
      <c r="T28" s="699" t="s">
        <v>14</v>
      </c>
      <c r="U28" s="700">
        <f>H28</f>
        <v>100</v>
      </c>
      <c r="V28" s="699" t="s">
        <v>14</v>
      </c>
      <c r="W28" s="700">
        <f>J28</f>
        <v>100</v>
      </c>
      <c r="X28" s="701"/>
      <c r="Y28" s="3669"/>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676"/>
      <c r="Q29" s="1350">
        <f t="shared" si="11"/>
        <v>111</v>
      </c>
      <c r="R29" s="703" t="s">
        <v>14</v>
      </c>
      <c r="S29" s="704">
        <f t="shared" ref="S29:S47" si="12">F29</f>
        <v>100</v>
      </c>
      <c r="T29" s="703" t="s">
        <v>14</v>
      </c>
      <c r="U29" s="704">
        <f t="shared" ref="U29:U47" si="13">H29</f>
        <v>100</v>
      </c>
      <c r="V29" s="703" t="s">
        <v>14</v>
      </c>
      <c r="W29" s="704">
        <f t="shared" ref="W29:W47" si="14">J29</f>
        <v>100</v>
      </c>
      <c r="X29" s="1353"/>
      <c r="Y29" s="3669"/>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676"/>
      <c r="Q30" s="1350">
        <f t="shared" si="11"/>
        <v>111</v>
      </c>
      <c r="R30" s="703" t="s">
        <v>14</v>
      </c>
      <c r="S30" s="704">
        <f t="shared" si="12"/>
        <v>100</v>
      </c>
      <c r="T30" s="703" t="s">
        <v>14</v>
      </c>
      <c r="U30" s="704">
        <f t="shared" si="13"/>
        <v>100</v>
      </c>
      <c r="V30" s="703" t="s">
        <v>14</v>
      </c>
      <c r="W30" s="704">
        <f t="shared" si="14"/>
        <v>100</v>
      </c>
      <c r="X30" s="1353"/>
      <c r="Y30" s="3669"/>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676"/>
      <c r="Q31" s="1350">
        <f t="shared" si="11"/>
        <v>111</v>
      </c>
      <c r="R31" s="703" t="s">
        <v>14</v>
      </c>
      <c r="S31" s="704">
        <f t="shared" si="12"/>
        <v>100</v>
      </c>
      <c r="T31" s="703" t="s">
        <v>14</v>
      </c>
      <c r="U31" s="704">
        <f t="shared" si="13"/>
        <v>100</v>
      </c>
      <c r="V31" s="703" t="s">
        <v>14</v>
      </c>
      <c r="W31" s="704">
        <f t="shared" si="14"/>
        <v>100</v>
      </c>
      <c r="X31" s="1353"/>
      <c r="Y31" s="3669"/>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676"/>
      <c r="Q32" s="1350">
        <f t="shared" si="11"/>
        <v>111</v>
      </c>
      <c r="R32" s="703" t="s">
        <v>14</v>
      </c>
      <c r="S32" s="704">
        <f t="shared" si="12"/>
        <v>100</v>
      </c>
      <c r="T32" s="703" t="s">
        <v>14</v>
      </c>
      <c r="U32" s="704">
        <f t="shared" si="13"/>
        <v>100</v>
      </c>
      <c r="V32" s="703" t="s">
        <v>14</v>
      </c>
      <c r="W32" s="704">
        <f t="shared" si="14"/>
        <v>100</v>
      </c>
      <c r="X32" s="1353"/>
      <c r="Y32" s="3669"/>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670" t="s">
        <v>1696</v>
      </c>
      <c r="Q33" s="1350" t="str">
        <f t="shared" si="11"/>
        <v>建筑类型</v>
      </c>
      <c r="R33" s="703" t="s">
        <v>14</v>
      </c>
      <c r="S33" s="704">
        <f t="shared" si="12"/>
        <v>100</v>
      </c>
      <c r="T33" s="703" t="s">
        <v>14</v>
      </c>
      <c r="U33" s="704">
        <f t="shared" si="13"/>
        <v>100</v>
      </c>
      <c r="V33" s="703" t="s">
        <v>14</v>
      </c>
      <c r="W33" s="704">
        <f t="shared" si="14"/>
        <v>100</v>
      </c>
      <c r="X33" s="1353"/>
      <c r="Y33" s="3673"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5" t="str">
        <f t="shared" si="11"/>
        <v>项目建筑规模</v>
      </c>
      <c r="R34" s="706" t="s">
        <v>14</v>
      </c>
      <c r="S34" s="707" t="e">
        <f t="shared" si="12"/>
        <v>#N/A</v>
      </c>
      <c r="T34" s="706" t="s">
        <v>14</v>
      </c>
      <c r="U34" s="707" t="e">
        <f t="shared" si="13"/>
        <v>#N/A</v>
      </c>
      <c r="V34" s="706" t="s">
        <v>14</v>
      </c>
      <c r="W34" s="707" t="e">
        <f t="shared" si="14"/>
        <v>#N/A</v>
      </c>
      <c r="X34" s="708"/>
      <c r="Y34" s="3673"/>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0" t="str">
        <f t="shared" si="11"/>
        <v>建筑结构</v>
      </c>
      <c r="R35" s="703" t="s">
        <v>14</v>
      </c>
      <c r="S35" s="704">
        <f t="shared" si="12"/>
        <v>100</v>
      </c>
      <c r="T35" s="703" t="s">
        <v>14</v>
      </c>
      <c r="U35" s="704">
        <f t="shared" si="13"/>
        <v>100</v>
      </c>
      <c r="V35" s="703" t="s">
        <v>14</v>
      </c>
      <c r="W35" s="704">
        <f t="shared" si="14"/>
        <v>100</v>
      </c>
      <c r="X35" s="1353"/>
      <c r="Y35" s="3673"/>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0" t="str">
        <f t="shared" si="11"/>
        <v>公共部分装修</v>
      </c>
      <c r="R36" s="703" t="s">
        <v>14</v>
      </c>
      <c r="S36" s="704">
        <f t="shared" si="12"/>
        <v>100</v>
      </c>
      <c r="T36" s="703" t="s">
        <v>14</v>
      </c>
      <c r="U36" s="704">
        <f t="shared" si="13"/>
        <v>100</v>
      </c>
      <c r="V36" s="703" t="s">
        <v>14</v>
      </c>
      <c r="W36" s="704">
        <f t="shared" si="14"/>
        <v>100</v>
      </c>
      <c r="X36" s="1353"/>
      <c r="Y36" s="3673"/>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0" t="str">
        <f t="shared" si="11"/>
        <v>成新度</v>
      </c>
      <c r="R37" s="703" t="s">
        <v>14</v>
      </c>
      <c r="S37" s="704" t="e">
        <f t="shared" si="12"/>
        <v>#N/A</v>
      </c>
      <c r="T37" s="703" t="s">
        <v>14</v>
      </c>
      <c r="U37" s="704" t="e">
        <f t="shared" si="13"/>
        <v>#N/A</v>
      </c>
      <c r="V37" s="703" t="s">
        <v>14</v>
      </c>
      <c r="W37" s="704" t="e">
        <f t="shared" si="14"/>
        <v>#N/A</v>
      </c>
      <c r="X37" s="1353"/>
      <c r="Y37" s="3673"/>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1" t="str">
        <f t="shared" si="11"/>
        <v>写字楼等级</v>
      </c>
      <c r="R38" s="699" t="s">
        <v>14</v>
      </c>
      <c r="S38" s="700">
        <f t="shared" si="12"/>
        <v>100</v>
      </c>
      <c r="T38" s="699" t="s">
        <v>14</v>
      </c>
      <c r="U38" s="700">
        <f t="shared" si="13"/>
        <v>100</v>
      </c>
      <c r="V38" s="699" t="s">
        <v>14</v>
      </c>
      <c r="W38" s="700">
        <f t="shared" si="14"/>
        <v>100</v>
      </c>
      <c r="X38" s="701"/>
      <c r="Y38" s="3673"/>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0" t="str">
        <f t="shared" si="11"/>
        <v>物业管理</v>
      </c>
      <c r="R39" s="703" t="s">
        <v>14</v>
      </c>
      <c r="S39" s="704">
        <f t="shared" si="12"/>
        <v>100</v>
      </c>
      <c r="T39" s="703" t="s">
        <v>14</v>
      </c>
      <c r="U39" s="704">
        <f t="shared" si="13"/>
        <v>100</v>
      </c>
      <c r="V39" s="703" t="s">
        <v>14</v>
      </c>
      <c r="W39" s="704">
        <f t="shared" si="14"/>
        <v>100</v>
      </c>
      <c r="X39" s="1353"/>
      <c r="Y39" s="3673"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0" t="str">
        <f t="shared" si="11"/>
        <v>市政基础设施</v>
      </c>
      <c r="R40" s="703" t="s">
        <v>14</v>
      </c>
      <c r="S40" s="704">
        <f t="shared" si="12"/>
        <v>100</v>
      </c>
      <c r="T40" s="703" t="s">
        <v>14</v>
      </c>
      <c r="U40" s="704">
        <f t="shared" si="13"/>
        <v>100</v>
      </c>
      <c r="V40" s="703" t="s">
        <v>14</v>
      </c>
      <c r="W40" s="704">
        <f t="shared" si="14"/>
        <v>100</v>
      </c>
      <c r="X40" s="1353"/>
      <c r="Y40" s="3673"/>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0" t="str">
        <f t="shared" si="11"/>
        <v>层高</v>
      </c>
      <c r="R41" s="703" t="s">
        <v>14</v>
      </c>
      <c r="S41" s="704">
        <f t="shared" si="12"/>
        <v>100</v>
      </c>
      <c r="T41" s="703" t="s">
        <v>14</v>
      </c>
      <c r="U41" s="704">
        <f t="shared" si="13"/>
        <v>100</v>
      </c>
      <c r="V41" s="703" t="s">
        <v>14</v>
      </c>
      <c r="W41" s="704">
        <f t="shared" si="14"/>
        <v>100</v>
      </c>
      <c r="X41" s="1353"/>
      <c r="Y41" s="3673"/>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5" t="str">
        <f t="shared" si="11"/>
        <v>单套建筑面积</v>
      </c>
      <c r="R42" s="706" t="s">
        <v>14</v>
      </c>
      <c r="S42" s="707">
        <f t="shared" si="12"/>
        <v>100</v>
      </c>
      <c r="T42" s="706" t="s">
        <v>14</v>
      </c>
      <c r="U42" s="707">
        <f t="shared" si="13"/>
        <v>100</v>
      </c>
      <c r="V42" s="706" t="s">
        <v>14</v>
      </c>
      <c r="W42" s="707">
        <f t="shared" si="14"/>
        <v>100</v>
      </c>
      <c r="X42" s="708"/>
      <c r="Y42" s="3673"/>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0" t="str">
        <f t="shared" si="11"/>
        <v>内部装修</v>
      </c>
      <c r="R43" s="703" t="s">
        <v>14</v>
      </c>
      <c r="S43" s="704">
        <f t="shared" si="12"/>
        <v>100</v>
      </c>
      <c r="T43" s="703" t="s">
        <v>14</v>
      </c>
      <c r="U43" s="704">
        <f t="shared" si="13"/>
        <v>100</v>
      </c>
      <c r="V43" s="703" t="s">
        <v>14</v>
      </c>
      <c r="W43" s="704">
        <f t="shared" si="14"/>
        <v>100</v>
      </c>
      <c r="X43" s="1353"/>
      <c r="Y43" s="3673"/>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671"/>
      <c r="Q44" s="1350" t="str">
        <f t="shared" si="11"/>
        <v>内部装修维护情况</v>
      </c>
      <c r="R44" s="703" t="s">
        <v>14</v>
      </c>
      <c r="S44" s="704">
        <f t="shared" si="12"/>
        <v>100</v>
      </c>
      <c r="T44" s="703" t="s">
        <v>14</v>
      </c>
      <c r="U44" s="704">
        <f t="shared" si="13"/>
        <v>100</v>
      </c>
      <c r="V44" s="703" t="s">
        <v>14</v>
      </c>
      <c r="W44" s="704">
        <f t="shared" si="14"/>
        <v>100</v>
      </c>
      <c r="X44" s="1353"/>
      <c r="Y44" s="3673"/>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1">
        <f t="shared" si="11"/>
        <v>111</v>
      </c>
      <c r="R45" s="699" t="s">
        <v>14</v>
      </c>
      <c r="S45" s="700">
        <f t="shared" si="12"/>
        <v>100</v>
      </c>
      <c r="T45" s="699" t="s">
        <v>14</v>
      </c>
      <c r="U45" s="700">
        <f t="shared" si="13"/>
        <v>100</v>
      </c>
      <c r="V45" s="699" t="s">
        <v>14</v>
      </c>
      <c r="W45" s="700">
        <f t="shared" si="14"/>
        <v>100</v>
      </c>
      <c r="X45" s="701"/>
      <c r="Y45" s="3673"/>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0">
        <f t="shared" si="11"/>
        <v>111</v>
      </c>
      <c r="R46" s="703" t="s">
        <v>14</v>
      </c>
      <c r="S46" s="704">
        <f t="shared" si="12"/>
        <v>100</v>
      </c>
      <c r="T46" s="703" t="s">
        <v>14</v>
      </c>
      <c r="U46" s="704">
        <f t="shared" si="13"/>
        <v>100</v>
      </c>
      <c r="V46" s="703" t="s">
        <v>14</v>
      </c>
      <c r="W46" s="704">
        <f t="shared" si="14"/>
        <v>100</v>
      </c>
      <c r="X46" s="1353"/>
      <c r="Y46" s="3673"/>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0">
        <f t="shared" si="11"/>
        <v>111</v>
      </c>
      <c r="R47" s="703" t="s">
        <v>14</v>
      </c>
      <c r="S47" s="704">
        <f t="shared" si="12"/>
        <v>100</v>
      </c>
      <c r="T47" s="703" t="s">
        <v>14</v>
      </c>
      <c r="U47" s="704">
        <f t="shared" si="13"/>
        <v>100</v>
      </c>
      <c r="V47" s="703" t="s">
        <v>14</v>
      </c>
      <c r="W47" s="704">
        <f t="shared" si="14"/>
        <v>100</v>
      </c>
      <c r="X47" s="1353"/>
      <c r="Y47" s="3674"/>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2"/>
      <c r="M48" s="2714"/>
      <c r="N48" s="2714"/>
      <c r="O48" s="2714"/>
      <c r="P48" s="3677" t="str">
        <f>A48</f>
        <v>成交单价（元/平方米）</v>
      </c>
      <c r="Q48" s="3666"/>
      <c r="R48" s="3667">
        <f>E48</f>
        <v>0</v>
      </c>
      <c r="S48" s="3667"/>
      <c r="T48" s="3667">
        <f>G48</f>
        <v>0</v>
      </c>
      <c r="U48" s="3667"/>
      <c r="V48" s="3667">
        <f>I48</f>
        <v>0</v>
      </c>
      <c r="W48" s="3667"/>
      <c r="X48" s="397"/>
      <c r="Y48" s="710"/>
      <c r="Z48" s="397"/>
      <c r="AA48" s="397"/>
      <c r="AB48" s="397"/>
      <c r="AC48" s="578"/>
    </row>
    <row r="49" spans="1:29" ht="15.75" thickBot="1">
      <c r="A49" s="437" t="s">
        <v>1793</v>
      </c>
      <c r="B49" s="438"/>
      <c r="C49" s="1158" t="e">
        <f>R50</f>
        <v>#DIV/0!</v>
      </c>
      <c r="D49" s="2315" t="s">
        <v>2137</v>
      </c>
      <c r="E49" s="1159" t="e">
        <f>R49</f>
        <v>#DIV/0!</v>
      </c>
      <c r="F49" s="2316"/>
      <c r="G49" s="1158" t="e">
        <f>T49</f>
        <v>#DIV/0!</v>
      </c>
      <c r="H49" s="2316"/>
      <c r="I49" s="1159" t="e">
        <f>V49</f>
        <v>#DIV/0!</v>
      </c>
      <c r="J49" s="2316"/>
      <c r="K49" s="2318">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2" t="s">
        <v>1798</v>
      </c>
      <c r="B58" s="688"/>
      <c r="C58" s="693"/>
      <c r="D58" s="693"/>
      <c r="E58" s="693"/>
      <c r="F58" s="694"/>
      <c r="G58" s="694"/>
      <c r="H58" s="693"/>
      <c r="I58" s="693"/>
      <c r="J58" s="693"/>
      <c r="K58" s="695"/>
      <c r="L58" s="940"/>
      <c r="M58" s="938"/>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7"/>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54.47</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911"/>
      <c r="M4" s="912"/>
      <c r="N4" s="912"/>
      <c r="O4" s="912"/>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1"/>
      <c r="M5" s="912"/>
      <c r="N5" s="912"/>
      <c r="O5" s="912"/>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1"/>
      <c r="M6" s="912"/>
      <c r="N6" s="912"/>
      <c r="O6" s="912"/>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SUMIF(52:52,YEAR(E7)&amp;"-"&amp;MONTH(E7),53:53)</f>
        <v>0</v>
      </c>
      <c r="G7" s="366"/>
      <c r="H7" s="365">
        <f>SUMIF(52:52,YEAR(G7)&amp;"-"&amp;MONTH(G7),53:53)</f>
        <v>0</v>
      </c>
      <c r="I7" s="366"/>
      <c r="J7" s="365">
        <f>SUMIF(52:52,YEAR(I7)&amp;"-"&amp;MONTH(I7),53:53)</f>
        <v>0</v>
      </c>
      <c r="K7" s="560"/>
      <c r="L7" s="913"/>
      <c r="M7" s="914"/>
      <c r="N7" s="914"/>
      <c r="O7" s="914"/>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02" t="s">
        <v>1683</v>
      </c>
      <c r="Q8" s="3703"/>
      <c r="R8" s="699" t="s">
        <v>14</v>
      </c>
      <c r="S8" s="700">
        <f t="shared" si="0"/>
        <v>100</v>
      </c>
      <c r="T8" s="699" t="s">
        <v>14</v>
      </c>
      <c r="U8" s="700">
        <f t="shared" si="1"/>
        <v>100</v>
      </c>
      <c r="V8" s="699" t="s">
        <v>14</v>
      </c>
      <c r="W8" s="700">
        <f t="shared" si="2"/>
        <v>100</v>
      </c>
      <c r="X8" s="701"/>
      <c r="Y8" s="3702" t="s">
        <v>1683</v>
      </c>
      <c r="Z8" s="3703"/>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6"/>
      <c r="M10" s="917"/>
      <c r="N10" s="917"/>
      <c r="O10" s="9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66"/>
      <c r="Q11" s="1341" t="str">
        <f t="shared" si="6"/>
        <v>容积率</v>
      </c>
      <c r="R11" s="699" t="s">
        <v>14</v>
      </c>
      <c r="S11" s="700">
        <f t="shared" si="0"/>
        <v>100</v>
      </c>
      <c r="T11" s="699" t="s">
        <v>14</v>
      </c>
      <c r="U11" s="700">
        <f t="shared" si="1"/>
        <v>100</v>
      </c>
      <c r="V11" s="699" t="s">
        <v>14</v>
      </c>
      <c r="W11" s="700">
        <f t="shared" si="2"/>
        <v>100</v>
      </c>
      <c r="X11" s="701"/>
      <c r="Y11" s="3541"/>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669"/>
      <c r="Q16" s="1350"/>
      <c r="R16" s="703"/>
      <c r="S16" s="704"/>
      <c r="T16" s="703"/>
      <c r="U16" s="704"/>
      <c r="V16" s="703"/>
      <c r="W16" s="704"/>
      <c r="X16" s="1353"/>
      <c r="Y16" s="3669"/>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669"/>
      <c r="Q18" s="1350"/>
      <c r="R18" s="703"/>
      <c r="S18" s="704"/>
      <c r="T18" s="703"/>
      <c r="U18" s="704"/>
      <c r="V18" s="703"/>
      <c r="W18" s="704"/>
      <c r="X18" s="1353"/>
      <c r="Y18" s="3669"/>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9"/>
      <c r="Q19" s="1350" t="str">
        <f>B19</f>
        <v>公共配套设施</v>
      </c>
      <c r="R19" s="703" t="s">
        <v>14</v>
      </c>
      <c r="S19" s="704">
        <f>F19</f>
        <v>100</v>
      </c>
      <c r="T19" s="703" t="s">
        <v>14</v>
      </c>
      <c r="U19" s="704">
        <f>H19</f>
        <v>100</v>
      </c>
      <c r="V19" s="703" t="s">
        <v>14</v>
      </c>
      <c r="W19" s="704">
        <f>J19</f>
        <v>100</v>
      </c>
      <c r="X19" s="1353"/>
      <c r="Y19" s="3669"/>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669"/>
      <c r="Q20" s="1350"/>
      <c r="R20" s="703"/>
      <c r="S20" s="704"/>
      <c r="T20" s="703"/>
      <c r="U20" s="704"/>
      <c r="V20" s="703"/>
      <c r="W20" s="704"/>
      <c r="X20" s="1353"/>
      <c r="Y20" s="3669"/>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9"/>
      <c r="Q21" s="1350" t="str">
        <f>B21</f>
        <v>基础设施水平</v>
      </c>
      <c r="R21" s="703" t="s">
        <v>14</v>
      </c>
      <c r="S21" s="704">
        <f>F21</f>
        <v>100</v>
      </c>
      <c r="T21" s="703" t="s">
        <v>14</v>
      </c>
      <c r="U21" s="704">
        <f>H21</f>
        <v>100</v>
      </c>
      <c r="V21" s="703" t="s">
        <v>14</v>
      </c>
      <c r="W21" s="704">
        <f>J21</f>
        <v>100</v>
      </c>
      <c r="X21" s="1353"/>
      <c r="Y21" s="3669"/>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669"/>
      <c r="Q22" s="1350"/>
      <c r="R22" s="703"/>
      <c r="S22" s="704"/>
      <c r="T22" s="703"/>
      <c r="U22" s="704"/>
      <c r="V22" s="703"/>
      <c r="W22" s="704"/>
      <c r="X22" s="1353"/>
      <c r="Y22" s="3669"/>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9"/>
      <c r="Q23" s="1350" t="str">
        <f>B23</f>
        <v>环境质量</v>
      </c>
      <c r="R23" s="703" t="s">
        <v>14</v>
      </c>
      <c r="S23" s="704">
        <f>F23</f>
        <v>100</v>
      </c>
      <c r="T23" s="703" t="s">
        <v>14</v>
      </c>
      <c r="U23" s="704">
        <f>H23</f>
        <v>100</v>
      </c>
      <c r="V23" s="703" t="s">
        <v>14</v>
      </c>
      <c r="W23" s="704">
        <f>J23</f>
        <v>100</v>
      </c>
      <c r="X23" s="1353"/>
      <c r="Y23" s="3669"/>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669"/>
      <c r="Q24" s="1350"/>
      <c r="R24" s="703"/>
      <c r="S24" s="704"/>
      <c r="T24" s="703"/>
      <c r="U24" s="704"/>
      <c r="V24" s="703"/>
      <c r="W24" s="704"/>
      <c r="X24" s="1353"/>
      <c r="Y24" s="3669"/>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9"/>
      <c r="Q25" s="1350">
        <f>B25</f>
        <v>111</v>
      </c>
      <c r="R25" s="703" t="s">
        <v>14</v>
      </c>
      <c r="S25" s="704">
        <f>F25</f>
        <v>100</v>
      </c>
      <c r="T25" s="703" t="s">
        <v>14</v>
      </c>
      <c r="U25" s="704">
        <f>H25</f>
        <v>100</v>
      </c>
      <c r="V25" s="703" t="s">
        <v>14</v>
      </c>
      <c r="W25" s="704">
        <f>J25</f>
        <v>100</v>
      </c>
      <c r="X25" s="1353"/>
      <c r="Y25" s="3669"/>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9"/>
      <c r="Q26" s="1350">
        <f t="shared" ref="Q26:Q40" si="11">B26</f>
        <v>111</v>
      </c>
      <c r="R26" s="703" t="s">
        <v>14</v>
      </c>
      <c r="S26" s="704">
        <f>F26</f>
        <v>100</v>
      </c>
      <c r="T26" s="703" t="s">
        <v>14</v>
      </c>
      <c r="U26" s="704">
        <f>H26</f>
        <v>100</v>
      </c>
      <c r="V26" s="703" t="s">
        <v>14</v>
      </c>
      <c r="W26" s="704">
        <f>J26</f>
        <v>100</v>
      </c>
      <c r="X26" s="1353"/>
      <c r="Y26" s="3669"/>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9"/>
      <c r="Q27" s="1341">
        <f t="shared" si="11"/>
        <v>111</v>
      </c>
      <c r="R27" s="699" t="s">
        <v>14</v>
      </c>
      <c r="S27" s="700">
        <f>F27</f>
        <v>100</v>
      </c>
      <c r="T27" s="699" t="s">
        <v>14</v>
      </c>
      <c r="U27" s="700">
        <f>H27</f>
        <v>100</v>
      </c>
      <c r="V27" s="699" t="s">
        <v>14</v>
      </c>
      <c r="W27" s="700">
        <f>J27</f>
        <v>100</v>
      </c>
      <c r="X27" s="701"/>
      <c r="Y27" s="3669"/>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9"/>
      <c r="Q28" s="1350">
        <f t="shared" si="11"/>
        <v>111</v>
      </c>
      <c r="R28" s="703" t="s">
        <v>14</v>
      </c>
      <c r="S28" s="704">
        <f t="shared" ref="S28:S40" si="12">F28</f>
        <v>100</v>
      </c>
      <c r="T28" s="703" t="s">
        <v>14</v>
      </c>
      <c r="U28" s="704">
        <f t="shared" ref="U28:U40" si="13">H28</f>
        <v>100</v>
      </c>
      <c r="V28" s="703" t="s">
        <v>14</v>
      </c>
      <c r="W28" s="704">
        <f t="shared" ref="W28:W40" si="14">J28</f>
        <v>100</v>
      </c>
      <c r="X28" s="1353"/>
      <c r="Y28" s="3669"/>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24" t="s">
        <v>1696</v>
      </c>
      <c r="Q29" s="1350" t="str">
        <f t="shared" si="11"/>
        <v>建筑类型</v>
      </c>
      <c r="R29" s="703" t="s">
        <v>14</v>
      </c>
      <c r="S29" s="704">
        <f t="shared" si="12"/>
        <v>100</v>
      </c>
      <c r="T29" s="703" t="s">
        <v>14</v>
      </c>
      <c r="U29" s="704">
        <f t="shared" si="13"/>
        <v>100</v>
      </c>
      <c r="V29" s="703" t="s">
        <v>14</v>
      </c>
      <c r="W29" s="704">
        <f t="shared" si="14"/>
        <v>100</v>
      </c>
      <c r="X29" s="1353"/>
      <c r="Y29" s="3673"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3"/>
      <c r="Q30" s="705" t="str">
        <f t="shared" si="11"/>
        <v>项目建筑规模</v>
      </c>
      <c r="R30" s="706" t="s">
        <v>14</v>
      </c>
      <c r="S30" s="707" t="e">
        <f t="shared" si="12"/>
        <v>#N/A</v>
      </c>
      <c r="T30" s="706" t="s">
        <v>14</v>
      </c>
      <c r="U30" s="707" t="e">
        <f t="shared" si="13"/>
        <v>#N/A</v>
      </c>
      <c r="V30" s="706" t="s">
        <v>14</v>
      </c>
      <c r="W30" s="707" t="e">
        <f t="shared" si="14"/>
        <v>#N/A</v>
      </c>
      <c r="X30" s="708"/>
      <c r="Y30" s="3673"/>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3"/>
      <c r="Q31" s="1350" t="str">
        <f t="shared" si="11"/>
        <v>建筑结构</v>
      </c>
      <c r="R31" s="703" t="s">
        <v>14</v>
      </c>
      <c r="S31" s="704">
        <f t="shared" si="12"/>
        <v>100</v>
      </c>
      <c r="T31" s="703" t="s">
        <v>14</v>
      </c>
      <c r="U31" s="704">
        <f t="shared" si="13"/>
        <v>100</v>
      </c>
      <c r="V31" s="703" t="s">
        <v>14</v>
      </c>
      <c r="W31" s="704">
        <f t="shared" si="14"/>
        <v>100</v>
      </c>
      <c r="X31" s="1353"/>
      <c r="Y31" s="3673"/>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3"/>
      <c r="Q32" s="1350" t="str">
        <f t="shared" si="11"/>
        <v>公共部分装修</v>
      </c>
      <c r="R32" s="703" t="s">
        <v>14</v>
      </c>
      <c r="S32" s="704">
        <f t="shared" si="12"/>
        <v>100</v>
      </c>
      <c r="T32" s="703" t="s">
        <v>14</v>
      </c>
      <c r="U32" s="704">
        <f t="shared" si="13"/>
        <v>100</v>
      </c>
      <c r="V32" s="703" t="s">
        <v>14</v>
      </c>
      <c r="W32" s="704">
        <f t="shared" si="14"/>
        <v>100</v>
      </c>
      <c r="X32" s="1353"/>
      <c r="Y32" s="3673"/>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3"/>
      <c r="Q33" s="1350" t="str">
        <f t="shared" si="11"/>
        <v>成新度</v>
      </c>
      <c r="R33" s="703" t="s">
        <v>14</v>
      </c>
      <c r="S33" s="704" t="e">
        <f t="shared" si="12"/>
        <v>#N/A</v>
      </c>
      <c r="T33" s="703" t="s">
        <v>14</v>
      </c>
      <c r="U33" s="704" t="e">
        <f t="shared" si="13"/>
        <v>#N/A</v>
      </c>
      <c r="V33" s="703" t="s">
        <v>14</v>
      </c>
      <c r="W33" s="704" t="e">
        <f t="shared" si="14"/>
        <v>#N/A</v>
      </c>
      <c r="X33" s="1353"/>
      <c r="Y33" s="3673"/>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3"/>
      <c r="Q34" s="1341" t="str">
        <f t="shared" si="11"/>
        <v>物业管理</v>
      </c>
      <c r="R34" s="699" t="s">
        <v>14</v>
      </c>
      <c r="S34" s="700">
        <f t="shared" si="12"/>
        <v>100</v>
      </c>
      <c r="T34" s="699" t="s">
        <v>14</v>
      </c>
      <c r="U34" s="700">
        <f t="shared" si="13"/>
        <v>100</v>
      </c>
      <c r="V34" s="699" t="s">
        <v>14</v>
      </c>
      <c r="W34" s="700">
        <f t="shared" si="14"/>
        <v>100</v>
      </c>
      <c r="X34" s="701"/>
      <c r="Y34" s="3673"/>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3" t="s">
        <v>1696</v>
      </c>
      <c r="Q35" s="1350" t="str">
        <f t="shared" si="11"/>
        <v>市政基础设施</v>
      </c>
      <c r="R35" s="703" t="s">
        <v>14</v>
      </c>
      <c r="S35" s="704">
        <f t="shared" si="12"/>
        <v>100</v>
      </c>
      <c r="T35" s="703" t="s">
        <v>14</v>
      </c>
      <c r="U35" s="704">
        <f t="shared" si="13"/>
        <v>100</v>
      </c>
      <c r="V35" s="703" t="s">
        <v>14</v>
      </c>
      <c r="W35" s="704">
        <f t="shared" si="14"/>
        <v>100</v>
      </c>
      <c r="X35" s="1353"/>
      <c r="Y35" s="3673"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3"/>
      <c r="Q36" s="1350" t="str">
        <f t="shared" si="11"/>
        <v>内部装修</v>
      </c>
      <c r="R36" s="703" t="s">
        <v>14</v>
      </c>
      <c r="S36" s="704">
        <f t="shared" si="12"/>
        <v>100</v>
      </c>
      <c r="T36" s="703" t="s">
        <v>14</v>
      </c>
      <c r="U36" s="704">
        <f t="shared" si="13"/>
        <v>100</v>
      </c>
      <c r="V36" s="703" t="s">
        <v>14</v>
      </c>
      <c r="W36" s="704">
        <f t="shared" si="14"/>
        <v>100</v>
      </c>
      <c r="X36" s="1353"/>
      <c r="Y36" s="3673"/>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3"/>
      <c r="Q37" s="1350" t="str">
        <f t="shared" si="11"/>
        <v>内部装修状况</v>
      </c>
      <c r="R37" s="703" t="s">
        <v>14</v>
      </c>
      <c r="S37" s="704">
        <f t="shared" si="12"/>
        <v>100</v>
      </c>
      <c r="T37" s="703" t="s">
        <v>14</v>
      </c>
      <c r="U37" s="704">
        <f t="shared" si="13"/>
        <v>100</v>
      </c>
      <c r="V37" s="703" t="s">
        <v>14</v>
      </c>
      <c r="W37" s="704">
        <f t="shared" si="14"/>
        <v>100</v>
      </c>
      <c r="X37" s="1353"/>
      <c r="Y37" s="3673"/>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3"/>
      <c r="Q38" s="705">
        <f t="shared" si="11"/>
        <v>111</v>
      </c>
      <c r="R38" s="706" t="s">
        <v>14</v>
      </c>
      <c r="S38" s="707">
        <f t="shared" si="12"/>
        <v>100</v>
      </c>
      <c r="T38" s="706" t="s">
        <v>14</v>
      </c>
      <c r="U38" s="707">
        <f t="shared" si="13"/>
        <v>100</v>
      </c>
      <c r="V38" s="706" t="s">
        <v>14</v>
      </c>
      <c r="W38" s="707">
        <f t="shared" si="14"/>
        <v>100</v>
      </c>
      <c r="X38" s="708"/>
      <c r="Y38" s="3673"/>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3"/>
      <c r="Q39" s="1350">
        <f t="shared" si="11"/>
        <v>111</v>
      </c>
      <c r="R39" s="703" t="s">
        <v>14</v>
      </c>
      <c r="S39" s="704">
        <f t="shared" si="12"/>
        <v>100</v>
      </c>
      <c r="T39" s="703" t="s">
        <v>14</v>
      </c>
      <c r="U39" s="704">
        <f t="shared" si="13"/>
        <v>100</v>
      </c>
      <c r="V39" s="703" t="s">
        <v>14</v>
      </c>
      <c r="W39" s="704">
        <f t="shared" si="14"/>
        <v>100</v>
      </c>
      <c r="X39" s="1353"/>
      <c r="Y39" s="3673"/>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4"/>
      <c r="Q40" s="1350">
        <f t="shared" si="11"/>
        <v>111</v>
      </c>
      <c r="R40" s="703" t="s">
        <v>14</v>
      </c>
      <c r="S40" s="704">
        <f t="shared" si="12"/>
        <v>100</v>
      </c>
      <c r="T40" s="703" t="s">
        <v>14</v>
      </c>
      <c r="U40" s="704">
        <f t="shared" si="13"/>
        <v>100</v>
      </c>
      <c r="V40" s="703" t="s">
        <v>14</v>
      </c>
      <c r="W40" s="704">
        <f t="shared" si="14"/>
        <v>100</v>
      </c>
      <c r="X40" s="1353"/>
      <c r="Y40" s="3674"/>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666" t="str">
        <f>A41</f>
        <v>成交单价（元/平方米）</v>
      </c>
      <c r="Q41" s="3666"/>
      <c r="R41" s="3667">
        <f>E41</f>
        <v>0</v>
      </c>
      <c r="S41" s="3667"/>
      <c r="T41" s="3667">
        <f>G41</f>
        <v>0</v>
      </c>
      <c r="U41" s="3667"/>
      <c r="V41" s="3667">
        <f>I41</f>
        <v>0</v>
      </c>
      <c r="W41" s="3667"/>
      <c r="X41" s="688"/>
      <c r="Y41" s="710"/>
      <c r="Z41" s="688"/>
      <c r="AA41" s="688"/>
      <c r="AB41" s="688"/>
      <c r="AC41" s="688"/>
    </row>
    <row r="42" spans="1:29" ht="15.75" thickBot="1">
      <c r="A42" s="437" t="s">
        <v>1793</v>
      </c>
      <c r="B42" s="438"/>
      <c r="C42" s="1158" t="e">
        <f>R43</f>
        <v>#DIV/0!</v>
      </c>
      <c r="D42" s="2315" t="s">
        <v>2137</v>
      </c>
      <c r="E42" s="1159" t="e">
        <f>R42</f>
        <v>#DIV/0!</v>
      </c>
      <c r="F42" s="2316"/>
      <c r="G42" s="1158" t="e">
        <f>T42</f>
        <v>#DIV/0!</v>
      </c>
      <c r="H42" s="2316"/>
      <c r="I42" s="1159" t="e">
        <f>V42</f>
        <v>#DIV/0!</v>
      </c>
      <c r="J42" s="2316"/>
      <c r="K42" s="2318">
        <f>F42+H42+J42</f>
        <v>0</v>
      </c>
      <c r="L42" s="924"/>
      <c r="M42" s="925"/>
      <c r="N42" s="912"/>
      <c r="O42" s="925"/>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88"/>
      <c r="Y43" s="688"/>
      <c r="Z43" s="688"/>
      <c r="AA43" s="688"/>
      <c r="AB43" s="688"/>
      <c r="AC43" s="688"/>
    </row>
    <row r="44" spans="1:29">
      <c r="A44" s="2723"/>
      <c r="B44" s="2723"/>
      <c r="C44" s="2723"/>
      <c r="D44" s="2723"/>
      <c r="E44" s="2723"/>
      <c r="F44" s="2723"/>
      <c r="G44" s="2727"/>
      <c r="H44" s="2723"/>
      <c r="I44" s="2723"/>
      <c r="J44" s="2723"/>
      <c r="K44" s="2728"/>
      <c r="L44" s="887"/>
      <c r="M44" s="925"/>
      <c r="N44" s="925"/>
      <c r="O44" s="925"/>
    </row>
    <row r="45" spans="1:29">
      <c r="A45" s="2723"/>
      <c r="B45" s="2723"/>
      <c r="C45" s="2723"/>
      <c r="D45" s="2723"/>
      <c r="E45" s="2723"/>
      <c r="F45" s="2723"/>
      <c r="G45" s="2723"/>
      <c r="H45" s="2723"/>
      <c r="I45" s="2723"/>
      <c r="J45" s="2723"/>
      <c r="K45" s="2728"/>
      <c r="L45" s="887"/>
      <c r="M45" s="925"/>
      <c r="N45" s="925"/>
      <c r="O45" s="925"/>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7"/>
      <c r="M46" s="925"/>
      <c r="N46" s="925"/>
      <c r="O46" s="925"/>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7"/>
      <c r="M47" s="925"/>
      <c r="N47" s="925"/>
      <c r="O47" s="925"/>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8"/>
      <c r="M48" s="926"/>
      <c r="N48" s="926"/>
      <c r="O48" s="926"/>
    </row>
    <row r="49" spans="1:17" s="451" customFormat="1">
      <c r="A49" s="2726"/>
      <c r="B49" s="2729"/>
      <c r="C49" s="2730"/>
      <c r="D49" s="2726"/>
      <c r="E49" s="2726"/>
      <c r="F49" s="2726"/>
      <c r="G49" s="2726"/>
      <c r="H49" s="2726"/>
      <c r="I49" s="2726"/>
      <c r="J49" s="2726"/>
      <c r="K49" s="2731"/>
      <c r="L49" s="928"/>
      <c r="M49" s="926"/>
      <c r="N49" s="926"/>
      <c r="O49" s="926"/>
    </row>
    <row r="50" spans="1:17">
      <c r="A50" s="2723"/>
      <c r="B50" s="2729"/>
      <c r="C50" s="2730"/>
      <c r="D50" s="2723"/>
      <c r="E50" s="2723"/>
      <c r="F50" s="2723"/>
      <c r="G50" s="2723"/>
      <c r="H50" s="2723"/>
      <c r="I50" s="2723"/>
      <c r="J50" s="2723"/>
      <c r="K50" s="2728"/>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3336</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2"/>
      <c r="M3" s="2733" t="e">
        <f ca="1">IF(C2="——",IF(B37="元/平方米",ROUND(C39*D3/10000,0),ROUND(F3*C39/10000,0)),IF(B37="元/平方米",ROUND(C39*D3/10000,0),ROUND(F3*C39/10000,0))-D2)</f>
        <v>#DIV/0!</v>
      </c>
      <c r="N3" s="2733"/>
      <c r="O3" s="2733"/>
      <c r="P3" s="1163"/>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669"/>
      <c r="Q15" s="1350"/>
      <c r="R15" s="703"/>
      <c r="S15" s="704"/>
      <c r="T15" s="703"/>
      <c r="U15" s="704"/>
      <c r="V15" s="703"/>
      <c r="W15" s="704"/>
      <c r="X15" s="1353"/>
      <c r="Y15" s="3669"/>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669"/>
      <c r="Q17" s="1350"/>
      <c r="R17" s="703"/>
      <c r="S17" s="704"/>
      <c r="T17" s="703"/>
      <c r="U17" s="704"/>
      <c r="V17" s="703"/>
      <c r="W17" s="704"/>
      <c r="X17" s="1353"/>
      <c r="Y17" s="3669"/>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20"/>
      <c r="M19" s="2714"/>
      <c r="N19" s="2714"/>
      <c r="O19" s="2714"/>
      <c r="P19" s="3669"/>
      <c r="Q19" s="1350"/>
      <c r="R19" s="703"/>
      <c r="S19" s="704"/>
      <c r="T19" s="703"/>
      <c r="U19" s="704"/>
      <c r="V19" s="703"/>
      <c r="W19" s="704"/>
      <c r="X19" s="1353"/>
      <c r="Y19" s="3669"/>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669"/>
      <c r="Q21" s="1350"/>
      <c r="R21" s="703"/>
      <c r="S21" s="704"/>
      <c r="T21" s="703"/>
      <c r="U21" s="704"/>
      <c r="V21" s="703"/>
      <c r="W21" s="704"/>
      <c r="X21" s="1353"/>
      <c r="Y21" s="3669"/>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0">
        <f t="shared" ref="Q24:Q36"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673"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5" t="str">
        <f t="shared" si="11"/>
        <v>项目停车位配比</v>
      </c>
      <c r="R27" s="706" t="s">
        <v>14</v>
      </c>
      <c r="S27" s="707">
        <f t="shared" si="12"/>
        <v>100</v>
      </c>
      <c r="T27" s="706" t="s">
        <v>14</v>
      </c>
      <c r="U27" s="707">
        <f t="shared" si="13"/>
        <v>100</v>
      </c>
      <c r="V27" s="706" t="s">
        <v>14</v>
      </c>
      <c r="W27" s="707">
        <f t="shared" si="14"/>
        <v>100</v>
      </c>
      <c r="X27" s="708"/>
      <c r="Y27" s="3673"/>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0" t="str">
        <f t="shared" si="11"/>
        <v>公共部分装修</v>
      </c>
      <c r="R28" s="703" t="s">
        <v>14</v>
      </c>
      <c r="S28" s="704">
        <f t="shared" si="12"/>
        <v>100</v>
      </c>
      <c r="T28" s="703" t="s">
        <v>14</v>
      </c>
      <c r="U28" s="704">
        <f t="shared" si="13"/>
        <v>100</v>
      </c>
      <c r="V28" s="703" t="s">
        <v>14</v>
      </c>
      <c r="W28" s="704">
        <f t="shared" si="14"/>
        <v>100</v>
      </c>
      <c r="X28" s="1353"/>
      <c r="Y28" s="3673"/>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0" t="str">
        <f t="shared" si="11"/>
        <v>成新率</v>
      </c>
      <c r="R29" s="703" t="s">
        <v>14</v>
      </c>
      <c r="S29" s="704" t="e">
        <f t="shared" si="12"/>
        <v>#N/A</v>
      </c>
      <c r="T29" s="703" t="s">
        <v>14</v>
      </c>
      <c r="U29" s="704" t="e">
        <f t="shared" si="13"/>
        <v>#N/A</v>
      </c>
      <c r="V29" s="703" t="s">
        <v>14</v>
      </c>
      <c r="W29" s="704" t="e">
        <f t="shared" si="14"/>
        <v>#N/A</v>
      </c>
      <c r="X29" s="1353"/>
      <c r="Y29" s="3673"/>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0" t="str">
        <f t="shared" si="11"/>
        <v>物业等级</v>
      </c>
      <c r="R30" s="703" t="s">
        <v>14</v>
      </c>
      <c r="S30" s="704">
        <f t="shared" si="12"/>
        <v>100</v>
      </c>
      <c r="T30" s="703" t="s">
        <v>14</v>
      </c>
      <c r="U30" s="704">
        <f t="shared" si="13"/>
        <v>100</v>
      </c>
      <c r="V30" s="703" t="s">
        <v>14</v>
      </c>
      <c r="W30" s="704">
        <f t="shared" si="14"/>
        <v>100</v>
      </c>
      <c r="X30" s="1353"/>
      <c r="Y30" s="3673"/>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1" t="str">
        <f t="shared" si="11"/>
        <v>停车位面积</v>
      </c>
      <c r="R31" s="699" t="s">
        <v>14</v>
      </c>
      <c r="S31" s="700" t="e">
        <f t="shared" si="12"/>
        <v>#N/A</v>
      </c>
      <c r="T31" s="699" t="s">
        <v>14</v>
      </c>
      <c r="U31" s="700" t="e">
        <f t="shared" si="13"/>
        <v>#N/A</v>
      </c>
      <c r="V31" s="699" t="s">
        <v>14</v>
      </c>
      <c r="W31" s="700" t="e">
        <f t="shared" si="14"/>
        <v>#N/A</v>
      </c>
      <c r="X31" s="701"/>
      <c r="Y31" s="3673"/>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0" t="str">
        <f t="shared" si="11"/>
        <v>车位类型</v>
      </c>
      <c r="R32" s="703" t="s">
        <v>14</v>
      </c>
      <c r="S32" s="704">
        <f t="shared" si="12"/>
        <v>100</v>
      </c>
      <c r="T32" s="703" t="s">
        <v>14</v>
      </c>
      <c r="U32" s="704">
        <f t="shared" si="13"/>
        <v>100</v>
      </c>
      <c r="V32" s="703" t="s">
        <v>14</v>
      </c>
      <c r="W32" s="704">
        <f t="shared" si="14"/>
        <v>100</v>
      </c>
      <c r="X32" s="1353"/>
      <c r="Y32" s="3673"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0" t="str">
        <f t="shared" si="11"/>
        <v>是否直接入户</v>
      </c>
      <c r="R33" s="703" t="s">
        <v>14</v>
      </c>
      <c r="S33" s="704">
        <f t="shared" si="12"/>
        <v>100</v>
      </c>
      <c r="T33" s="703" t="s">
        <v>14</v>
      </c>
      <c r="U33" s="704">
        <f t="shared" si="13"/>
        <v>100</v>
      </c>
      <c r="V33" s="703" t="s">
        <v>14</v>
      </c>
      <c r="W33" s="704">
        <f t="shared" si="14"/>
        <v>100</v>
      </c>
      <c r="X33" s="1353"/>
      <c r="Y33" s="3673"/>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5">
        <f t="shared" si="11"/>
        <v>111</v>
      </c>
      <c r="R35" s="706" t="s">
        <v>14</v>
      </c>
      <c r="S35" s="707">
        <f t="shared" si="12"/>
        <v>100</v>
      </c>
      <c r="T35" s="706" t="s">
        <v>14</v>
      </c>
      <c r="U35" s="707">
        <f t="shared" si="13"/>
        <v>100</v>
      </c>
      <c r="V35" s="706" t="s">
        <v>14</v>
      </c>
      <c r="W35" s="707">
        <f t="shared" si="14"/>
        <v>100</v>
      </c>
      <c r="X35" s="708"/>
      <c r="Y35" s="3673"/>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0">
        <f t="shared" si="11"/>
        <v>111</v>
      </c>
      <c r="R36" s="703" t="s">
        <v>14</v>
      </c>
      <c r="S36" s="704">
        <f t="shared" si="12"/>
        <v>100</v>
      </c>
      <c r="T36" s="703" t="s">
        <v>14</v>
      </c>
      <c r="U36" s="704">
        <f t="shared" si="13"/>
        <v>100</v>
      </c>
      <c r="V36" s="703" t="s">
        <v>14</v>
      </c>
      <c r="W36" s="704">
        <f t="shared" si="14"/>
        <v>100</v>
      </c>
      <c r="X36" s="1353"/>
      <c r="Y36" s="3673"/>
      <c r="Z36" s="1354">
        <f t="shared" si="15"/>
        <v>111</v>
      </c>
      <c r="AA36" s="1351">
        <f t="shared" si="3"/>
        <v>1</v>
      </c>
      <c r="AB36" s="1351">
        <f t="shared" si="4"/>
        <v>1</v>
      </c>
      <c r="AC36" s="1351">
        <f t="shared" si="5"/>
        <v>1</v>
      </c>
    </row>
    <row r="37" spans="1:29" ht="15">
      <c r="A37" s="430" t="s">
        <v>1844</v>
      </c>
      <c r="B37" s="1971" t="s">
        <v>3357</v>
      </c>
      <c r="C37" s="1152" t="s">
        <v>0</v>
      </c>
      <c r="D37" s="1153"/>
      <c r="E37" s="1154"/>
      <c r="F37" s="1155"/>
      <c r="G37" s="1156"/>
      <c r="H37" s="1157"/>
      <c r="I37" s="1154"/>
      <c r="J37" s="1157"/>
      <c r="K37" s="568"/>
      <c r="L37" s="2722"/>
      <c r="M37" s="2723"/>
      <c r="N37" s="2714"/>
      <c r="O37" s="2723"/>
      <c r="P37" s="3666" t="str">
        <f>A37</f>
        <v>成交单价</v>
      </c>
      <c r="Q37" s="3666"/>
      <c r="R37" s="3667">
        <f>E37</f>
        <v>0</v>
      </c>
      <c r="S37" s="3667"/>
      <c r="T37" s="3667">
        <f>G37</f>
        <v>0</v>
      </c>
      <c r="U37" s="3667"/>
      <c r="V37" s="3667">
        <f>I37</f>
        <v>0</v>
      </c>
      <c r="W37" s="3667"/>
      <c r="X37" s="688"/>
      <c r="Y37" s="710"/>
      <c r="Z37" s="688"/>
      <c r="AA37" s="688"/>
      <c r="AB37" s="688"/>
      <c r="AC37" s="688"/>
    </row>
    <row r="38" spans="1:29" ht="15.75" thickBot="1">
      <c r="A38" s="437" t="s">
        <v>1845</v>
      </c>
      <c r="B38" s="438" t="str">
        <f>B37</f>
        <v>元/平方米</v>
      </c>
      <c r="C38" s="1158" t="e">
        <f>R39</f>
        <v>#DIV/0!</v>
      </c>
      <c r="D38" s="2315" t="s">
        <v>2137</v>
      </c>
      <c r="E38" s="1159" t="e">
        <f>R38</f>
        <v>#DIV/0!</v>
      </c>
      <c r="F38" s="2316"/>
      <c r="G38" s="1158" t="e">
        <f>T38</f>
        <v>#DIV/0!</v>
      </c>
      <c r="H38" s="2316"/>
      <c r="I38" s="1159" t="e">
        <f>V38</f>
        <v>#DIV/0!</v>
      </c>
      <c r="J38" s="2316"/>
      <c r="K38" s="2318">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88"/>
      <c r="Y39" s="688"/>
      <c r="Z39" s="688"/>
      <c r="AA39" s="688"/>
      <c r="AB39" s="688"/>
      <c r="AC39" s="688"/>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4" t="s">
        <v>1850</v>
      </c>
      <c r="B47" s="925"/>
      <c r="C47" s="938"/>
      <c r="D47" s="938"/>
      <c r="E47" s="938"/>
      <c r="F47" s="1165"/>
      <c r="G47" s="1165"/>
      <c r="H47" s="938"/>
      <c r="I47" s="938"/>
      <c r="J47" s="938"/>
      <c r="K47" s="939"/>
      <c r="L47" s="940"/>
      <c r="M47" s="938"/>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5">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7"/>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估价对象为房地产，为所有。根据《国有土地使用证》[]，估价对象（分摊）出让国有建设用地使用权面积为0平方米，建筑面积为54.47平方米。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估价对象为房地产,属开发建设的商业项目，该项目尚在开发建设中。根据《国有土地使用证》[]，估价对象（分摊）出让国有建设用地使用权面积为0平方米，规划建筑面积为54.47平方米。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2024年10月30日（评估专业人员实地查勘之日）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30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3337</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02" t="s">
        <v>1680</v>
      </c>
      <c r="Q7" s="3704"/>
      <c r="R7" s="699" t="s">
        <v>14</v>
      </c>
      <c r="S7" s="700">
        <f t="shared" ref="S7:S14" si="0">F7</f>
        <v>0</v>
      </c>
      <c r="T7" s="699" t="s">
        <v>14</v>
      </c>
      <c r="U7" s="700">
        <f t="shared" ref="U7:U14" si="1">H7</f>
        <v>0</v>
      </c>
      <c r="V7" s="699" t="s">
        <v>14</v>
      </c>
      <c r="W7" s="700">
        <f t="shared" ref="W7:W14" si="2">J7</f>
        <v>0</v>
      </c>
      <c r="X7" s="701"/>
      <c r="Y7" s="3702" t="s">
        <v>1680</v>
      </c>
      <c r="Z7" s="3703"/>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699" t="s">
        <v>14</v>
      </c>
      <c r="S8" s="700">
        <f t="shared" si="0"/>
        <v>100</v>
      </c>
      <c r="T8" s="699" t="s">
        <v>14</v>
      </c>
      <c r="U8" s="700">
        <f t="shared" si="1"/>
        <v>100</v>
      </c>
      <c r="V8" s="699" t="s">
        <v>14</v>
      </c>
      <c r="W8" s="700">
        <f t="shared" si="2"/>
        <v>100</v>
      </c>
      <c r="X8" s="701"/>
      <c r="Y8" s="3702" t="s">
        <v>1683</v>
      </c>
      <c r="Z8" s="3703"/>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1" t="str">
        <f t="shared" ref="Q9:Q14" si="6">B9</f>
        <v>用途</v>
      </c>
      <c r="R9" s="699" t="s">
        <v>14</v>
      </c>
      <c r="S9" s="700">
        <f t="shared" si="0"/>
        <v>100</v>
      </c>
      <c r="T9" s="699" t="s">
        <v>14</v>
      </c>
      <c r="U9" s="700">
        <f t="shared" si="1"/>
        <v>100</v>
      </c>
      <c r="V9" s="699" t="s">
        <v>14</v>
      </c>
      <c r="W9" s="700">
        <f t="shared" si="2"/>
        <v>100</v>
      </c>
      <c r="X9" s="701"/>
      <c r="Y9" s="3541" t="s">
        <v>1687</v>
      </c>
      <c r="Z9" s="52" t="str">
        <f t="shared" ref="Z9:Z14" si="7">Q9</f>
        <v>用途</v>
      </c>
      <c r="AA9" s="702">
        <f t="shared" si="3"/>
        <v>1</v>
      </c>
      <c r="AB9" s="702">
        <f t="shared" si="4"/>
        <v>1</v>
      </c>
      <c r="AC9" s="702">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1" t="str">
        <f t="shared" si="6"/>
        <v>土地使用年限（年）</v>
      </c>
      <c r="R10" s="699" t="s">
        <v>14</v>
      </c>
      <c r="S10" s="700">
        <f t="shared" si="0"/>
        <v>100</v>
      </c>
      <c r="T10" s="699" t="s">
        <v>14</v>
      </c>
      <c r="U10" s="700">
        <f t="shared" si="1"/>
        <v>100</v>
      </c>
      <c r="V10" s="699" t="s">
        <v>14</v>
      </c>
      <c r="W10" s="700">
        <f t="shared" si="2"/>
        <v>100</v>
      </c>
      <c r="X10" s="701"/>
      <c r="Y10" s="3541"/>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1">
        <f t="shared" si="6"/>
        <v>111</v>
      </c>
      <c r="R11" s="699" t="s">
        <v>14</v>
      </c>
      <c r="S11" s="700">
        <f t="shared" si="0"/>
        <v>100</v>
      </c>
      <c r="T11" s="699" t="s">
        <v>14</v>
      </c>
      <c r="U11" s="700">
        <f t="shared" si="1"/>
        <v>100</v>
      </c>
      <c r="V11" s="699" t="s">
        <v>14</v>
      </c>
      <c r="W11" s="700">
        <f t="shared" si="2"/>
        <v>100</v>
      </c>
      <c r="X11" s="701"/>
      <c r="Y11" s="3541"/>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0" t="str">
        <f t="shared" si="6"/>
        <v>交通便捷度</v>
      </c>
      <c r="R14" s="703" t="s">
        <v>14</v>
      </c>
      <c r="S14" s="704">
        <f t="shared" si="0"/>
        <v>100</v>
      </c>
      <c r="T14" s="703" t="s">
        <v>14</v>
      </c>
      <c r="U14" s="704">
        <f t="shared" si="1"/>
        <v>100</v>
      </c>
      <c r="V14" s="703" t="s">
        <v>14</v>
      </c>
      <c r="W14" s="704">
        <f t="shared" si="2"/>
        <v>100</v>
      </c>
      <c r="X14" s="1353"/>
      <c r="Y14" s="3668"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669"/>
      <c r="Q15" s="1350"/>
      <c r="R15" s="703"/>
      <c r="S15" s="704"/>
      <c r="T15" s="703"/>
      <c r="U15" s="704"/>
      <c r="V15" s="703"/>
      <c r="W15" s="704"/>
      <c r="X15" s="1353"/>
      <c r="Y15" s="3669"/>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0" t="str">
        <f>B16</f>
        <v>公共配套设施</v>
      </c>
      <c r="R16" s="703" t="s">
        <v>14</v>
      </c>
      <c r="S16" s="704">
        <f>F16</f>
        <v>100</v>
      </c>
      <c r="T16" s="703" t="s">
        <v>14</v>
      </c>
      <c r="U16" s="704">
        <f>H16</f>
        <v>100</v>
      </c>
      <c r="V16" s="703" t="s">
        <v>14</v>
      </c>
      <c r="W16" s="704">
        <f>J16</f>
        <v>100</v>
      </c>
      <c r="X16" s="1353"/>
      <c r="Y16" s="3669"/>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669"/>
      <c r="Q17" s="1350"/>
      <c r="R17" s="703"/>
      <c r="S17" s="704"/>
      <c r="T17" s="703"/>
      <c r="U17" s="704"/>
      <c r="V17" s="703"/>
      <c r="W17" s="704"/>
      <c r="X17" s="1353"/>
      <c r="Y17" s="3669"/>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0" t="str">
        <f>B18</f>
        <v>基础设施水平</v>
      </c>
      <c r="R18" s="703" t="s">
        <v>14</v>
      </c>
      <c r="S18" s="704">
        <f>F18</f>
        <v>100</v>
      </c>
      <c r="T18" s="703" t="s">
        <v>14</v>
      </c>
      <c r="U18" s="704">
        <f>H18</f>
        <v>100</v>
      </c>
      <c r="V18" s="703" t="s">
        <v>14</v>
      </c>
      <c r="W18" s="704">
        <f>J18</f>
        <v>100</v>
      </c>
      <c r="X18" s="1353"/>
      <c r="Y18" s="3669"/>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20"/>
      <c r="M19" s="2714"/>
      <c r="N19" s="2714"/>
      <c r="O19" s="2772"/>
      <c r="P19" s="3669"/>
      <c r="Q19" s="1350"/>
      <c r="R19" s="703"/>
      <c r="S19" s="704"/>
      <c r="T19" s="703"/>
      <c r="U19" s="704"/>
      <c r="V19" s="703"/>
      <c r="W19" s="704"/>
      <c r="X19" s="1353"/>
      <c r="Y19" s="3669"/>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0" t="str">
        <f>B20</f>
        <v>自然及人文环境</v>
      </c>
      <c r="R20" s="703" t="s">
        <v>14</v>
      </c>
      <c r="S20" s="704">
        <f>F20</f>
        <v>100</v>
      </c>
      <c r="T20" s="703" t="s">
        <v>14</v>
      </c>
      <c r="U20" s="704">
        <f>H20</f>
        <v>100</v>
      </c>
      <c r="V20" s="703" t="s">
        <v>14</v>
      </c>
      <c r="W20" s="704">
        <f>J20</f>
        <v>100</v>
      </c>
      <c r="X20" s="1353"/>
      <c r="Y20" s="3669"/>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669"/>
      <c r="Q21" s="1350"/>
      <c r="R21" s="703"/>
      <c r="S21" s="704"/>
      <c r="T21" s="703"/>
      <c r="U21" s="704"/>
      <c r="V21" s="703"/>
      <c r="W21" s="704"/>
      <c r="X21" s="1353"/>
      <c r="Y21" s="3669"/>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0" t="str">
        <f>B22</f>
        <v>楼层</v>
      </c>
      <c r="R22" s="703" t="s">
        <v>14</v>
      </c>
      <c r="S22" s="704">
        <f>F22</f>
        <v>100</v>
      </c>
      <c r="T22" s="703" t="s">
        <v>14</v>
      </c>
      <c r="U22" s="704">
        <f>H22</f>
        <v>100</v>
      </c>
      <c r="V22" s="703" t="s">
        <v>14</v>
      </c>
      <c r="W22" s="704">
        <f>J22</f>
        <v>100</v>
      </c>
      <c r="X22" s="1353"/>
      <c r="Y22" s="3669"/>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0">
        <f>B23</f>
        <v>111</v>
      </c>
      <c r="R23" s="703" t="s">
        <v>14</v>
      </c>
      <c r="S23" s="704">
        <f>F23</f>
        <v>100</v>
      </c>
      <c r="T23" s="703" t="s">
        <v>14</v>
      </c>
      <c r="U23" s="704">
        <f>H23</f>
        <v>100</v>
      </c>
      <c r="V23" s="703" t="s">
        <v>14</v>
      </c>
      <c r="W23" s="704">
        <f>J23</f>
        <v>100</v>
      </c>
      <c r="X23" s="1353"/>
      <c r="Y23" s="3669"/>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0">
        <f t="shared" ref="Q24:Q34" si="11">B24</f>
        <v>111</v>
      </c>
      <c r="R24" s="703" t="s">
        <v>14</v>
      </c>
      <c r="S24" s="704">
        <f>F24</f>
        <v>100</v>
      </c>
      <c r="T24" s="703" t="s">
        <v>14</v>
      </c>
      <c r="U24" s="704">
        <f>H24</f>
        <v>100</v>
      </c>
      <c r="V24" s="703" t="s">
        <v>14</v>
      </c>
      <c r="W24" s="704">
        <f>J24</f>
        <v>100</v>
      </c>
      <c r="X24" s="1353"/>
      <c r="Y24" s="3669"/>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69"/>
      <c r="Q25" s="1341">
        <f t="shared" si="11"/>
        <v>111</v>
      </c>
      <c r="R25" s="699" t="s">
        <v>14</v>
      </c>
      <c r="S25" s="700">
        <f>F25</f>
        <v>100</v>
      </c>
      <c r="T25" s="699" t="s">
        <v>14</v>
      </c>
      <c r="U25" s="700">
        <f>H25</f>
        <v>100</v>
      </c>
      <c r="V25" s="699" t="s">
        <v>14</v>
      </c>
      <c r="W25" s="700">
        <f>J25</f>
        <v>100</v>
      </c>
      <c r="X25" s="701"/>
      <c r="Y25" s="3669"/>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24"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673"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5" t="str">
        <f t="shared" si="11"/>
        <v>成新率</v>
      </c>
      <c r="R27" s="706" t="s">
        <v>14</v>
      </c>
      <c r="S27" s="707" t="e">
        <f t="shared" si="12"/>
        <v>#N/A</v>
      </c>
      <c r="T27" s="706" t="s">
        <v>14</v>
      </c>
      <c r="U27" s="707" t="e">
        <f t="shared" si="13"/>
        <v>#N/A</v>
      </c>
      <c r="V27" s="706" t="s">
        <v>14</v>
      </c>
      <c r="W27" s="707" t="e">
        <f t="shared" si="14"/>
        <v>#N/A</v>
      </c>
      <c r="X27" s="708"/>
      <c r="Y27" s="3673"/>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0" t="str">
        <f t="shared" si="11"/>
        <v>物业等级</v>
      </c>
      <c r="R28" s="703" t="s">
        <v>14</v>
      </c>
      <c r="S28" s="704">
        <f t="shared" si="12"/>
        <v>100</v>
      </c>
      <c r="T28" s="703" t="s">
        <v>14</v>
      </c>
      <c r="U28" s="704">
        <f t="shared" si="13"/>
        <v>100</v>
      </c>
      <c r="V28" s="703" t="s">
        <v>14</v>
      </c>
      <c r="W28" s="704">
        <f t="shared" si="14"/>
        <v>100</v>
      </c>
      <c r="X28" s="1353"/>
      <c r="Y28" s="3673"/>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0" t="str">
        <f t="shared" si="11"/>
        <v>有无电梯</v>
      </c>
      <c r="R29" s="703" t="s">
        <v>14</v>
      </c>
      <c r="S29" s="704">
        <f t="shared" si="12"/>
        <v>100</v>
      </c>
      <c r="T29" s="703" t="s">
        <v>14</v>
      </c>
      <c r="U29" s="704">
        <f t="shared" si="13"/>
        <v>100</v>
      </c>
      <c r="V29" s="703" t="s">
        <v>14</v>
      </c>
      <c r="W29" s="704">
        <f t="shared" si="14"/>
        <v>100</v>
      </c>
      <c r="X29" s="1353"/>
      <c r="Y29" s="3673"/>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0" t="str">
        <f t="shared" si="11"/>
        <v>建筑面积</v>
      </c>
      <c r="R30" s="703" t="s">
        <v>14</v>
      </c>
      <c r="S30" s="704" t="e">
        <f t="shared" si="12"/>
        <v>#N/A</v>
      </c>
      <c r="T30" s="703" t="s">
        <v>14</v>
      </c>
      <c r="U30" s="704" t="e">
        <f t="shared" si="13"/>
        <v>#N/A</v>
      </c>
      <c r="V30" s="703" t="s">
        <v>14</v>
      </c>
      <c r="W30" s="704" t="e">
        <f t="shared" si="14"/>
        <v>#N/A</v>
      </c>
      <c r="X30" s="1353"/>
      <c r="Y30" s="3673"/>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1" t="str">
        <f t="shared" si="11"/>
        <v>是否封闭</v>
      </c>
      <c r="R31" s="699" t="s">
        <v>14</v>
      </c>
      <c r="S31" s="700">
        <f t="shared" si="12"/>
        <v>100</v>
      </c>
      <c r="T31" s="699" t="s">
        <v>14</v>
      </c>
      <c r="U31" s="700">
        <f t="shared" si="13"/>
        <v>100</v>
      </c>
      <c r="V31" s="699" t="s">
        <v>14</v>
      </c>
      <c r="W31" s="700">
        <f t="shared" si="14"/>
        <v>100</v>
      </c>
      <c r="X31" s="701"/>
      <c r="Y31" s="3673"/>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0">
        <f t="shared" si="11"/>
        <v>111</v>
      </c>
      <c r="R32" s="703" t="s">
        <v>14</v>
      </c>
      <c r="S32" s="704">
        <f t="shared" si="12"/>
        <v>100</v>
      </c>
      <c r="T32" s="703" t="s">
        <v>14</v>
      </c>
      <c r="U32" s="704">
        <f t="shared" si="13"/>
        <v>100</v>
      </c>
      <c r="V32" s="703" t="s">
        <v>14</v>
      </c>
      <c r="W32" s="704">
        <f t="shared" si="14"/>
        <v>100</v>
      </c>
      <c r="X32" s="1353"/>
      <c r="Y32" s="3673"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0">
        <f t="shared" si="11"/>
        <v>111</v>
      </c>
      <c r="R33" s="703" t="s">
        <v>14</v>
      </c>
      <c r="S33" s="704">
        <f t="shared" si="12"/>
        <v>100</v>
      </c>
      <c r="T33" s="703" t="s">
        <v>14</v>
      </c>
      <c r="U33" s="704">
        <f t="shared" si="13"/>
        <v>100</v>
      </c>
      <c r="V33" s="703" t="s">
        <v>14</v>
      </c>
      <c r="W33" s="704">
        <f t="shared" si="14"/>
        <v>100</v>
      </c>
      <c r="X33" s="1353"/>
      <c r="Y33" s="3673"/>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673"/>
      <c r="Q34" s="1350">
        <f t="shared" si="11"/>
        <v>111</v>
      </c>
      <c r="R34" s="703" t="s">
        <v>14</v>
      </c>
      <c r="S34" s="704">
        <f t="shared" si="12"/>
        <v>100</v>
      </c>
      <c r="T34" s="703" t="s">
        <v>14</v>
      </c>
      <c r="U34" s="704">
        <f t="shared" si="13"/>
        <v>100</v>
      </c>
      <c r="V34" s="703" t="s">
        <v>14</v>
      </c>
      <c r="W34" s="704">
        <f t="shared" si="14"/>
        <v>100</v>
      </c>
      <c r="X34" s="1353"/>
      <c r="Y34" s="3673"/>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2"/>
      <c r="M35" s="2723"/>
      <c r="N35" s="2714"/>
      <c r="O35" s="2723"/>
      <c r="P35" s="3666" t="str">
        <f>A35</f>
        <v>成交单价（元/平方米）</v>
      </c>
      <c r="Q35" s="3666"/>
      <c r="R35" s="3667">
        <f>E35</f>
        <v>0</v>
      </c>
      <c r="S35" s="3667"/>
      <c r="T35" s="3667">
        <f>G35</f>
        <v>0</v>
      </c>
      <c r="U35" s="3667"/>
      <c r="V35" s="3667">
        <f>I35</f>
        <v>0</v>
      </c>
      <c r="W35" s="3667"/>
      <c r="X35" s="688"/>
      <c r="Y35" s="710"/>
      <c r="Z35" s="688"/>
      <c r="AA35" s="688"/>
      <c r="AB35" s="688"/>
      <c r="AC35" s="688"/>
    </row>
    <row r="36" spans="1:30" ht="15.75" thickBot="1">
      <c r="A36" s="437" t="s">
        <v>1793</v>
      </c>
      <c r="B36" s="438"/>
      <c r="C36" s="1158" t="e">
        <f>R37</f>
        <v>#DIV/0!</v>
      </c>
      <c r="D36" s="2315" t="s">
        <v>2137</v>
      </c>
      <c r="E36" s="1159" t="e">
        <f>R36</f>
        <v>#DIV/0!</v>
      </c>
      <c r="F36" s="2316"/>
      <c r="G36" s="1158" t="e">
        <f>T36</f>
        <v>#DIV/0!</v>
      </c>
      <c r="H36" s="2316"/>
      <c r="I36" s="1159" t="e">
        <f>V36</f>
        <v>#DIV/0!</v>
      </c>
      <c r="J36" s="2316"/>
      <c r="K36" s="2318">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88"/>
      <c r="Y37" s="688"/>
      <c r="Z37" s="688"/>
      <c r="AA37" s="688"/>
      <c r="AB37" s="688"/>
      <c r="AC37" s="688"/>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2" t="s">
        <v>1798</v>
      </c>
      <c r="B45" s="688"/>
      <c r="C45" s="693"/>
      <c r="D45" s="693"/>
      <c r="E45" s="693"/>
      <c r="F45" s="694"/>
      <c r="G45" s="694"/>
      <c r="H45" s="693"/>
      <c r="I45" s="693"/>
      <c r="J45" s="693"/>
      <c r="K45" s="695"/>
      <c r="L45" s="696"/>
      <c r="M45" s="693"/>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7"/>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4"/>
      <c r="B98" s="934"/>
      <c r="C98" s="934"/>
      <c r="D98" s="934"/>
      <c r="E98" s="934"/>
      <c r="F98" s="934"/>
      <c r="G98" s="934"/>
      <c r="H98" s="934"/>
      <c r="I98" s="934"/>
      <c r="J98" s="934"/>
      <c r="K98" s="935"/>
      <c r="L98" s="936"/>
      <c r="M98" s="934"/>
      <c r="N98" s="2723"/>
      <c r="O98" s="2723"/>
      <c r="P98" s="2723"/>
      <c r="Q98" s="2723"/>
      <c r="R98" s="2723"/>
      <c r="S98" s="2723"/>
      <c r="T98" s="2723"/>
      <c r="U98" s="2723"/>
      <c r="V98" s="2723"/>
      <c r="W98" s="2723"/>
      <c r="X98" s="2723"/>
      <c r="Y98" s="2723"/>
      <c r="Z98" s="2723"/>
      <c r="AA98" s="2723"/>
      <c r="AB98" s="2723"/>
      <c r="AC98" s="2723"/>
      <c r="AD98" s="2723"/>
    </row>
    <row r="99" spans="1:30">
      <c r="A99" s="934"/>
      <c r="B99" s="934"/>
      <c r="C99" s="934"/>
      <c r="D99" s="934"/>
      <c r="E99" s="934"/>
      <c r="F99" s="934"/>
      <c r="G99" s="934"/>
      <c r="H99" s="934"/>
      <c r="I99" s="934"/>
      <c r="J99" s="934"/>
      <c r="K99" s="935"/>
      <c r="L99" s="936"/>
      <c r="M99" s="934"/>
      <c r="N99" s="2723"/>
      <c r="O99" s="2723"/>
      <c r="P99" s="2723"/>
      <c r="Q99" s="2723"/>
      <c r="R99" s="2723"/>
      <c r="S99" s="2723"/>
      <c r="T99" s="2723"/>
      <c r="U99" s="2723"/>
      <c r="V99" s="2723"/>
      <c r="W99" s="2723"/>
      <c r="X99" s="2723"/>
      <c r="Y99" s="2723"/>
      <c r="Z99" s="2723"/>
      <c r="AA99" s="2723"/>
      <c r="AB99" s="2723"/>
      <c r="AC99" s="2723"/>
      <c r="AD99" s="2723"/>
    </row>
    <row r="100" spans="1:30">
      <c r="A100" s="934"/>
      <c r="B100" s="934"/>
      <c r="C100" s="934"/>
      <c r="D100" s="934"/>
      <c r="E100" s="934"/>
      <c r="F100" s="934"/>
      <c r="G100" s="934"/>
      <c r="H100" s="934"/>
      <c r="I100" s="934"/>
      <c r="J100" s="934"/>
      <c r="K100" s="935"/>
      <c r="L100" s="936"/>
      <c r="M100" s="934"/>
      <c r="N100" s="2723"/>
      <c r="O100" s="2723"/>
      <c r="P100" s="2723"/>
      <c r="Q100" s="2723"/>
      <c r="R100" s="2723"/>
      <c r="S100" s="2723"/>
      <c r="T100" s="2723"/>
      <c r="U100" s="2723"/>
      <c r="V100" s="2723"/>
      <c r="W100" s="2723"/>
      <c r="X100" s="2723"/>
      <c r="Y100" s="2723"/>
      <c r="Z100" s="2723"/>
      <c r="AA100" s="2723"/>
      <c r="AB100" s="2723"/>
      <c r="AC100" s="2723"/>
      <c r="AD100" s="2723"/>
    </row>
    <row r="101" spans="1:30">
      <c r="A101" s="934"/>
      <c r="B101" s="934"/>
      <c r="C101" s="934"/>
      <c r="D101" s="934"/>
      <c r="E101" s="934"/>
      <c r="F101" s="934"/>
      <c r="G101" s="934"/>
      <c r="H101" s="934"/>
      <c r="I101" s="934"/>
      <c r="J101" s="934"/>
      <c r="K101" s="935"/>
      <c r="L101" s="936"/>
      <c r="M101" s="934"/>
      <c r="N101" s="2723"/>
      <c r="O101" s="2723"/>
      <c r="P101" s="2723"/>
      <c r="Q101" s="2723"/>
      <c r="R101" s="2723"/>
      <c r="S101" s="2723"/>
      <c r="T101" s="2723"/>
      <c r="U101" s="2723"/>
      <c r="V101" s="2723"/>
      <c r="W101" s="2723"/>
      <c r="X101" s="2723"/>
      <c r="Y101" s="2723"/>
      <c r="Z101" s="2723"/>
      <c r="AA101" s="2723"/>
      <c r="AB101" s="2723"/>
      <c r="AC101" s="2723"/>
      <c r="AD101" s="2723"/>
    </row>
    <row r="102" spans="1:30">
      <c r="A102" s="934"/>
      <c r="B102" s="934"/>
      <c r="C102" s="934"/>
      <c r="D102" s="934"/>
      <c r="E102" s="934"/>
      <c r="F102" s="934"/>
      <c r="G102" s="934"/>
      <c r="H102" s="934"/>
      <c r="I102" s="934"/>
      <c r="J102" s="934"/>
      <c r="K102" s="935"/>
      <c r="L102" s="936"/>
      <c r="M102" s="934"/>
      <c r="N102" s="2723"/>
      <c r="O102" s="2723"/>
      <c r="P102" s="2723"/>
      <c r="Q102" s="2723"/>
      <c r="R102" s="2723"/>
      <c r="S102" s="2723"/>
      <c r="T102" s="2723"/>
      <c r="U102" s="2723"/>
      <c r="V102" s="2723"/>
      <c r="W102" s="2723"/>
      <c r="X102" s="2723"/>
      <c r="Y102" s="2723"/>
      <c r="Z102" s="2723"/>
      <c r="AA102" s="2723"/>
      <c r="AB102" s="2723"/>
      <c r="AC102" s="2723"/>
      <c r="AD102" s="2723"/>
    </row>
    <row r="103" spans="1:30">
      <c r="A103" s="934"/>
      <c r="B103" s="934"/>
      <c r="C103" s="934"/>
      <c r="D103" s="934"/>
      <c r="E103" s="934"/>
      <c r="F103" s="934"/>
      <c r="G103" s="934"/>
      <c r="H103" s="934"/>
      <c r="I103" s="934"/>
      <c r="J103" s="934"/>
      <c r="K103" s="935"/>
      <c r="L103" s="936"/>
      <c r="M103" s="934"/>
      <c r="N103" s="934"/>
      <c r="O103" s="934"/>
      <c r="P103" s="2723"/>
      <c r="Q103" s="2723"/>
      <c r="R103" s="2723"/>
      <c r="S103" s="2723"/>
      <c r="T103" s="2723"/>
      <c r="U103" s="2723"/>
      <c r="V103" s="2723"/>
      <c r="W103" s="2723"/>
      <c r="X103" s="2723"/>
      <c r="Y103" s="2723"/>
      <c r="Z103" s="2723"/>
      <c r="AA103" s="2723"/>
      <c r="AB103" s="2723"/>
      <c r="AC103" s="2723"/>
      <c r="AD103" s="2723"/>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3"/>
      <c r="Y6" s="3695"/>
      <c r="Z6" s="3696"/>
      <c r="AA6" s="3680"/>
      <c r="AB6" s="3680"/>
      <c r="AC6" s="3680"/>
    </row>
    <row r="7" spans="1:30" s="108" customFormat="1" ht="15.75" thickBot="1">
      <c r="A7" s="362" t="s">
        <v>1679</v>
      </c>
      <c r="B7" s="363"/>
      <c r="C7" s="364">
        <f>'数据-取费表'!B2</f>
        <v>45595</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1" t="str">
        <f t="shared" si="6"/>
        <v>配建</v>
      </c>
      <c r="R12" s="699" t="s">
        <v>14</v>
      </c>
      <c r="S12" s="700">
        <f t="shared" si="0"/>
        <v>100</v>
      </c>
      <c r="T12" s="699" t="s">
        <v>14</v>
      </c>
      <c r="U12" s="700">
        <f t="shared" si="1"/>
        <v>100</v>
      </c>
      <c r="V12" s="699" t="s">
        <v>14</v>
      </c>
      <c r="W12" s="700">
        <f t="shared" si="2"/>
        <v>100</v>
      </c>
      <c r="X12" s="701"/>
      <c r="Y12" s="3541"/>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0" t="str">
        <f t="shared" si="6"/>
        <v>居住社区成熟度</v>
      </c>
      <c r="R15" s="703" t="s">
        <v>14</v>
      </c>
      <c r="S15" s="704">
        <f t="shared" si="0"/>
        <v>100</v>
      </c>
      <c r="T15" s="703" t="s">
        <v>14</v>
      </c>
      <c r="U15" s="704">
        <f t="shared" si="1"/>
        <v>100</v>
      </c>
      <c r="V15" s="703" t="s">
        <v>14</v>
      </c>
      <c r="W15" s="704">
        <f t="shared" si="2"/>
        <v>100</v>
      </c>
      <c r="X15" s="1353"/>
      <c r="Y15" s="3668"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0" t="str">
        <f>B17</f>
        <v>商业繁华度</v>
      </c>
      <c r="R17" s="703" t="s">
        <v>14</v>
      </c>
      <c r="S17" s="704">
        <f>F17</f>
        <v>100</v>
      </c>
      <c r="T17" s="703" t="s">
        <v>14</v>
      </c>
      <c r="U17" s="704">
        <f>H17</f>
        <v>100</v>
      </c>
      <c r="V17" s="703" t="s">
        <v>14</v>
      </c>
      <c r="W17" s="704">
        <f>J17</f>
        <v>100</v>
      </c>
      <c r="X17" s="1353"/>
      <c r="Y17" s="3669"/>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0" t="str">
        <f>B19</f>
        <v>办公集聚程度</v>
      </c>
      <c r="R19" s="703" t="s">
        <v>14</v>
      </c>
      <c r="S19" s="704">
        <f>F19</f>
        <v>100</v>
      </c>
      <c r="T19" s="703" t="s">
        <v>14</v>
      </c>
      <c r="U19" s="704">
        <f>H19</f>
        <v>100</v>
      </c>
      <c r="V19" s="703" t="s">
        <v>14</v>
      </c>
      <c r="W19" s="704">
        <f>J19</f>
        <v>100</v>
      </c>
      <c r="X19" s="1353"/>
      <c r="Y19" s="3669"/>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20"/>
      <c r="M20" s="2714"/>
      <c r="N20" s="2714"/>
      <c r="O20" s="2772"/>
      <c r="P20" s="3669"/>
      <c r="Q20" s="1350"/>
      <c r="R20" s="703"/>
      <c r="S20" s="704"/>
      <c r="T20" s="703"/>
      <c r="U20" s="704"/>
      <c r="V20" s="703"/>
      <c r="W20" s="704"/>
      <c r="X20" s="1353"/>
      <c r="Y20" s="3669"/>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0" t="str">
        <f>B21</f>
        <v>交通便捷度</v>
      </c>
      <c r="R21" s="703" t="s">
        <v>14</v>
      </c>
      <c r="S21" s="704">
        <f>F21</f>
        <v>100</v>
      </c>
      <c r="T21" s="703" t="s">
        <v>14</v>
      </c>
      <c r="U21" s="704">
        <f>H21</f>
        <v>100</v>
      </c>
      <c r="V21" s="703" t="s">
        <v>14</v>
      </c>
      <c r="W21" s="704">
        <f>J21</f>
        <v>100</v>
      </c>
      <c r="X21" s="1353"/>
      <c r="Y21" s="3669"/>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0" t="str">
        <f t="shared" ref="Q23:Q37" si="8">B23</f>
        <v>区域土地利用方向</v>
      </c>
      <c r="R23" s="703" t="s">
        <v>14</v>
      </c>
      <c r="S23" s="704">
        <f>F23</f>
        <v>100</v>
      </c>
      <c r="T23" s="703" t="s">
        <v>14</v>
      </c>
      <c r="U23" s="704">
        <f>H23</f>
        <v>100</v>
      </c>
      <c r="V23" s="703" t="s">
        <v>14</v>
      </c>
      <c r="W23" s="704">
        <f>J23</f>
        <v>100</v>
      </c>
      <c r="X23" s="1353"/>
      <c r="Y23" s="3669"/>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20"/>
      <c r="M24" s="2714"/>
      <c r="N24" s="2714"/>
      <c r="O24" s="2772"/>
      <c r="P24" s="3669"/>
      <c r="Q24" s="1350"/>
      <c r="R24" s="703"/>
      <c r="S24" s="704"/>
      <c r="T24" s="703"/>
      <c r="U24" s="704"/>
      <c r="V24" s="703"/>
      <c r="W24" s="704"/>
      <c r="X24" s="1353"/>
      <c r="Y24" s="3669"/>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0" t="str">
        <f t="shared" si="8"/>
        <v>自然及人文环境状况</v>
      </c>
      <c r="R25" s="703" t="s">
        <v>14</v>
      </c>
      <c r="S25" s="704">
        <f>F25</f>
        <v>100</v>
      </c>
      <c r="T25" s="703" t="s">
        <v>14</v>
      </c>
      <c r="U25" s="704">
        <f>H25</f>
        <v>100</v>
      </c>
      <c r="V25" s="703" t="s">
        <v>14</v>
      </c>
      <c r="W25" s="704">
        <f>J25</f>
        <v>100</v>
      </c>
      <c r="X25" s="1353"/>
      <c r="Y25" s="3669"/>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20"/>
      <c r="M26" s="2714"/>
      <c r="N26" s="2714"/>
      <c r="O26" s="2772"/>
      <c r="P26" s="3669"/>
      <c r="Q26" s="1350"/>
      <c r="R26" s="703"/>
      <c r="S26" s="704"/>
      <c r="T26" s="703"/>
      <c r="U26" s="704"/>
      <c r="V26" s="703"/>
      <c r="W26" s="704"/>
      <c r="X26" s="1353"/>
      <c r="Y26" s="3669"/>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1" t="str">
        <f t="shared" si="8"/>
        <v>公共配套设施</v>
      </c>
      <c r="R27" s="699" t="s">
        <v>14</v>
      </c>
      <c r="S27" s="700">
        <f>F27</f>
        <v>100</v>
      </c>
      <c r="T27" s="699" t="s">
        <v>14</v>
      </c>
      <c r="U27" s="700">
        <f>H27</f>
        <v>100</v>
      </c>
      <c r="V27" s="699" t="s">
        <v>14</v>
      </c>
      <c r="W27" s="700">
        <f>J27</f>
        <v>100</v>
      </c>
      <c r="X27" s="701"/>
      <c r="Y27" s="3669"/>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5"/>
      <c r="M28" s="2716"/>
      <c r="N28" s="2716"/>
      <c r="O28" s="2770"/>
      <c r="P28" s="3669"/>
      <c r="Q28" s="1341"/>
      <c r="R28" s="699"/>
      <c r="S28" s="700"/>
      <c r="T28" s="699"/>
      <c r="U28" s="700"/>
      <c r="V28" s="699"/>
      <c r="W28" s="700"/>
      <c r="X28" s="701"/>
      <c r="Y28" s="3669"/>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1" t="str">
        <f t="shared" ref="Q29" si="9">B29</f>
        <v>基础设施水平</v>
      </c>
      <c r="R29" s="699" t="s">
        <v>14</v>
      </c>
      <c r="S29" s="700">
        <f>F29</f>
        <v>100</v>
      </c>
      <c r="T29" s="699" t="s">
        <v>14</v>
      </c>
      <c r="U29" s="700">
        <f>H29</f>
        <v>100</v>
      </c>
      <c r="V29" s="699" t="s">
        <v>14</v>
      </c>
      <c r="W29" s="700">
        <f>J29</f>
        <v>100</v>
      </c>
      <c r="X29" s="701"/>
      <c r="Y29" s="3669"/>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5"/>
      <c r="M30" s="2716"/>
      <c r="N30" s="2716"/>
      <c r="O30" s="2770"/>
      <c r="P30" s="3669"/>
      <c r="Q30" s="1341"/>
      <c r="R30" s="699"/>
      <c r="S30" s="700"/>
      <c r="T30" s="699"/>
      <c r="U30" s="700"/>
      <c r="V30" s="699"/>
      <c r="W30" s="700"/>
      <c r="X30" s="701"/>
      <c r="Y30" s="3669"/>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669"/>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0" t="str">
        <f t="shared" si="8"/>
        <v>毗邻道路的类型与等级</v>
      </c>
      <c r="R32" s="703" t="s">
        <v>14</v>
      </c>
      <c r="S32" s="704">
        <f t="shared" si="10"/>
        <v>100</v>
      </c>
      <c r="T32" s="703" t="s">
        <v>14</v>
      </c>
      <c r="U32" s="704">
        <f t="shared" si="11"/>
        <v>100</v>
      </c>
      <c r="V32" s="703" t="s">
        <v>14</v>
      </c>
      <c r="W32" s="704">
        <f t="shared" si="12"/>
        <v>100</v>
      </c>
      <c r="X32" s="1353"/>
      <c r="Y32" s="3669"/>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669"/>
      <c r="Q33" s="1350"/>
      <c r="R33" s="703"/>
      <c r="S33" s="704"/>
      <c r="T33" s="703"/>
      <c r="U33" s="704"/>
      <c r="V33" s="703"/>
      <c r="W33" s="704"/>
      <c r="X33" s="1353"/>
      <c r="Y33" s="3669"/>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0" t="str">
        <f t="shared" si="8"/>
        <v>土地级别</v>
      </c>
      <c r="R34" s="703" t="s">
        <v>14</v>
      </c>
      <c r="S34" s="704">
        <f t="shared" si="10"/>
        <v>100</v>
      </c>
      <c r="T34" s="703" t="s">
        <v>14</v>
      </c>
      <c r="U34" s="704">
        <f t="shared" si="11"/>
        <v>100</v>
      </c>
      <c r="V34" s="703" t="s">
        <v>14</v>
      </c>
      <c r="W34" s="704">
        <f t="shared" si="12"/>
        <v>100</v>
      </c>
      <c r="X34" s="1353"/>
      <c r="Y34" s="3669"/>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0">
        <f t="shared" si="8"/>
        <v>111</v>
      </c>
      <c r="R35" s="703" t="s">
        <v>14</v>
      </c>
      <c r="S35" s="704">
        <f t="shared" si="10"/>
        <v>100</v>
      </c>
      <c r="T35" s="703" t="s">
        <v>14</v>
      </c>
      <c r="U35" s="704">
        <f t="shared" si="11"/>
        <v>100</v>
      </c>
      <c r="V35" s="703" t="s">
        <v>14</v>
      </c>
      <c r="W35" s="704">
        <f t="shared" si="12"/>
        <v>100</v>
      </c>
      <c r="X35" s="1353"/>
      <c r="Y35" s="3669"/>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0">
        <f t="shared" si="8"/>
        <v>111</v>
      </c>
      <c r="R36" s="703" t="s">
        <v>14</v>
      </c>
      <c r="S36" s="704">
        <f t="shared" si="10"/>
        <v>100</v>
      </c>
      <c r="T36" s="703" t="s">
        <v>14</v>
      </c>
      <c r="U36" s="704">
        <f t="shared" si="11"/>
        <v>100</v>
      </c>
      <c r="V36" s="703" t="s">
        <v>14</v>
      </c>
      <c r="W36" s="704">
        <f t="shared" si="12"/>
        <v>100</v>
      </c>
      <c r="X36" s="1353"/>
      <c r="Y36" s="3673"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0">
        <f t="shared" si="8"/>
        <v>111</v>
      </c>
      <c r="R37" s="706" t="s">
        <v>14</v>
      </c>
      <c r="S37" s="707">
        <f t="shared" si="10"/>
        <v>100</v>
      </c>
      <c r="T37" s="706" t="s">
        <v>14</v>
      </c>
      <c r="U37" s="707">
        <f t="shared" si="11"/>
        <v>100</v>
      </c>
      <c r="V37" s="706" t="s">
        <v>14</v>
      </c>
      <c r="W37" s="707">
        <f t="shared" si="12"/>
        <v>100</v>
      </c>
      <c r="X37" s="708"/>
      <c r="Y37" s="3673"/>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0" t="str">
        <f>B38</f>
        <v>宗地面积</v>
      </c>
      <c r="R38" s="703" t="s">
        <v>14</v>
      </c>
      <c r="S38" s="704" t="e">
        <f t="shared" si="10"/>
        <v>#N/A</v>
      </c>
      <c r="T38" s="703" t="s">
        <v>14</v>
      </c>
      <c r="U38" s="704" t="e">
        <f t="shared" si="11"/>
        <v>#N/A</v>
      </c>
      <c r="V38" s="703" t="s">
        <v>14</v>
      </c>
      <c r="W38" s="704" t="e">
        <f t="shared" si="12"/>
        <v>#N/A</v>
      </c>
      <c r="X38" s="1353"/>
      <c r="Y38" s="3673"/>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20"/>
      <c r="M39" s="2714"/>
      <c r="N39" s="2714"/>
      <c r="O39" s="2772"/>
      <c r="P39" s="3673"/>
      <c r="Q39" s="1350" t="str">
        <f t="shared" ref="Q39:Q45" si="14">B39</f>
        <v>宗地形状</v>
      </c>
      <c r="R39" s="703" t="s">
        <v>14</v>
      </c>
      <c r="S39" s="704">
        <f t="shared" si="10"/>
        <v>100</v>
      </c>
      <c r="T39" s="703" t="s">
        <v>14</v>
      </c>
      <c r="U39" s="704">
        <f t="shared" si="11"/>
        <v>100</v>
      </c>
      <c r="V39" s="703" t="s">
        <v>14</v>
      </c>
      <c r="W39" s="704">
        <f t="shared" si="12"/>
        <v>100</v>
      </c>
      <c r="X39" s="1353"/>
      <c r="Y39" s="3673"/>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20"/>
      <c r="M40" s="2714"/>
      <c r="N40" s="2714"/>
      <c r="O40" s="2772"/>
      <c r="P40" s="3673"/>
      <c r="Q40" s="1350" t="str">
        <f t="shared" si="14"/>
        <v>临街宽度及深度</v>
      </c>
      <c r="R40" s="703" t="s">
        <v>14</v>
      </c>
      <c r="S40" s="704">
        <f t="shared" si="10"/>
        <v>100</v>
      </c>
      <c r="T40" s="703" t="s">
        <v>14</v>
      </c>
      <c r="U40" s="704">
        <f t="shared" si="11"/>
        <v>100</v>
      </c>
      <c r="V40" s="703" t="s">
        <v>14</v>
      </c>
      <c r="W40" s="704">
        <f t="shared" si="12"/>
        <v>100</v>
      </c>
      <c r="X40" s="1353"/>
      <c r="Y40" s="3673"/>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673"/>
      <c r="Q41" s="1350" t="str">
        <f t="shared" si="14"/>
        <v>宗地开发程度</v>
      </c>
      <c r="R41" s="699" t="s">
        <v>14</v>
      </c>
      <c r="S41" s="700">
        <f t="shared" si="10"/>
        <v>100</v>
      </c>
      <c r="T41" s="699" t="s">
        <v>14</v>
      </c>
      <c r="U41" s="700">
        <f t="shared" si="11"/>
        <v>100</v>
      </c>
      <c r="V41" s="699" t="s">
        <v>14</v>
      </c>
      <c r="W41" s="700">
        <f t="shared" si="12"/>
        <v>100</v>
      </c>
      <c r="X41" s="701"/>
      <c r="Y41" s="3673"/>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20"/>
      <c r="M42" s="2714"/>
      <c r="N42" s="2714"/>
      <c r="O42" s="2772"/>
      <c r="P42" s="3673" t="s">
        <v>1696</v>
      </c>
      <c r="Q42" s="1350" t="str">
        <f t="shared" si="14"/>
        <v>工程地质条件</v>
      </c>
      <c r="R42" s="703" t="s">
        <v>14</v>
      </c>
      <c r="S42" s="704">
        <f t="shared" si="10"/>
        <v>100</v>
      </c>
      <c r="T42" s="703" t="s">
        <v>14</v>
      </c>
      <c r="U42" s="704">
        <f t="shared" si="11"/>
        <v>100</v>
      </c>
      <c r="V42" s="703" t="s">
        <v>14</v>
      </c>
      <c r="W42" s="704">
        <f t="shared" si="12"/>
        <v>100</v>
      </c>
      <c r="X42" s="1353"/>
      <c r="Y42" s="3673"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0">
        <f t="shared" si="14"/>
        <v>111</v>
      </c>
      <c r="R43" s="703" t="s">
        <v>14</v>
      </c>
      <c r="S43" s="704">
        <f t="shared" si="10"/>
        <v>100</v>
      </c>
      <c r="T43" s="703" t="s">
        <v>14</v>
      </c>
      <c r="U43" s="704">
        <f t="shared" si="11"/>
        <v>100</v>
      </c>
      <c r="V43" s="703" t="s">
        <v>14</v>
      </c>
      <c r="W43" s="704">
        <f t="shared" si="12"/>
        <v>100</v>
      </c>
      <c r="X43" s="1353"/>
      <c r="Y43" s="3673"/>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0">
        <f t="shared" si="14"/>
        <v>111</v>
      </c>
      <c r="R44" s="703" t="s">
        <v>14</v>
      </c>
      <c r="S44" s="704">
        <f t="shared" si="10"/>
        <v>100</v>
      </c>
      <c r="T44" s="703" t="s">
        <v>14</v>
      </c>
      <c r="U44" s="704">
        <f t="shared" si="11"/>
        <v>100</v>
      </c>
      <c r="V44" s="703" t="s">
        <v>14</v>
      </c>
      <c r="W44" s="704">
        <f t="shared" si="12"/>
        <v>100</v>
      </c>
      <c r="X44" s="1353"/>
      <c r="Y44" s="3673"/>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0">
        <f t="shared" si="14"/>
        <v>111</v>
      </c>
      <c r="R45" s="706" t="s">
        <v>14</v>
      </c>
      <c r="S45" s="707">
        <f t="shared" si="10"/>
        <v>100</v>
      </c>
      <c r="T45" s="706" t="s">
        <v>14</v>
      </c>
      <c r="U45" s="707">
        <f t="shared" si="11"/>
        <v>100</v>
      </c>
      <c r="V45" s="706" t="s">
        <v>14</v>
      </c>
      <c r="W45" s="707">
        <f t="shared" si="12"/>
        <v>100</v>
      </c>
      <c r="X45" s="708"/>
      <c r="Y45" s="3673"/>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2"/>
      <c r="M46" s="2723"/>
      <c r="N46" s="2714"/>
      <c r="O46" s="2723"/>
      <c r="P46" s="3666" t="str">
        <f>A46</f>
        <v>成交单价</v>
      </c>
      <c r="Q46" s="3666"/>
      <c r="R46" s="3697">
        <f>E46</f>
        <v>0</v>
      </c>
      <c r="S46" s="3697"/>
      <c r="T46" s="3697">
        <f>G46</f>
        <v>0</v>
      </c>
      <c r="U46" s="3697"/>
      <c r="V46" s="3697">
        <f>I46</f>
        <v>0</v>
      </c>
      <c r="W46" s="3697"/>
      <c r="X46" s="688"/>
      <c r="Y46" s="710"/>
      <c r="Z46" s="688"/>
      <c r="AA46" s="688"/>
      <c r="AB46" s="688"/>
      <c r="AC46" s="688"/>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88"/>
      <c r="Y48" s="688"/>
      <c r="Z48" s="688"/>
      <c r="AA48" s="688"/>
      <c r="AB48" s="688"/>
      <c r="AC48" s="688"/>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1"/>
      <c r="D54" s="689"/>
      <c r="E54" s="689"/>
      <c r="F54" s="689"/>
      <c r="G54" s="689"/>
      <c r="H54" s="689"/>
      <c r="I54" s="689"/>
      <c r="J54" s="689"/>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8" t="s">
        <v>1886</v>
      </c>
      <c r="G55" s="3681" t="s">
        <v>1887</v>
      </c>
      <c r="H55" s="3728"/>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2">
        <v>1</v>
      </c>
      <c r="E56" s="638">
        <f>'数据-汇总表'!E8+'数据-汇总表'!E9</f>
        <v>54.47</v>
      </c>
      <c r="F56" s="884" t="e">
        <f t="shared" ref="F56:F64" si="15">ROUND(B56*E56/10000,0)</f>
        <v>#DIV/0!</v>
      </c>
      <c r="G56" s="3677"/>
      <c r="H56" s="3666"/>
      <c r="I56" s="889">
        <v>1</v>
      </c>
      <c r="J56" s="892">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3">
        <v>0.25</v>
      </c>
      <c r="E57" s="642"/>
      <c r="F57" s="884" t="e">
        <f t="shared" si="15"/>
        <v>#DIV/0!</v>
      </c>
      <c r="G57" s="3004" t="s">
        <v>1892</v>
      </c>
      <c r="H57" s="885">
        <f>项目基本情况!B37</f>
        <v>0</v>
      </c>
      <c r="I57" s="889">
        <f>SUMIF(修正!A57:A68,H57,修正!B57:B68)</f>
        <v>0</v>
      </c>
      <c r="J57" s="893"/>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3">
        <v>0.25</v>
      </c>
      <c r="E58" s="642"/>
      <c r="F58" s="884" t="e">
        <f t="shared" si="15"/>
        <v>#DIV/0!</v>
      </c>
      <c r="G58" s="3005"/>
      <c r="H58" s="885">
        <f>项目基本情况!B37</f>
        <v>0</v>
      </c>
      <c r="I58" s="889">
        <f>SUMIF(修正!A57:A68,H58,修正!C57:C68)</f>
        <v>0</v>
      </c>
      <c r="J58" s="893"/>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3">
        <v>0.25</v>
      </c>
      <c r="E59" s="642"/>
      <c r="F59" s="884" t="e">
        <f t="shared" si="15"/>
        <v>#DIV/0!</v>
      </c>
      <c r="G59" s="3005"/>
      <c r="H59" s="885">
        <f>项目基本情况!B37</f>
        <v>0</v>
      </c>
      <c r="I59" s="889">
        <f>SUMIF(修正!A57:A68,H59,修正!D57:D68)</f>
        <v>0</v>
      </c>
      <c r="J59" s="893"/>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3">
        <v>0.25</v>
      </c>
      <c r="E63" s="217">
        <f>'数据-汇总表'!E14</f>
        <v>0</v>
      </c>
      <c r="F63" s="884" t="e">
        <f t="shared" si="15"/>
        <v>#DIV/0!</v>
      </c>
      <c r="G63" s="1985" t="s">
        <v>1892</v>
      </c>
      <c r="H63" s="885">
        <f>项目基本情况!B37</f>
        <v>0</v>
      </c>
      <c r="I63" s="889">
        <f>SUMIF(修正!A57:A68,H63,修正!G57:G68)</f>
        <v>0</v>
      </c>
      <c r="J63" s="893"/>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54.47</v>
      </c>
      <c r="F65" s="645" t="e">
        <f>IF(B46="楼面地价",SUM(F56:F64),ROUND(C48*E65/10000,0))</f>
        <v>#DIV/0!</v>
      </c>
      <c r="G65" s="715"/>
      <c r="H65" s="715"/>
      <c r="I65" s="715"/>
      <c r="J65" s="715"/>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8"/>
      <c r="B66" s="690"/>
      <c r="C66" s="691"/>
      <c r="D66" s="688"/>
      <c r="E66" s="688"/>
      <c r="F66" s="688"/>
      <c r="G66" s="688"/>
      <c r="H66" s="688"/>
      <c r="I66" s="688"/>
      <c r="J66" s="925"/>
      <c r="K66" s="886"/>
      <c r="L66" s="887"/>
      <c r="M66" s="925"/>
      <c r="N66" s="925"/>
      <c r="O66" s="925"/>
      <c r="P66" s="2723"/>
      <c r="Q66" s="2723"/>
      <c r="R66" s="2723"/>
      <c r="S66" s="2723"/>
      <c r="T66" s="2723"/>
      <c r="U66" s="2723"/>
      <c r="V66" s="2723"/>
      <c r="W66" s="2723"/>
      <c r="X66" s="2723"/>
      <c r="Y66" s="2723"/>
      <c r="Z66" s="2723"/>
      <c r="AA66" s="2723"/>
      <c r="AB66" s="2723"/>
      <c r="AC66" s="2723"/>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23"/>
      <c r="Q67" s="2723"/>
      <c r="R67" s="2723"/>
      <c r="S67" s="2723"/>
      <c r="T67" s="2723"/>
      <c r="U67" s="2723"/>
      <c r="V67" s="2723"/>
      <c r="W67" s="2723"/>
      <c r="X67" s="2723"/>
      <c r="Y67" s="2723"/>
      <c r="Z67" s="2723"/>
      <c r="AA67" s="2723"/>
      <c r="AB67" s="2723"/>
      <c r="AC67" s="2723"/>
    </row>
    <row r="68" spans="1:29" ht="21.75" thickBot="1">
      <c r="A68" s="692" t="s">
        <v>1798</v>
      </c>
      <c r="B68" s="688"/>
      <c r="C68" s="693"/>
      <c r="D68" s="693"/>
      <c r="E68" s="693"/>
      <c r="F68" s="694"/>
      <c r="G68" s="694"/>
      <c r="H68" s="693"/>
      <c r="I68" s="693"/>
      <c r="J68" s="938"/>
      <c r="K68" s="939"/>
      <c r="L68" s="940"/>
      <c r="M68" s="938"/>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7"/>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1"/>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2"/>
      <c r="M2" s="2733"/>
      <c r="N2" s="2733"/>
      <c r="O2" s="2733"/>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2"/>
      <c r="M3" s="2733"/>
      <c r="N3" s="2733"/>
      <c r="O3" s="2733"/>
      <c r="P3" s="697"/>
      <c r="Q3" s="697"/>
      <c r="R3" s="697"/>
      <c r="S3" s="697"/>
      <c r="T3" s="697"/>
      <c r="U3" s="697"/>
      <c r="V3" s="697"/>
      <c r="W3" s="697"/>
      <c r="X3" s="697"/>
      <c r="Y3" s="697"/>
      <c r="Z3" s="697"/>
      <c r="AA3" s="697"/>
      <c r="AB3" s="714"/>
      <c r="AC3" s="711"/>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3"/>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3"/>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3"/>
      <c r="Y6" s="3695"/>
      <c r="Z6" s="3696"/>
      <c r="AA6" s="3680"/>
      <c r="AB6" s="3680"/>
      <c r="AC6" s="3680"/>
    </row>
    <row r="7" spans="1:29" s="108" customFormat="1" ht="15.75" thickBot="1">
      <c r="A7" s="362" t="s">
        <v>1679</v>
      </c>
      <c r="B7" s="363"/>
      <c r="C7" s="364">
        <f>'数据-取费表'!B2</f>
        <v>45595</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02" t="s">
        <v>1680</v>
      </c>
      <c r="Q7" s="3704"/>
      <c r="R7" s="699" t="s">
        <v>14</v>
      </c>
      <c r="S7" s="700">
        <f t="shared" ref="S7:S15" si="0">F7</f>
        <v>0</v>
      </c>
      <c r="T7" s="699" t="s">
        <v>14</v>
      </c>
      <c r="U7" s="700">
        <f t="shared" ref="U7:U15" si="1">H7</f>
        <v>0</v>
      </c>
      <c r="V7" s="699" t="s">
        <v>14</v>
      </c>
      <c r="W7" s="700">
        <f t="shared" ref="W7:W15" si="2">J7</f>
        <v>0</v>
      </c>
      <c r="X7" s="701"/>
      <c r="Y7" s="3702" t="s">
        <v>1680</v>
      </c>
      <c r="Z7" s="3703"/>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699" t="s">
        <v>14</v>
      </c>
      <c r="S8" s="700">
        <f t="shared" si="0"/>
        <v>0</v>
      </c>
      <c r="T8" s="699" t="s">
        <v>14</v>
      </c>
      <c r="U8" s="700">
        <f t="shared" si="1"/>
        <v>0</v>
      </c>
      <c r="V8" s="699" t="s">
        <v>14</v>
      </c>
      <c r="W8" s="700">
        <f t="shared" si="2"/>
        <v>0</v>
      </c>
      <c r="X8" s="701"/>
      <c r="Y8" s="3702" t="s">
        <v>1683</v>
      </c>
      <c r="Z8" s="3703"/>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666" t="s">
        <v>1686</v>
      </c>
      <c r="Q9" s="1341" t="str">
        <f t="shared" ref="Q9:Q15" si="6">B9</f>
        <v>用途</v>
      </c>
      <c r="R9" s="699" t="s">
        <v>14</v>
      </c>
      <c r="S9" s="700">
        <f t="shared" si="0"/>
        <v>100</v>
      </c>
      <c r="T9" s="699" t="s">
        <v>14</v>
      </c>
      <c r="U9" s="700">
        <f t="shared" si="1"/>
        <v>100</v>
      </c>
      <c r="V9" s="699" t="s">
        <v>14</v>
      </c>
      <c r="W9" s="700">
        <f t="shared" si="2"/>
        <v>100</v>
      </c>
      <c r="X9" s="701"/>
      <c r="Y9" s="3541"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666"/>
      <c r="Q10" s="1341" t="str">
        <f t="shared" si="6"/>
        <v>土地使用年限（年）</v>
      </c>
      <c r="R10" s="699" t="s">
        <v>14</v>
      </c>
      <c r="S10" s="700">
        <f t="shared" si="0"/>
        <v>104</v>
      </c>
      <c r="T10" s="699" t="s">
        <v>14</v>
      </c>
      <c r="U10" s="700">
        <f t="shared" si="1"/>
        <v>104</v>
      </c>
      <c r="V10" s="699" t="s">
        <v>14</v>
      </c>
      <c r="W10" s="700">
        <f t="shared" si="2"/>
        <v>104</v>
      </c>
      <c r="X10" s="701"/>
      <c r="Y10" s="3541"/>
      <c r="Z10" s="52" t="str">
        <f t="shared" si="7"/>
        <v>土地使用年限（年）</v>
      </c>
      <c r="AA10" s="702">
        <f t="shared" si="3"/>
        <v>0.96153846153846156</v>
      </c>
      <c r="AB10" s="702">
        <f t="shared" si="4"/>
        <v>0.96153846153846156</v>
      </c>
      <c r="AC10" s="702">
        <f t="shared" si="5"/>
        <v>0.96153846153846156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1" t="str">
        <f t="shared" si="6"/>
        <v>容积率</v>
      </c>
      <c r="R11" s="699" t="s">
        <v>14</v>
      </c>
      <c r="S11" s="700" t="e">
        <f t="shared" si="0"/>
        <v>#N/A</v>
      </c>
      <c r="T11" s="699" t="s">
        <v>14</v>
      </c>
      <c r="U11" s="700" t="e">
        <f t="shared" si="1"/>
        <v>#N/A</v>
      </c>
      <c r="V11" s="699" t="s">
        <v>14</v>
      </c>
      <c r="W11" s="700" t="e">
        <f t="shared" si="2"/>
        <v>#N/A</v>
      </c>
      <c r="X11" s="701"/>
      <c r="Y11" s="3541"/>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1">
        <f t="shared" si="6"/>
        <v>111</v>
      </c>
      <c r="R12" s="699" t="s">
        <v>14</v>
      </c>
      <c r="S12" s="700">
        <f t="shared" si="0"/>
        <v>100</v>
      </c>
      <c r="T12" s="699" t="s">
        <v>14</v>
      </c>
      <c r="U12" s="700">
        <f t="shared" si="1"/>
        <v>100</v>
      </c>
      <c r="V12" s="699" t="s">
        <v>14</v>
      </c>
      <c r="W12" s="700">
        <f t="shared" si="2"/>
        <v>100</v>
      </c>
      <c r="X12" s="701"/>
      <c r="Y12" s="3541"/>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1">
        <f t="shared" si="6"/>
        <v>111</v>
      </c>
      <c r="R13" s="699" t="s">
        <v>14</v>
      </c>
      <c r="S13" s="700">
        <f t="shared" si="0"/>
        <v>100</v>
      </c>
      <c r="T13" s="699" t="s">
        <v>14</v>
      </c>
      <c r="U13" s="700">
        <f t="shared" si="1"/>
        <v>100</v>
      </c>
      <c r="V13" s="699" t="s">
        <v>14</v>
      </c>
      <c r="W13" s="700">
        <f t="shared" si="2"/>
        <v>100</v>
      </c>
      <c r="X13" s="701"/>
      <c r="Y13" s="3541"/>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1">
        <f t="shared" si="6"/>
        <v>111</v>
      </c>
      <c r="R14" s="699" t="s">
        <v>14</v>
      </c>
      <c r="S14" s="700">
        <f t="shared" si="0"/>
        <v>100</v>
      </c>
      <c r="T14" s="699" t="s">
        <v>14</v>
      </c>
      <c r="U14" s="700">
        <f t="shared" si="1"/>
        <v>100</v>
      </c>
      <c r="V14" s="699" t="s">
        <v>14</v>
      </c>
      <c r="W14" s="700">
        <f t="shared" si="2"/>
        <v>100</v>
      </c>
      <c r="X14" s="701"/>
      <c r="Y14" s="3541"/>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0" t="str">
        <f t="shared" si="6"/>
        <v>产业集聚程度</v>
      </c>
      <c r="R15" s="703" t="s">
        <v>14</v>
      </c>
      <c r="S15" s="704">
        <f t="shared" si="0"/>
        <v>100</v>
      </c>
      <c r="T15" s="703" t="s">
        <v>14</v>
      </c>
      <c r="U15" s="704">
        <f t="shared" si="1"/>
        <v>100</v>
      </c>
      <c r="V15" s="703" t="s">
        <v>14</v>
      </c>
      <c r="W15" s="704">
        <f t="shared" si="2"/>
        <v>100</v>
      </c>
      <c r="X15" s="1353"/>
      <c r="Y15" s="3668"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669"/>
      <c r="Q16" s="1350"/>
      <c r="R16" s="703"/>
      <c r="S16" s="704"/>
      <c r="T16" s="703"/>
      <c r="U16" s="704"/>
      <c r="V16" s="703"/>
      <c r="W16" s="704"/>
      <c r="X16" s="1353"/>
      <c r="Y16" s="3669"/>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0" t="str">
        <f>B17</f>
        <v>交通便捷度</v>
      </c>
      <c r="R17" s="703" t="s">
        <v>14</v>
      </c>
      <c r="S17" s="704">
        <f>F17</f>
        <v>100</v>
      </c>
      <c r="T17" s="703" t="s">
        <v>14</v>
      </c>
      <c r="U17" s="704">
        <f>H17</f>
        <v>100</v>
      </c>
      <c r="V17" s="703" t="s">
        <v>14</v>
      </c>
      <c r="W17" s="704">
        <f>J17</f>
        <v>100</v>
      </c>
      <c r="X17" s="1353"/>
      <c r="Y17" s="3669"/>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669"/>
      <c r="Q18" s="1350"/>
      <c r="R18" s="703"/>
      <c r="S18" s="704"/>
      <c r="T18" s="703"/>
      <c r="U18" s="704"/>
      <c r="V18" s="703"/>
      <c r="W18" s="704"/>
      <c r="X18" s="1353"/>
      <c r="Y18" s="3669"/>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0" t="str">
        <f t="shared" ref="Q19:Q33" si="8">B19</f>
        <v>区域土地利用方向</v>
      </c>
      <c r="R19" s="703" t="s">
        <v>14</v>
      </c>
      <c r="S19" s="704">
        <f>F19</f>
        <v>100</v>
      </c>
      <c r="T19" s="703" t="s">
        <v>14</v>
      </c>
      <c r="U19" s="704">
        <f>H19</f>
        <v>100</v>
      </c>
      <c r="V19" s="703" t="s">
        <v>14</v>
      </c>
      <c r="W19" s="704">
        <f>J19</f>
        <v>100</v>
      </c>
      <c r="X19" s="1353"/>
      <c r="Y19" s="3669"/>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20"/>
      <c r="M20" s="2714"/>
      <c r="N20" s="2714"/>
      <c r="O20" s="2772"/>
      <c r="P20" s="3669"/>
      <c r="Q20" s="1350"/>
      <c r="R20" s="703"/>
      <c r="S20" s="704"/>
      <c r="T20" s="703"/>
      <c r="U20" s="704"/>
      <c r="V20" s="703"/>
      <c r="W20" s="704"/>
      <c r="X20" s="1353"/>
      <c r="Y20" s="3669"/>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0" t="str">
        <f t="shared" si="8"/>
        <v>环境状况</v>
      </c>
      <c r="R21" s="703" t="s">
        <v>14</v>
      </c>
      <c r="S21" s="704">
        <f>F21</f>
        <v>100</v>
      </c>
      <c r="T21" s="703" t="s">
        <v>14</v>
      </c>
      <c r="U21" s="704">
        <f>H21</f>
        <v>100</v>
      </c>
      <c r="V21" s="703" t="s">
        <v>14</v>
      </c>
      <c r="W21" s="704">
        <f>J21</f>
        <v>100</v>
      </c>
      <c r="X21" s="1353"/>
      <c r="Y21" s="3669"/>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669"/>
      <c r="Q22" s="1350"/>
      <c r="R22" s="703"/>
      <c r="S22" s="704"/>
      <c r="T22" s="703"/>
      <c r="U22" s="704"/>
      <c r="V22" s="703"/>
      <c r="W22" s="704"/>
      <c r="X22" s="1353"/>
      <c r="Y22" s="3669"/>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1" t="str">
        <f t="shared" si="8"/>
        <v>公共配套设施</v>
      </c>
      <c r="R23" s="699" t="s">
        <v>14</v>
      </c>
      <c r="S23" s="700">
        <f>F23</f>
        <v>100</v>
      </c>
      <c r="T23" s="699" t="s">
        <v>14</v>
      </c>
      <c r="U23" s="700">
        <f>H23</f>
        <v>100</v>
      </c>
      <c r="V23" s="699" t="s">
        <v>14</v>
      </c>
      <c r="W23" s="700">
        <f>J23</f>
        <v>100</v>
      </c>
      <c r="X23" s="701"/>
      <c r="Y23" s="3669"/>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669"/>
      <c r="Q24" s="1341"/>
      <c r="R24" s="699"/>
      <c r="S24" s="700"/>
      <c r="T24" s="699"/>
      <c r="U24" s="700"/>
      <c r="V24" s="699"/>
      <c r="W24" s="700"/>
      <c r="X24" s="701"/>
      <c r="Y24" s="3669"/>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1" t="str">
        <f t="shared" ref="Q25" si="9">B25</f>
        <v>基础设施水平</v>
      </c>
      <c r="R25" s="699" t="s">
        <v>14</v>
      </c>
      <c r="S25" s="700">
        <f>F25</f>
        <v>100</v>
      </c>
      <c r="T25" s="699" t="s">
        <v>14</v>
      </c>
      <c r="U25" s="700">
        <f>H25</f>
        <v>100</v>
      </c>
      <c r="V25" s="699" t="s">
        <v>14</v>
      </c>
      <c r="W25" s="700">
        <f>J25</f>
        <v>100</v>
      </c>
      <c r="X25" s="701"/>
      <c r="Y25" s="3669"/>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669"/>
      <c r="Q26" s="1341"/>
      <c r="R26" s="699"/>
      <c r="S26" s="700"/>
      <c r="T26" s="699"/>
      <c r="U26" s="700"/>
      <c r="V26" s="699"/>
      <c r="W26" s="700"/>
      <c r="X26" s="701"/>
      <c r="Y26" s="3669"/>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669"/>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0" t="str">
        <f t="shared" si="8"/>
        <v>毗邻道路的类型与等级</v>
      </c>
      <c r="R28" s="703" t="s">
        <v>14</v>
      </c>
      <c r="S28" s="704">
        <f t="shared" si="10"/>
        <v>100</v>
      </c>
      <c r="T28" s="703" t="s">
        <v>14</v>
      </c>
      <c r="U28" s="704">
        <f t="shared" si="11"/>
        <v>100</v>
      </c>
      <c r="V28" s="703" t="s">
        <v>14</v>
      </c>
      <c r="W28" s="704">
        <f t="shared" si="12"/>
        <v>100</v>
      </c>
      <c r="X28" s="1353"/>
      <c r="Y28" s="3669"/>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669"/>
      <c r="Q29" s="1350"/>
      <c r="R29" s="703"/>
      <c r="S29" s="704"/>
      <c r="T29" s="703"/>
      <c r="U29" s="704"/>
      <c r="V29" s="703"/>
      <c r="W29" s="704"/>
      <c r="X29" s="1353"/>
      <c r="Y29" s="3669"/>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0" t="str">
        <f t="shared" si="8"/>
        <v>土地级别</v>
      </c>
      <c r="R30" s="703" t="s">
        <v>14</v>
      </c>
      <c r="S30" s="704">
        <f t="shared" si="10"/>
        <v>100</v>
      </c>
      <c r="T30" s="703" t="s">
        <v>14</v>
      </c>
      <c r="U30" s="704">
        <f t="shared" si="11"/>
        <v>100</v>
      </c>
      <c r="V30" s="703" t="s">
        <v>14</v>
      </c>
      <c r="W30" s="704">
        <f t="shared" si="12"/>
        <v>100</v>
      </c>
      <c r="X30" s="1353"/>
      <c r="Y30" s="3669"/>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0">
        <f t="shared" si="8"/>
        <v>111</v>
      </c>
      <c r="R31" s="703" t="s">
        <v>14</v>
      </c>
      <c r="S31" s="704">
        <f t="shared" si="10"/>
        <v>100</v>
      </c>
      <c r="T31" s="703" t="s">
        <v>14</v>
      </c>
      <c r="U31" s="704">
        <f t="shared" si="11"/>
        <v>100</v>
      </c>
      <c r="V31" s="703" t="s">
        <v>14</v>
      </c>
      <c r="W31" s="704">
        <f t="shared" si="12"/>
        <v>100</v>
      </c>
      <c r="X31" s="1353"/>
      <c r="Y31" s="3669"/>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0">
        <f t="shared" si="8"/>
        <v>111</v>
      </c>
      <c r="R32" s="703" t="s">
        <v>14</v>
      </c>
      <c r="S32" s="704">
        <f t="shared" si="10"/>
        <v>100</v>
      </c>
      <c r="T32" s="703" t="s">
        <v>14</v>
      </c>
      <c r="U32" s="704">
        <f t="shared" si="11"/>
        <v>100</v>
      </c>
      <c r="V32" s="703" t="s">
        <v>14</v>
      </c>
      <c r="W32" s="704">
        <f t="shared" si="12"/>
        <v>100</v>
      </c>
      <c r="X32" s="1353"/>
      <c r="Y32" s="3673"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0">
        <f t="shared" si="8"/>
        <v>111</v>
      </c>
      <c r="R33" s="706" t="s">
        <v>14</v>
      </c>
      <c r="S33" s="707">
        <f t="shared" si="10"/>
        <v>100</v>
      </c>
      <c r="T33" s="706" t="s">
        <v>14</v>
      </c>
      <c r="U33" s="707">
        <f t="shared" si="11"/>
        <v>100</v>
      </c>
      <c r="V33" s="706" t="s">
        <v>14</v>
      </c>
      <c r="W33" s="707">
        <f t="shared" si="12"/>
        <v>100</v>
      </c>
      <c r="X33" s="708"/>
      <c r="Y33" s="3673"/>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0" t="str">
        <f>B34</f>
        <v>宗地面积</v>
      </c>
      <c r="R34" s="703" t="s">
        <v>14</v>
      </c>
      <c r="S34" s="704" t="e">
        <f t="shared" si="10"/>
        <v>#N/A</v>
      </c>
      <c r="T34" s="703" t="s">
        <v>14</v>
      </c>
      <c r="U34" s="704" t="e">
        <f t="shared" si="11"/>
        <v>#N/A</v>
      </c>
      <c r="V34" s="703" t="s">
        <v>14</v>
      </c>
      <c r="W34" s="704" t="e">
        <f t="shared" si="12"/>
        <v>#N/A</v>
      </c>
      <c r="X34" s="1353"/>
      <c r="Y34" s="3673"/>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673"/>
      <c r="Q35" s="1350" t="str">
        <f t="shared" ref="Q35:Q40" si="14">B35</f>
        <v>宗地形状</v>
      </c>
      <c r="R35" s="703" t="s">
        <v>14</v>
      </c>
      <c r="S35" s="704">
        <f t="shared" si="10"/>
        <v>100</v>
      </c>
      <c r="T35" s="703" t="s">
        <v>14</v>
      </c>
      <c r="U35" s="704">
        <f t="shared" si="11"/>
        <v>100</v>
      </c>
      <c r="V35" s="703" t="s">
        <v>14</v>
      </c>
      <c r="W35" s="704">
        <f t="shared" si="12"/>
        <v>100</v>
      </c>
      <c r="X35" s="1353"/>
      <c r="Y35" s="3673"/>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673"/>
      <c r="Q36" s="1350" t="str">
        <f t="shared" si="14"/>
        <v>宗地开发程度</v>
      </c>
      <c r="R36" s="699" t="s">
        <v>14</v>
      </c>
      <c r="S36" s="700">
        <f t="shared" si="10"/>
        <v>100</v>
      </c>
      <c r="T36" s="699" t="s">
        <v>14</v>
      </c>
      <c r="U36" s="700">
        <f t="shared" si="11"/>
        <v>100</v>
      </c>
      <c r="V36" s="699" t="s">
        <v>14</v>
      </c>
      <c r="W36" s="700">
        <f t="shared" si="12"/>
        <v>100</v>
      </c>
      <c r="X36" s="701"/>
      <c r="Y36" s="3673"/>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673" t="s">
        <v>1696</v>
      </c>
      <c r="Q37" s="1350" t="str">
        <f t="shared" si="14"/>
        <v>工程地质条件</v>
      </c>
      <c r="R37" s="703" t="s">
        <v>14</v>
      </c>
      <c r="S37" s="704">
        <f t="shared" si="10"/>
        <v>100</v>
      </c>
      <c r="T37" s="703" t="s">
        <v>14</v>
      </c>
      <c r="U37" s="704">
        <f t="shared" si="11"/>
        <v>100</v>
      </c>
      <c r="V37" s="703" t="s">
        <v>14</v>
      </c>
      <c r="W37" s="704">
        <f t="shared" si="12"/>
        <v>100</v>
      </c>
      <c r="X37" s="1353"/>
      <c r="Y37" s="3673"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0">
        <f t="shared" si="14"/>
        <v>111</v>
      </c>
      <c r="R38" s="703" t="s">
        <v>14</v>
      </c>
      <c r="S38" s="704">
        <f t="shared" si="10"/>
        <v>100</v>
      </c>
      <c r="T38" s="703" t="s">
        <v>14</v>
      </c>
      <c r="U38" s="704">
        <f t="shared" si="11"/>
        <v>100</v>
      </c>
      <c r="V38" s="703" t="s">
        <v>14</v>
      </c>
      <c r="W38" s="704">
        <f t="shared" si="12"/>
        <v>100</v>
      </c>
      <c r="X38" s="1353"/>
      <c r="Y38" s="3673"/>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0">
        <f t="shared" si="14"/>
        <v>111</v>
      </c>
      <c r="R39" s="703" t="s">
        <v>14</v>
      </c>
      <c r="S39" s="704">
        <f t="shared" si="10"/>
        <v>100</v>
      </c>
      <c r="T39" s="703" t="s">
        <v>14</v>
      </c>
      <c r="U39" s="704">
        <f t="shared" si="11"/>
        <v>100</v>
      </c>
      <c r="V39" s="703" t="s">
        <v>14</v>
      </c>
      <c r="W39" s="704">
        <f t="shared" si="12"/>
        <v>100</v>
      </c>
      <c r="X39" s="1353"/>
      <c r="Y39" s="3673"/>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0">
        <f t="shared" si="14"/>
        <v>111</v>
      </c>
      <c r="R40" s="706" t="s">
        <v>14</v>
      </c>
      <c r="S40" s="707">
        <f t="shared" si="10"/>
        <v>100</v>
      </c>
      <c r="T40" s="706" t="s">
        <v>14</v>
      </c>
      <c r="U40" s="707">
        <f t="shared" si="11"/>
        <v>100</v>
      </c>
      <c r="V40" s="706" t="s">
        <v>14</v>
      </c>
      <c r="W40" s="707">
        <f t="shared" si="12"/>
        <v>100</v>
      </c>
      <c r="X40" s="708"/>
      <c r="Y40" s="3673"/>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2"/>
      <c r="M41" s="2714"/>
      <c r="N41" s="2714"/>
      <c r="O41" s="2723"/>
      <c r="P41" s="3666" t="str">
        <f>A41</f>
        <v>成交单价</v>
      </c>
      <c r="Q41" s="3666"/>
      <c r="R41" s="3697">
        <f>E41</f>
        <v>0</v>
      </c>
      <c r="S41" s="3697"/>
      <c r="T41" s="3697">
        <f>G41</f>
        <v>0</v>
      </c>
      <c r="U41" s="3697"/>
      <c r="V41" s="3697">
        <f>I41</f>
        <v>0</v>
      </c>
      <c r="W41" s="3697"/>
      <c r="X41" s="688"/>
      <c r="Y41" s="710"/>
      <c r="Z41" s="688"/>
      <c r="AA41" s="688"/>
      <c r="AB41" s="688"/>
      <c r="AC41" s="688"/>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88"/>
      <c r="Y43" s="688"/>
      <c r="Z43" s="688"/>
      <c r="AA43" s="688"/>
      <c r="AB43" s="688"/>
      <c r="AC43" s="688"/>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1"/>
      <c r="D49" s="689"/>
      <c r="E49" s="689"/>
      <c r="F49" s="689"/>
      <c r="G49" s="689"/>
      <c r="H49" s="689"/>
      <c r="I49" s="689"/>
      <c r="J49" s="689"/>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81" t="s">
        <v>1887</v>
      </c>
      <c r="H50" s="3728"/>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2">
        <v>1</v>
      </c>
      <c r="E51" s="638">
        <f>'数据-汇总表'!E8+'数据-汇总表'!E9</f>
        <v>54.47</v>
      </c>
      <c r="F51" s="639" t="e">
        <f t="shared" ref="F51:F60" si="15">ROUND(B51*E51/10000,0)</f>
        <v>#DIV/0!</v>
      </c>
      <c r="G51" s="3677"/>
      <c r="H51" s="3666"/>
      <c r="I51" s="771">
        <v>1</v>
      </c>
      <c r="J51" s="771">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3">
        <v>0.25</v>
      </c>
      <c r="E52" s="642"/>
      <c r="F52" s="639" t="e">
        <f t="shared" si="15"/>
        <v>#DIV/0!</v>
      </c>
      <c r="G52" s="3004" t="s">
        <v>1892</v>
      </c>
      <c r="H52" s="885">
        <f>项目基本情况!B37</f>
        <v>0</v>
      </c>
      <c r="I52" s="771">
        <f>SUMIF(修正!A57:A68,H52,修正!B57:B68)</f>
        <v>0</v>
      </c>
      <c r="J52" s="772"/>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3">
        <v>0.25</v>
      </c>
      <c r="E53" s="642"/>
      <c r="F53" s="639" t="e">
        <f t="shared" si="15"/>
        <v>#DIV/0!</v>
      </c>
      <c r="G53" s="3005"/>
      <c r="H53" s="885">
        <f>项目基本情况!B37</f>
        <v>0</v>
      </c>
      <c r="I53" s="771">
        <f>SUMIF(修正!A57:A68,H53,修正!C57:C68)</f>
        <v>0</v>
      </c>
      <c r="J53" s="772"/>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3">
        <v>0.25</v>
      </c>
      <c r="E54" s="642"/>
      <c r="F54" s="639" t="e">
        <f t="shared" si="15"/>
        <v>#DIV/0!</v>
      </c>
      <c r="G54" s="3005"/>
      <c r="H54" s="885">
        <f>项目基本情况!B37</f>
        <v>0</v>
      </c>
      <c r="I54" s="771">
        <f>SUMIF(修正!A57:A68,H54,修正!D57:D68)</f>
        <v>0</v>
      </c>
      <c r="J54" s="772"/>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3"/>
      <c r="E55" s="642"/>
      <c r="F55" s="639"/>
      <c r="G55" s="3006"/>
      <c r="H55" s="885"/>
      <c r="I55" s="771"/>
      <c r="J55" s="772"/>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3">
        <v>0.25</v>
      </c>
      <c r="E59" s="217">
        <f>'数据-汇总表'!E14</f>
        <v>0</v>
      </c>
      <c r="F59" s="639" t="e">
        <f t="shared" si="15"/>
        <v>#DIV/0!</v>
      </c>
      <c r="G59" s="1985" t="s">
        <v>1892</v>
      </c>
      <c r="H59" s="885">
        <f>项目基本情况!B37</f>
        <v>0</v>
      </c>
      <c r="I59" s="771">
        <f>SUMIF(修正!A57:A68,H59,修正!G57:G68)</f>
        <v>0</v>
      </c>
      <c r="J59" s="772"/>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5"/>
      <c r="B62" s="927"/>
      <c r="C62" s="929"/>
      <c r="D62" s="925"/>
      <c r="E62" s="925"/>
      <c r="F62" s="925"/>
      <c r="G62" s="925"/>
      <c r="H62" s="925"/>
      <c r="I62" s="925"/>
      <c r="J62" s="925"/>
      <c r="K62" s="886"/>
      <c r="L62" s="887"/>
      <c r="M62" s="925"/>
      <c r="N62" s="925"/>
      <c r="O62" s="925"/>
      <c r="P62" s="2723"/>
      <c r="Q62" s="2723"/>
      <c r="R62" s="2723"/>
      <c r="S62" s="2723"/>
      <c r="T62" s="2723"/>
      <c r="U62" s="2723"/>
      <c r="V62" s="2723"/>
      <c r="W62" s="2723"/>
      <c r="X62" s="2723"/>
      <c r="Y62" s="2723"/>
      <c r="Z62" s="2723"/>
      <c r="AA62" s="2723"/>
      <c r="AB62" s="2723"/>
      <c r="AC62" s="2723"/>
      <c r="AD62" s="2723"/>
      <c r="AE62" s="2723"/>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2" t="s">
        <v>1798</v>
      </c>
      <c r="B64" s="688"/>
      <c r="C64" s="693"/>
      <c r="D64" s="693"/>
      <c r="E64" s="693"/>
      <c r="F64" s="694"/>
      <c r="G64" s="694"/>
      <c r="H64" s="693"/>
      <c r="I64" s="693"/>
      <c r="J64" s="693"/>
      <c r="K64" s="695"/>
      <c r="L64" s="696"/>
      <c r="M64" s="693"/>
      <c r="N64" s="693"/>
      <c r="O64" s="938"/>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7"/>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70" zoomScaleNormal="70" zoomScaleSheetLayoutView="70" workbookViewId="0">
      <selection activeCell="J38" sqref="J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t="s">
        <v>673</v>
      </c>
      <c r="D1" s="1360" t="s">
        <v>43</v>
      </c>
      <c r="E1" s="1361" t="s">
        <v>678</v>
      </c>
      <c r="F1" s="1060">
        <f ca="1">J53</f>
        <v>35.75</v>
      </c>
      <c r="G1" s="1376">
        <f>MATCH(C1,'数据-取费表'!A6:A16,0)+5</f>
        <v>6</v>
      </c>
      <c r="H1" s="2690"/>
      <c r="I1" s="2691"/>
      <c r="J1" s="2691"/>
      <c r="K1" s="2692"/>
      <c r="L1" s="2691"/>
      <c r="M1" s="2691"/>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3">
        <f ca="1">ROUND(D2/10000,4)</f>
        <v>26.992000000000001</v>
      </c>
      <c r="C2" s="1385" t="s">
        <v>879</v>
      </c>
      <c r="D2" s="1469">
        <f ca="1">C40+J29+L46</f>
        <v>269920</v>
      </c>
      <c r="E2" s="1386" t="s">
        <v>880</v>
      </c>
      <c r="F2" s="1387"/>
      <c r="G2" s="2704"/>
      <c r="H2" s="2693"/>
      <c r="I2" s="2693"/>
      <c r="J2" s="2693"/>
      <c r="K2" s="2694"/>
      <c r="L2" s="2693"/>
      <c r="M2" s="2693"/>
    </row>
    <row r="3" spans="1:37" ht="18" customHeight="1" thickBot="1">
      <c r="A3" s="1388" t="s">
        <v>881</v>
      </c>
      <c r="B3" s="1389">
        <f ca="1">IF(ISERROR(D2/F43),0,ROUND(D2/F43,0))</f>
        <v>4955</v>
      </c>
      <c r="C3" s="1385" t="s">
        <v>882</v>
      </c>
      <c r="D3" s="1385"/>
      <c r="E3" s="1386"/>
      <c r="F3" s="1387"/>
      <c r="G3" s="2704"/>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17915</v>
      </c>
      <c r="D5" s="1362" t="s">
        <v>889</v>
      </c>
      <c r="E5" s="1069"/>
      <c r="F5" s="1070"/>
      <c r="G5" s="1382"/>
      <c r="H5" s="299">
        <v>1</v>
      </c>
      <c r="I5" s="300" t="s">
        <v>888</v>
      </c>
      <c r="J5" s="1068">
        <f ca="1">J6+J10+J12</f>
        <v>0</v>
      </c>
      <c r="K5" s="1362" t="s">
        <v>889</v>
      </c>
      <c r="L5" s="1069"/>
      <c r="M5" s="1070"/>
    </row>
    <row r="6" spans="1:37" ht="18" customHeight="1">
      <c r="A6" s="1067" t="s">
        <v>398</v>
      </c>
      <c r="B6" s="3639" t="s">
        <v>694</v>
      </c>
      <c r="C6" s="1072">
        <f ca="1">ROUND(F6*F8*F7*(1-F9),0)</f>
        <v>17893</v>
      </c>
      <c r="D6" s="155" t="s">
        <v>2105</v>
      </c>
      <c r="E6" s="302" t="s">
        <v>696</v>
      </c>
      <c r="F6" s="303">
        <f ca="1">INDIRECT("'数据-取费表'!u"&amp;$G$1)</f>
        <v>1</v>
      </c>
      <c r="G6" s="1382"/>
      <c r="H6" s="1067" t="s">
        <v>398</v>
      </c>
      <c r="I6" s="3639" t="s">
        <v>694</v>
      </c>
      <c r="J6" s="301">
        <f ca="1">ROUND(M6*M8*M7*(1-M9),0)</f>
        <v>0</v>
      </c>
      <c r="K6" s="1374" t="s">
        <v>2106</v>
      </c>
      <c r="L6" s="302" t="s">
        <v>696</v>
      </c>
      <c r="M6" s="303">
        <f ca="1">INDIRECT("'数据-取费表'!z"&amp;$G$1)</f>
        <v>0</v>
      </c>
    </row>
    <row r="7" spans="1:37" ht="18" customHeight="1">
      <c r="A7" s="1071"/>
      <c r="B7" s="3640"/>
      <c r="C7" s="1073"/>
      <c r="D7" s="307"/>
      <c r="E7" s="1074" t="s">
        <v>697</v>
      </c>
      <c r="F7" s="303">
        <f ca="1">IF(INDIRECT("'数据-取费表'!ah"&amp;$G$1)="",INDIRECT("'数据-取费表'!k"&amp;$G$1),INDIRECT("'数据-取费表'!ah"&amp;$G$1))</f>
        <v>54.47</v>
      </c>
      <c r="G7" s="1382"/>
      <c r="H7" s="304"/>
      <c r="I7" s="3640"/>
      <c r="J7" s="306"/>
      <c r="K7" s="307"/>
      <c r="L7" s="302" t="s">
        <v>697</v>
      </c>
      <c r="M7" s="303">
        <f ca="1">F7</f>
        <v>54.47</v>
      </c>
    </row>
    <row r="8" spans="1:37" ht="18" customHeight="1">
      <c r="A8" s="304"/>
      <c r="B8" s="3640"/>
      <c r="C8" s="306"/>
      <c r="D8" s="307"/>
      <c r="E8" s="302" t="s">
        <v>698</v>
      </c>
      <c r="F8" s="303">
        <f ca="1">INDIRECT("'数据-取费表'!ai"&amp;$G$1)</f>
        <v>365</v>
      </c>
      <c r="G8" s="1382"/>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2"/>
      <c r="H9" s="304"/>
      <c r="I9" s="3641"/>
      <c r="J9" s="306"/>
      <c r="K9" s="307"/>
      <c r="L9" s="313" t="s">
        <v>699</v>
      </c>
      <c r="M9" s="314">
        <f ca="1">INDIRECT("'数据-取费表'!ab"&amp;$G$1)</f>
        <v>0</v>
      </c>
    </row>
    <row r="10" spans="1:37" ht="18" customHeight="1">
      <c r="A10" s="1067" t="s">
        <v>402</v>
      </c>
      <c r="B10" s="1363" t="s">
        <v>700</v>
      </c>
      <c r="C10" s="316">
        <f ca="1">ROUND(IF(F10="押一",C6/12*F11,IF(F10="押二",C6/12*2*F11,IF(F10="押三",C6/12*3*F11,C11*F11))),0)</f>
        <v>22</v>
      </c>
      <c r="D10" s="1364" t="s">
        <v>2115</v>
      </c>
      <c r="E10" s="313" t="s">
        <v>701</v>
      </c>
      <c r="F10" s="1114" t="s">
        <v>3411</v>
      </c>
      <c r="G10" s="1382"/>
      <c r="H10" s="1067" t="s">
        <v>402</v>
      </c>
      <c r="I10" s="1363" t="s">
        <v>700</v>
      </c>
      <c r="J10" s="301">
        <f ca="1">ROUND(IF(M10="押一",J6/12*M11,IF(M10="押二",J6/12*2*M11,IF(M10="押三",J6/12*3*M11,J11*M11))),0)</f>
        <v>0</v>
      </c>
      <c r="K10" s="1375" t="s">
        <v>2117</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266357</v>
      </c>
      <c r="D13" s="1079" t="s">
        <v>705</v>
      </c>
      <c r="E13" s="1079" t="s">
        <v>706</v>
      </c>
      <c r="F13" s="1080">
        <f ca="1">INDIRECT("'数据-取费表'!y"&amp;$G$1)</f>
        <v>0.97</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190645</v>
      </c>
      <c r="D14" s="1343" t="s">
        <v>708</v>
      </c>
      <c r="E14" s="1340"/>
      <c r="F14" s="319"/>
      <c r="G14" s="1382"/>
      <c r="H14" s="980" t="s">
        <v>398</v>
      </c>
      <c r="I14" s="302" t="s">
        <v>709</v>
      </c>
      <c r="J14" s="21">
        <f ca="1">C29</f>
        <v>274595</v>
      </c>
      <c r="K14" s="12"/>
      <c r="L14" s="805"/>
      <c r="M14" s="806"/>
    </row>
    <row r="15" spans="1:37" s="1395" customFormat="1" ht="18" customHeight="1" thickBot="1">
      <c r="A15" s="980" t="s">
        <v>399</v>
      </c>
      <c r="B15" s="302" t="s">
        <v>710</v>
      </c>
      <c r="C15" s="21">
        <f ca="1">ROUND(C14*F15,0)</f>
        <v>5719</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1373</v>
      </c>
      <c r="K16" s="1085" t="s">
        <v>715</v>
      </c>
      <c r="L16" s="1086"/>
      <c r="M16" s="1070"/>
    </row>
    <row r="17" spans="1:37" s="1395" customFormat="1" ht="18" customHeight="1">
      <c r="A17" s="980" t="s">
        <v>681</v>
      </c>
      <c r="B17" s="302" t="s">
        <v>716</v>
      </c>
      <c r="C17" s="21">
        <f ca="1">ROUND(F17*(F43+INDIRECT("'数据-取费表'!S"&amp;$G$1)),0)</f>
        <v>9805</v>
      </c>
      <c r="D17" s="302" t="s">
        <v>717</v>
      </c>
      <c r="E17" s="302" t="s">
        <v>718</v>
      </c>
      <c r="F17" s="23">
        <f>'数据-取费表'!B35</f>
        <v>180</v>
      </c>
      <c r="G17" s="1394"/>
      <c r="H17" s="980"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3813</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209982</v>
      </c>
      <c r="D19" s="131" t="s">
        <v>726</v>
      </c>
      <c r="E19" s="1358"/>
      <c r="F19" s="23"/>
      <c r="G19" s="1382"/>
      <c r="H19" s="980" t="s">
        <v>399</v>
      </c>
      <c r="I19" s="302" t="s">
        <v>727</v>
      </c>
      <c r="J19" s="21">
        <f ca="1">IF(K19="按租金收入计税",ROUND(J6*M19/(1+'数据-取费表'!C42),0),ROUND(C29*M19*0.7,0))</f>
        <v>0</v>
      </c>
      <c r="K19" s="1368" t="s">
        <v>3339</v>
      </c>
      <c r="L19" s="302" t="s">
        <v>712</v>
      </c>
      <c r="M19" s="322">
        <f>IF(K19="按租金收入计税",'数据-取费表'!B51,'数据-取费表'!B50)</f>
        <v>0.12</v>
      </c>
    </row>
    <row r="20" spans="1:37" s="1395" customFormat="1" ht="18" customHeight="1">
      <c r="A20" s="980" t="s">
        <v>402</v>
      </c>
      <c r="B20" s="302" t="s">
        <v>728</v>
      </c>
      <c r="C20" s="21">
        <f ca="1">ROUND(C19*F20,0)</f>
        <v>4200</v>
      </c>
      <c r="D20" s="323" t="s">
        <v>729</v>
      </c>
      <c r="E20" s="302" t="s">
        <v>712</v>
      </c>
      <c r="F20" s="322">
        <f>'数据-取费表'!B37</f>
        <v>0.02</v>
      </c>
      <c r="G20" s="1394"/>
      <c r="H20" s="980" t="s">
        <v>680</v>
      </c>
      <c r="I20" s="155" t="s">
        <v>730</v>
      </c>
      <c r="J20" s="22">
        <f ca="1">ROUND(M20*M21,0)</f>
        <v>0</v>
      </c>
      <c r="K20" s="324" t="s">
        <v>731</v>
      </c>
      <c r="L20" s="302" t="s">
        <v>732</v>
      </c>
      <c r="M20" s="325">
        <f>'数据-取费表'!B52</f>
        <v>0</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1373</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7389</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-1373</v>
      </c>
      <c r="K25" s="1093" t="s">
        <v>753</v>
      </c>
      <c r="L25" s="1094"/>
      <c r="M25" s="1095"/>
    </row>
    <row r="26" spans="1:37" ht="18" customHeight="1">
      <c r="A26" s="980" t="s">
        <v>397</v>
      </c>
      <c r="B26" s="302" t="s">
        <v>754</v>
      </c>
      <c r="C26" s="21">
        <f ca="1">ROUND((C19+C20)*F26,0)</f>
        <v>32127</v>
      </c>
      <c r="D26" s="323" t="s">
        <v>755</v>
      </c>
      <c r="E26" s="313" t="s">
        <v>756</v>
      </c>
      <c r="F26" s="312">
        <f ca="1">INDIRECT("'数据-取费表'!q"&amp;$G$1)</f>
        <v>0.15</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3.0000000000000001E-3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274595</v>
      </c>
      <c r="D29" s="1090"/>
      <c r="E29" s="1088"/>
      <c r="F29" s="1091"/>
      <c r="G29" s="1394"/>
      <c r="H29" s="334" t="s">
        <v>396</v>
      </c>
      <c r="I29" s="335" t="s">
        <v>768</v>
      </c>
      <c r="J29" s="336">
        <f ca="1">ROUND(J26/(1+F40)^F41,0)</f>
        <v>0</v>
      </c>
      <c r="K29" s="337" t="s">
        <v>769</v>
      </c>
      <c r="L29" s="338"/>
      <c r="M29" s="339">
        <f ca="1">INDIRECT("'数据-取费表'!k"&amp;$G$1)</f>
        <v>54.47</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4845</v>
      </c>
      <c r="D30" s="1085" t="s">
        <v>715</v>
      </c>
      <c r="E30" s="1086"/>
      <c r="F30" s="1070"/>
      <c r="G30" s="1382"/>
      <c r="H30" s="2695"/>
      <c r="I30" s="1396"/>
      <c r="J30" s="1397"/>
      <c r="K30" s="2473"/>
      <c r="L30" s="2696"/>
      <c r="M30" s="2697"/>
    </row>
    <row r="31" spans="1:37" ht="18" customHeight="1">
      <c r="A31" s="980" t="s">
        <v>398</v>
      </c>
      <c r="B31" s="302" t="s">
        <v>719</v>
      </c>
      <c r="C31" s="2314">
        <f ca="1">ROUND(IF(AND(项目基本情况!B11="自然人",项目基本情况!B10="北京市"),C6*F31/(1+'数据-取费表'!C42),C32+C33+C34),0)</f>
        <v>2982</v>
      </c>
      <c r="D31" s="1343" t="s">
        <v>720</v>
      </c>
      <c r="E31" s="1342" t="s">
        <v>770</v>
      </c>
      <c r="F31" s="2313" t="str">
        <f>IF(项目基本情况!B11="企业","——",IF(M47="住宅",IF(F6*F7*F8/12/(1+'数据-取费表'!F30)&gt;100000,4%,2.5%),IF(F6*F7*F8/12/(1+'数据-取费表'!F30)&gt;100000,12%,7%)))</f>
        <v>——</v>
      </c>
      <c r="G31" s="1382"/>
      <c r="H31" s="2806" t="s">
        <v>2309</v>
      </c>
      <c r="I31" s="1396"/>
      <c r="J31" s="1397"/>
      <c r="K31" s="2473"/>
      <c r="L31" s="2696"/>
      <c r="M31" s="2697"/>
    </row>
    <row r="32" spans="1:37" ht="18" customHeight="1">
      <c r="A32" s="980" t="s">
        <v>397</v>
      </c>
      <c r="B32" s="302" t="s">
        <v>723</v>
      </c>
      <c r="C32" s="21">
        <f ca="1">IF(项目基本情况!B11="自然人","——",ROUND(C6*F32/(1+'数据-取费表'!C42),0))</f>
        <v>937</v>
      </c>
      <c r="D32" s="1342" t="s">
        <v>724</v>
      </c>
      <c r="E32" s="302" t="s">
        <v>712</v>
      </c>
      <c r="F32" s="331">
        <f>'数据-取费表'!B41</f>
        <v>5.5000000000000007E-2</v>
      </c>
      <c r="G32" s="1382"/>
      <c r="H32" s="2695"/>
      <c r="I32" s="1396"/>
      <c r="J32" s="1397"/>
      <c r="K32" s="2473"/>
      <c r="L32" s="2696"/>
      <c r="M32" s="2697"/>
    </row>
    <row r="33" spans="1:18" ht="18" customHeight="1">
      <c r="A33" s="980" t="s">
        <v>399</v>
      </c>
      <c r="B33" s="302" t="s">
        <v>727</v>
      </c>
      <c r="C33" s="21">
        <f ca="1">IF(项目基本情况!B11="自然人","——",IF(D33="按租金收入计税",ROUND(C6*F33/(1+'数据-取费表'!C42),0),IF(D33="按房产原值计税",ROUND(C29*F33*0.7,0),INDIRECT("'数据-取费表'!Aj"&amp;$G$1))))</f>
        <v>2045</v>
      </c>
      <c r="D33" s="1368" t="s">
        <v>3339</v>
      </c>
      <c r="E33" s="302" t="s">
        <v>712</v>
      </c>
      <c r="F33" s="322">
        <f>IF(D33="按票据","——",IF(D33="按租金收入计税",'数据-取费表'!B51,'数据-取费表'!B50))</f>
        <v>0.12</v>
      </c>
      <c r="G33" s="1382"/>
      <c r="H33" s="2698"/>
      <c r="I33" s="1396"/>
      <c r="J33" s="1397"/>
      <c r="K33" s="2699"/>
      <c r="L33" s="2698"/>
      <c r="M33" s="2698"/>
    </row>
    <row r="34" spans="1:18" ht="18" customHeight="1">
      <c r="A34" s="1067" t="s">
        <v>680</v>
      </c>
      <c r="B34" s="155" t="s">
        <v>730</v>
      </c>
      <c r="C34" s="22">
        <f ca="1">IF(项目基本情况!B11="自然人","——",ROUND(F34*F35,0))</f>
        <v>0</v>
      </c>
      <c r="D34" s="324" t="s">
        <v>731</v>
      </c>
      <c r="E34" s="302" t="s">
        <v>732</v>
      </c>
      <c r="F34" s="325">
        <f>'数据-取费表'!B52</f>
        <v>0</v>
      </c>
      <c r="G34" s="1382"/>
      <c r="H34" s="2695"/>
      <c r="I34" s="1396"/>
      <c r="J34" s="1397"/>
      <c r="K34" s="2700"/>
      <c r="L34" s="2701"/>
      <c r="M34" s="2701"/>
    </row>
    <row r="35" spans="1:18" ht="18" customHeight="1">
      <c r="A35" s="1101"/>
      <c r="B35" s="1099"/>
      <c r="C35" s="26"/>
      <c r="D35" s="327"/>
      <c r="E35" s="302" t="s">
        <v>736</v>
      </c>
      <c r="F35" s="303">
        <f ca="1">INDIRECT("'数据-取费表'!r"&amp;$G$1)</f>
        <v>0</v>
      </c>
      <c r="G35" s="1382"/>
      <c r="H35" s="2695"/>
      <c r="I35" s="1396"/>
      <c r="J35" s="1397"/>
      <c r="K35" s="2699"/>
      <c r="L35" s="2698"/>
      <c r="M35" s="2698"/>
    </row>
    <row r="36" spans="1:18" ht="18" customHeight="1">
      <c r="A36" s="1100" t="s">
        <v>402</v>
      </c>
      <c r="B36" s="302" t="s">
        <v>738</v>
      </c>
      <c r="C36" s="21">
        <f ca="1">ROUND(C29*F36,0)</f>
        <v>1373</v>
      </c>
      <c r="D36" s="1342" t="s">
        <v>771</v>
      </c>
      <c r="E36" s="302" t="s">
        <v>712</v>
      </c>
      <c r="F36" s="328">
        <f ca="1">INDIRECT("'数据-取费表'!Ak"&amp;$G$1)</f>
        <v>5.0000000000000001E-3</v>
      </c>
      <c r="G36" s="1382"/>
      <c r="H36" s="2698"/>
      <c r="I36" s="1396"/>
      <c r="J36" s="1397"/>
      <c r="K36" s="2542"/>
      <c r="L36" s="2698"/>
      <c r="M36" s="2698"/>
    </row>
    <row r="37" spans="1:18" ht="18" customHeight="1">
      <c r="A37" s="980" t="s">
        <v>437</v>
      </c>
      <c r="B37" s="302" t="s">
        <v>742</v>
      </c>
      <c r="C37" s="21">
        <f ca="1">ROUND(C13*F37,0)</f>
        <v>400</v>
      </c>
      <c r="D37" s="1342" t="s">
        <v>743</v>
      </c>
      <c r="E37" s="302" t="s">
        <v>744</v>
      </c>
      <c r="F37" s="330">
        <f ca="1">INDIRECT("'数据-取费表'!Al"&amp;$G$1)</f>
        <v>1.5E-3</v>
      </c>
      <c r="G37" s="1382"/>
      <c r="H37" s="2698"/>
      <c r="I37" s="1396"/>
      <c r="J37" s="1397"/>
      <c r="K37" s="2542"/>
      <c r="L37" s="2698"/>
      <c r="M37" s="2698"/>
    </row>
    <row r="38" spans="1:18" ht="18" customHeight="1" thickBot="1">
      <c r="A38" s="1087" t="s">
        <v>684</v>
      </c>
      <c r="B38" s="1088" t="s">
        <v>728</v>
      </c>
      <c r="C38" s="1089">
        <f ca="1">ROUND(C5*F38,0)</f>
        <v>90</v>
      </c>
      <c r="D38" s="1090" t="s">
        <v>748</v>
      </c>
      <c r="E38" s="1088" t="s">
        <v>744</v>
      </c>
      <c r="F38" s="1084">
        <f ca="1">INDIRECT("'数据-取费表'!Am"&amp;$G$1)</f>
        <v>5.0000000000000001E-3</v>
      </c>
      <c r="G38" s="1382"/>
      <c r="H38" s="2698"/>
      <c r="I38" s="1396"/>
      <c r="J38" s="1397"/>
      <c r="K38" s="2702"/>
      <c r="L38" s="2698"/>
      <c r="M38" s="2698"/>
    </row>
    <row r="39" spans="1:18" ht="24.6" customHeight="1" thickTop="1">
      <c r="A39" s="1077" t="s">
        <v>394</v>
      </c>
      <c r="B39" s="1092" t="s">
        <v>772</v>
      </c>
      <c r="C39" s="310">
        <f ca="1">C5-C30</f>
        <v>13070</v>
      </c>
      <c r="D39" s="1093" t="s">
        <v>773</v>
      </c>
      <c r="E39" s="1094"/>
      <c r="F39" s="1095"/>
      <c r="G39" s="1382"/>
      <c r="H39" s="2698"/>
      <c r="I39" s="1396"/>
      <c r="J39" s="1397"/>
      <c r="K39" s="2702"/>
      <c r="L39" s="2698"/>
      <c r="M39" s="2698"/>
    </row>
    <row r="40" spans="1:18" ht="18" customHeight="1">
      <c r="A40" s="299" t="s">
        <v>395</v>
      </c>
      <c r="B40" s="300" t="s">
        <v>774</v>
      </c>
      <c r="C40" s="301">
        <f ca="1">ROUND(C39*(1-((1+F42)/(1+F40))^F41)/(F40-F42),0)</f>
        <v>261642</v>
      </c>
      <c r="D40" s="324" t="s">
        <v>758</v>
      </c>
      <c r="E40" s="302" t="s">
        <v>759</v>
      </c>
      <c r="F40" s="312">
        <f ca="1">INDIRECT("'数据-取费表'!I"&amp;$G$1)</f>
        <v>5.5E-2</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35.75</v>
      </c>
      <c r="G41" s="1382"/>
      <c r="H41" s="1189"/>
      <c r="I41" s="1396"/>
      <c r="J41" s="1397"/>
      <c r="K41" s="2542"/>
      <c r="L41" s="1189"/>
      <c r="M41" s="1189"/>
    </row>
    <row r="42" spans="1:18" ht="18" customHeight="1">
      <c r="A42" s="308"/>
      <c r="B42" s="309"/>
      <c r="C42" s="310"/>
      <c r="D42" s="327"/>
      <c r="E42" s="302" t="s">
        <v>766</v>
      </c>
      <c r="F42" s="312">
        <f ca="1">INDIRECT("'数据-取费表'!v"&amp;$G$1)</f>
        <v>0.02</v>
      </c>
      <c r="G42" s="1382"/>
      <c r="H42" s="1189"/>
      <c r="I42" s="1396"/>
      <c r="J42" s="1397"/>
      <c r="K42" s="2542"/>
      <c r="L42" s="1189"/>
      <c r="M42" s="1189"/>
    </row>
    <row r="43" spans="1:18" ht="18" customHeight="1" thickBot="1">
      <c r="A43" s="334" t="s">
        <v>396</v>
      </c>
      <c r="B43" s="335" t="s">
        <v>776</v>
      </c>
      <c r="C43" s="336">
        <f ca="1">ROUND(C40/F43,0)</f>
        <v>4803</v>
      </c>
      <c r="D43" s="337" t="s">
        <v>777</v>
      </c>
      <c r="E43" s="338" t="s">
        <v>778</v>
      </c>
      <c r="F43" s="339">
        <f ca="1">INDIRECT("'数据-取费表'!k"&amp;$G$1)</f>
        <v>54.47</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3355</v>
      </c>
      <c r="B45" s="1398"/>
      <c r="C45" s="1470">
        <f ca="1">ROUND((C68-C40)/10000,4)</f>
        <v>-28.912400000000002</v>
      </c>
      <c r="D45" s="3430" t="s">
        <v>3356</v>
      </c>
      <c r="E45" s="1398"/>
      <c r="F45" s="1398"/>
      <c r="O45" s="1401" t="s">
        <v>808</v>
      </c>
      <c r="P45" s="1459"/>
      <c r="Q45" s="1459"/>
      <c r="R45" s="1459"/>
    </row>
    <row r="46" spans="1:18" s="1382" customFormat="1" ht="13.5" thickBot="1">
      <c r="A46" s="1402" t="s">
        <v>809</v>
      </c>
      <c r="C46" s="1403">
        <f ca="1">ROUND(C45,0)</f>
        <v>-29</v>
      </c>
      <c r="D46" s="1404" t="str">
        <f>C2</f>
        <v>万元</v>
      </c>
      <c r="I46" s="1405" t="s">
        <v>810</v>
      </c>
      <c r="J46" s="1406"/>
      <c r="K46" s="1407"/>
      <c r="L46" s="1408">
        <f ca="1">IF(M47="住宅",0,IF(L48&gt;J51,L60,J60))</f>
        <v>8278</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3402</v>
      </c>
      <c r="K47" s="1414" t="s">
        <v>816</v>
      </c>
      <c r="L47" s="1415">
        <f ca="1">INDIRECT("'数据-取费表'!d"&amp;$G$1)</f>
        <v>40</v>
      </c>
      <c r="M47" s="1378" t="str">
        <f>IF(ISNUMBER(FIND("住宅",C1)),"住宅","非住宅")</f>
        <v>非住宅</v>
      </c>
      <c r="O47" s="1416" t="s">
        <v>403</v>
      </c>
      <c r="P47" s="1417" t="s">
        <v>817</v>
      </c>
      <c r="Q47" s="1418">
        <f ca="1">C40+J29</f>
        <v>261642</v>
      </c>
      <c r="R47" s="1418" t="s">
        <v>818</v>
      </c>
    </row>
    <row r="48" spans="1:18" s="1382" customFormat="1" ht="28.5" thickBot="1">
      <c r="A48" s="1108" t="s">
        <v>438</v>
      </c>
      <c r="B48" s="300" t="s">
        <v>692</v>
      </c>
      <c r="C48" s="1357">
        <f ca="1">C49+C53+C55</f>
        <v>0</v>
      </c>
      <c r="D48" s="1110"/>
      <c r="E48" s="1111"/>
      <c r="F48" s="960"/>
      <c r="G48" s="720"/>
      <c r="H48" s="721"/>
      <c r="I48" s="1419" t="s">
        <v>819</v>
      </c>
      <c r="J48" s="1420" t="s">
        <v>3403</v>
      </c>
      <c r="K48" s="1421" t="s">
        <v>820</v>
      </c>
      <c r="L48" s="1422">
        <f ca="1">INDIRECT("'数据-取费表'!f"&amp;$G$1)</f>
        <v>35.75</v>
      </c>
      <c r="O48" s="1416" t="s">
        <v>404</v>
      </c>
      <c r="P48" s="1417" t="s">
        <v>821</v>
      </c>
      <c r="Q48" s="1418">
        <f ca="1">J60</f>
        <v>8278</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'数据-取费表'!N17</f>
        <v>2022</v>
      </c>
      <c r="K49" s="1421" t="s">
        <v>824</v>
      </c>
      <c r="L49" s="1425"/>
      <c r="O49" s="1426" t="s">
        <v>405</v>
      </c>
      <c r="P49" s="1417" t="s">
        <v>825</v>
      </c>
      <c r="Q49" s="1418">
        <f ca="1">C29</f>
        <v>274595</v>
      </c>
      <c r="R49" s="1418" t="s">
        <v>818</v>
      </c>
    </row>
    <row r="50" spans="1:18" s="1382" customFormat="1" ht="13.5" thickBot="1">
      <c r="A50" s="974"/>
      <c r="B50" s="977"/>
      <c r="C50" s="978"/>
      <c r="D50" s="951"/>
      <c r="E50" s="1054" t="s">
        <v>697</v>
      </c>
      <c r="F50" s="1055">
        <f ca="1">F7</f>
        <v>54.47</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3">
        <f ca="1">F8</f>
        <v>365</v>
      </c>
      <c r="I51" s="1430" t="s">
        <v>829</v>
      </c>
      <c r="J51" s="1431">
        <f>IF(J49="",J50,J49+J50-YEAR('数据-取费表'!B2))</f>
        <v>58</v>
      </c>
      <c r="K51" s="1432" t="s">
        <v>830</v>
      </c>
      <c r="L51" s="1433">
        <f ca="1">ROUND(-PV(INDIRECT("'数据-取费表'!h"&amp;$G$1),J51,(C39-C13*C76),0),0)</f>
        <v>-104919</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35.75</v>
      </c>
      <c r="R52" s="1418" t="s">
        <v>835</v>
      </c>
    </row>
    <row r="53" spans="1:18" s="1382" customFormat="1" ht="30.75" customHeight="1" thickBot="1">
      <c r="A53" s="1109" t="s">
        <v>440</v>
      </c>
      <c r="B53" s="323" t="s">
        <v>700</v>
      </c>
      <c r="C53" s="316">
        <f ca="1">ROUND(IF(F53="押一",C49/12*F11,IF(F53="押二",C49/12*2*F11,IF(F53="押三",C49/12*3*F11,C54*F11))),0)</f>
        <v>0</v>
      </c>
      <c r="D53" s="1364" t="s">
        <v>2118</v>
      </c>
      <c r="E53" s="313" t="s">
        <v>701</v>
      </c>
      <c r="F53" s="1114"/>
      <c r="I53" s="1437" t="s">
        <v>836</v>
      </c>
      <c r="J53" s="2166">
        <f ca="1">IF(M47="住宅",IF(D1="——",MAX(J51,L48),MAX(J51,L48-'数据-取费表'!B24)),IF(D1="——",MIN(J51,L48),MIN(J51,L48-'数据-取费表'!B24)))</f>
        <v>35.75</v>
      </c>
      <c r="K53" s="3637" t="s">
        <v>837</v>
      </c>
      <c r="L53" s="3638"/>
      <c r="O53" s="1416" t="s">
        <v>409</v>
      </c>
      <c r="P53" s="1417" t="s">
        <v>838</v>
      </c>
      <c r="Q53" s="1418">
        <f ca="1">Q47+Q48</f>
        <v>269920</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0.371</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266357</v>
      </c>
      <c r="D56" s="1445"/>
      <c r="E56" s="1446"/>
      <c r="F56" s="1438"/>
      <c r="I56" s="1447" t="s">
        <v>842</v>
      </c>
      <c r="J56" s="1448" t="s">
        <v>3391</v>
      </c>
      <c r="K56" s="1419" t="s">
        <v>843</v>
      </c>
      <c r="L56" s="1422" t="str">
        <f ca="1">IF(L48&lt;J51,"——",L48-J51)</f>
        <v>——</v>
      </c>
      <c r="O56" s="1416" t="s">
        <v>403</v>
      </c>
      <c r="P56" s="1417" t="s">
        <v>817</v>
      </c>
      <c r="Q56" s="1418">
        <f ca="1">C40+J29</f>
        <v>261642</v>
      </c>
      <c r="R56" s="1418" t="s">
        <v>818</v>
      </c>
    </row>
    <row r="57" spans="1:18" s="1382" customFormat="1" ht="24.75" thickBot="1">
      <c r="A57" s="1449"/>
      <c r="B57" s="948" t="s">
        <v>767</v>
      </c>
      <c r="C57" s="238">
        <f ca="1">C29</f>
        <v>274595</v>
      </c>
      <c r="D57" s="1450"/>
      <c r="E57" s="1451"/>
      <c r="F57" s="1452"/>
      <c r="I57" s="1453" t="s">
        <v>844</v>
      </c>
      <c r="J57" s="1454">
        <f ca="1">IF(OR(M47="住宅",J51&lt;L48,J56="是"),"——",J51-L48)</f>
        <v>22.25</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1773</v>
      </c>
      <c r="D58" s="958" t="s">
        <v>715</v>
      </c>
      <c r="E58" s="959"/>
      <c r="F58" s="960"/>
      <c r="I58" s="1453" t="s">
        <v>848</v>
      </c>
      <c r="J58" s="1455">
        <f ca="1">IF(J55&lt;0.4,0.4,J55)</f>
        <v>0.4</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109838</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IF(项目基本情况!B11="自然人","——",ROUND(C48*F60/(1+'数据-取费表'!C42),0))</f>
        <v>0</v>
      </c>
      <c r="D60" s="962" t="s">
        <v>724</v>
      </c>
      <c r="E60" s="948" t="s">
        <v>712</v>
      </c>
      <c r="F60" s="331">
        <f t="shared" ref="F60:F66" si="0">F32</f>
        <v>5.5000000000000007E-2</v>
      </c>
      <c r="I60" s="1456" t="s">
        <v>853</v>
      </c>
      <c r="J60" s="1457">
        <f ca="1">IF(OR(M47="住宅",J51&lt;L48,J56="是"),"0",ROUND(J59/(1+J52)^J53,0))</f>
        <v>8278</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3339</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IF(项目基本情况!B11="自然人","——",ROUND(F62*F63,0))</f>
        <v>0</v>
      </c>
      <c r="D62" s="963" t="s">
        <v>786</v>
      </c>
      <c r="E62" s="948" t="s">
        <v>787</v>
      </c>
      <c r="F62" s="325">
        <f t="shared" si="0"/>
        <v>0</v>
      </c>
      <c r="I62" s="1460" t="s">
        <v>858</v>
      </c>
      <c r="J62" s="1461" t="s">
        <v>859</v>
      </c>
      <c r="K62" s="1461" t="s">
        <v>860</v>
      </c>
      <c r="L62" s="1461" t="s">
        <v>861</v>
      </c>
      <c r="M62" s="1462" t="s">
        <v>862</v>
      </c>
      <c r="O62" s="1416" t="s">
        <v>409</v>
      </c>
      <c r="P62" s="1417" t="s">
        <v>863</v>
      </c>
      <c r="Q62" s="1418">
        <f ca="1">Q56+Q57</f>
        <v>261642</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1373</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400</v>
      </c>
      <c r="D65" s="962" t="s">
        <v>743</v>
      </c>
      <c r="E65" s="948" t="s">
        <v>744</v>
      </c>
      <c r="F65" s="330">
        <f t="shared" ca="1" si="0"/>
        <v>1.5E-3</v>
      </c>
      <c r="I65" s="1460" t="s">
        <v>867</v>
      </c>
      <c r="J65" s="1461">
        <v>40</v>
      </c>
      <c r="K65" s="1461">
        <v>30</v>
      </c>
      <c r="L65" s="1461">
        <v>50</v>
      </c>
      <c r="M65" s="1463">
        <v>0.02</v>
      </c>
      <c r="O65" s="1416" t="s">
        <v>403</v>
      </c>
      <c r="P65" s="1417" t="s">
        <v>868</v>
      </c>
      <c r="Q65" s="1418">
        <f ca="1">C40+J29</f>
        <v>261642</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-1773</v>
      </c>
      <c r="D67" s="961" t="s">
        <v>753</v>
      </c>
      <c r="E67" s="966"/>
      <c r="F67" s="967"/>
      <c r="O67" s="1426" t="s">
        <v>405</v>
      </c>
      <c r="P67" s="1417" t="s">
        <v>850</v>
      </c>
      <c r="Q67" s="1464">
        <f ca="1">L51</f>
        <v>-104919</v>
      </c>
      <c r="R67" s="1418" t="s">
        <v>870</v>
      </c>
    </row>
    <row r="68" spans="1:18" s="1382" customFormat="1" ht="16.5" thickBot="1">
      <c r="A68" s="945" t="s">
        <v>395</v>
      </c>
      <c r="B68" s="946" t="s">
        <v>774</v>
      </c>
      <c r="C68" s="301">
        <f ca="1">ROUND(C67*(1-((1+F70)/(1+F68))^F69)/(F68-F70),0)</f>
        <v>-27482</v>
      </c>
      <c r="D68" s="963" t="s">
        <v>758</v>
      </c>
      <c r="E68" s="948" t="s">
        <v>759</v>
      </c>
      <c r="F68" s="312">
        <f ca="1">F40</f>
        <v>5.5E-2</v>
      </c>
      <c r="O68" s="1426" t="s">
        <v>406</v>
      </c>
      <c r="P68" s="1465" t="s">
        <v>871</v>
      </c>
      <c r="Q68" s="1418">
        <f ca="1">ROUND(Q69-Q70*Q71,0)</f>
        <v>-5575</v>
      </c>
      <c r="R68" s="1418" t="s">
        <v>414</v>
      </c>
    </row>
    <row r="69" spans="1:18" s="1382" customFormat="1" ht="13.5" thickBot="1">
      <c r="A69" s="949"/>
      <c r="B69" s="950"/>
      <c r="C69" s="306"/>
      <c r="D69" s="968" t="s">
        <v>762</v>
      </c>
      <c r="E69" s="948" t="s">
        <v>763</v>
      </c>
      <c r="F69" s="333">
        <f ca="1">F41</f>
        <v>35.75</v>
      </c>
      <c r="O69" s="1426" t="s">
        <v>411</v>
      </c>
      <c r="P69" s="1465" t="s">
        <v>872</v>
      </c>
      <c r="Q69" s="1418">
        <f ca="1">C39</f>
        <v>13070</v>
      </c>
      <c r="R69" s="1418" t="s">
        <v>818</v>
      </c>
    </row>
    <row r="70" spans="1:18" s="1382" customFormat="1" ht="13.5" thickBot="1">
      <c r="A70" s="952"/>
      <c r="B70" s="953"/>
      <c r="C70" s="310"/>
      <c r="D70" s="964"/>
      <c r="E70" s="948" t="s">
        <v>766</v>
      </c>
      <c r="F70" s="1052"/>
      <c r="O70" s="1426" t="s">
        <v>412</v>
      </c>
      <c r="P70" s="1465" t="s">
        <v>873</v>
      </c>
      <c r="Q70" s="1418">
        <f ca="1">C13</f>
        <v>266357</v>
      </c>
      <c r="R70" s="1418" t="s">
        <v>818</v>
      </c>
    </row>
    <row r="71" spans="1:18" s="1382" customFormat="1" ht="13.5" thickBot="1">
      <c r="A71" s="969" t="s">
        <v>396</v>
      </c>
      <c r="B71" s="970" t="s">
        <v>776</v>
      </c>
      <c r="C71" s="336">
        <f ca="1">ROUND(C68/F71,0)</f>
        <v>-505</v>
      </c>
      <c r="D71" s="971" t="s">
        <v>777</v>
      </c>
      <c r="E71" s="972" t="s">
        <v>778</v>
      </c>
      <c r="F71" s="339">
        <f ca="1">F43</f>
        <v>54.47</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18645</v>
      </c>
      <c r="D75" s="1382"/>
      <c r="E75" s="1382"/>
      <c r="F75" s="1382"/>
      <c r="K75" s="1400"/>
      <c r="L75" s="1382"/>
      <c r="O75" s="1416" t="s">
        <v>409</v>
      </c>
      <c r="P75" s="1417" t="s">
        <v>838</v>
      </c>
      <c r="Q75" s="1418">
        <f ca="1">Q65+Q66</f>
        <v>261642</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-0.42700000000000005</v>
      </c>
    </row>
    <row r="80" spans="1:18">
      <c r="B80" s="340" t="s">
        <v>800</v>
      </c>
      <c r="C80" s="274">
        <f ca="1">ROUND(C75/C39,3)</f>
        <v>1.427</v>
      </c>
    </row>
    <row r="81" spans="2:3">
      <c r="B81" s="270" t="s">
        <v>801</v>
      </c>
      <c r="C81" s="238"/>
    </row>
    <row r="82" spans="2:3">
      <c r="B82" s="273" t="s">
        <v>802</v>
      </c>
      <c r="C82" s="275">
        <f ca="1">1-C83</f>
        <v>-1.8000000000000016E-2</v>
      </c>
    </row>
    <row r="83" spans="2:3">
      <c r="B83" s="273" t="s">
        <v>803</v>
      </c>
      <c r="C83" s="274">
        <f ca="1">ROUND(C13/C40,3)</f>
        <v>1.018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31" sqref="W31"/>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36" t="s">
        <v>2084</v>
      </c>
      <c r="D1" s="3737"/>
      <c r="E1" s="3737"/>
      <c r="F1" s="3737"/>
      <c r="G1" s="3737"/>
      <c r="H1" s="3737"/>
      <c r="I1" s="3737"/>
      <c r="J1" s="3737"/>
      <c r="K1" s="3737"/>
      <c r="L1" s="3737"/>
      <c r="M1" s="3737"/>
      <c r="N1" s="3737"/>
      <c r="O1" s="3737"/>
      <c r="P1" s="3737"/>
      <c r="Q1" s="3737"/>
      <c r="R1" s="3737"/>
      <c r="S1" s="3738"/>
      <c r="T1" s="981" t="s">
        <v>2085</v>
      </c>
    </row>
    <row r="2" spans="1:45" s="655" customFormat="1" ht="38.25">
      <c r="A2" s="982"/>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100</v>
      </c>
      <c r="E3" s="544">
        <v>200</v>
      </c>
      <c r="F3" s="544">
        <v>300</v>
      </c>
      <c r="G3" s="1303"/>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f>C4-1</f>
        <v>99</v>
      </c>
      <c r="E4" s="485">
        <f t="shared" ref="E4:F4" si="7">D4-1</f>
        <v>98</v>
      </c>
      <c r="F4" s="485">
        <f t="shared" si="7"/>
        <v>97</v>
      </c>
      <c r="G4" s="1307"/>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4" t="s">
        <v>2087</v>
      </c>
      <c r="C5" s="993"/>
      <c r="D5" s="994"/>
      <c r="E5" s="994"/>
      <c r="F5" s="1310"/>
      <c r="G5" s="1310"/>
      <c r="H5" s="1310"/>
      <c r="I5" s="1310"/>
      <c r="J5" s="1310"/>
      <c r="K5" s="1310"/>
      <c r="L5" s="1311"/>
      <c r="M5" s="1312"/>
      <c r="N5" s="1312"/>
      <c r="O5" s="1310"/>
      <c r="P5" s="1310"/>
      <c r="Q5" s="1310"/>
      <c r="R5" s="1310"/>
      <c r="S5" s="1313"/>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8">D6-$T5</f>
        <v>100</v>
      </c>
      <c r="F6" s="1314">
        <f t="shared" si="8"/>
        <v>100</v>
      </c>
      <c r="G6" s="1314">
        <f t="shared" si="8"/>
        <v>100</v>
      </c>
      <c r="H6" s="1314">
        <f t="shared" si="8"/>
        <v>100</v>
      </c>
      <c r="I6" s="1314">
        <f t="shared" si="8"/>
        <v>100</v>
      </c>
      <c r="J6" s="1314">
        <f t="shared" si="8"/>
        <v>100</v>
      </c>
      <c r="K6" s="1314">
        <f t="shared" si="8"/>
        <v>100</v>
      </c>
      <c r="L6" s="1314">
        <f t="shared" si="8"/>
        <v>100</v>
      </c>
      <c r="M6" s="1314">
        <f t="shared" si="8"/>
        <v>100</v>
      </c>
      <c r="N6" s="1314">
        <f t="shared" si="8"/>
        <v>100</v>
      </c>
      <c r="O6" s="1314">
        <f t="shared" si="8"/>
        <v>100</v>
      </c>
      <c r="P6" s="1314">
        <f t="shared" si="8"/>
        <v>100</v>
      </c>
      <c r="Q6" s="1314">
        <f t="shared" si="8"/>
        <v>100</v>
      </c>
      <c r="R6" s="1314">
        <f t="shared" si="8"/>
        <v>100</v>
      </c>
      <c r="S6" s="1314">
        <f t="shared" si="8"/>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2088</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2089</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2090</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2091</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2092</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2093</v>
      </c>
      <c r="B17" s="2147" t="s">
        <v>2094</v>
      </c>
      <c r="C17" s="1008" t="s">
        <v>3397</v>
      </c>
      <c r="D17" s="1008" t="s">
        <v>3398</v>
      </c>
      <c r="E17" s="1008" t="s">
        <v>3399</v>
      </c>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v>100</v>
      </c>
      <c r="D18" s="1021">
        <v>70</v>
      </c>
      <c r="E18" s="1021">
        <v>65</v>
      </c>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2095</v>
      </c>
      <c r="E19" s="1338"/>
      <c r="F19" s="1338"/>
      <c r="G19" s="1338"/>
      <c r="H19" s="1057"/>
      <c r="I19" s="159"/>
      <c r="J19" s="159"/>
      <c r="K19" s="159"/>
      <c r="L19" s="159"/>
      <c r="M19" s="159"/>
      <c r="N19" s="159"/>
      <c r="O19" s="159"/>
      <c r="P19" s="159"/>
      <c r="Q19" s="159"/>
      <c r="R19" s="716"/>
      <c r="S19" s="129"/>
    </row>
    <row r="20" spans="1:45" ht="16.5" thickBot="1">
      <c r="A20" s="660" t="s">
        <v>2096</v>
      </c>
      <c r="B20" s="294" t="e">
        <f ca="1">IF(D20="——",S22,S22-F20)</f>
        <v>#DIV/0!</v>
      </c>
      <c r="C20" s="159"/>
      <c r="D20" s="2149" t="s">
        <v>43</v>
      </c>
      <c r="E20" s="1339"/>
      <c r="F20" s="981" t="e">
        <f ca="1">SUMIF(INDIRECT("'"&amp;H20&amp;"'"&amp;"!A:A"),"承租人权益价值",INDIRECT("'"&amp;H20&amp;"'"&amp;"!c:c"))</f>
        <v>#REF!</v>
      </c>
      <c r="G20" s="981" t="s">
        <v>2097</v>
      </c>
      <c r="H20" s="2150"/>
      <c r="I20" s="159"/>
      <c r="J20" s="159"/>
      <c r="K20" s="159"/>
      <c r="L20" s="159"/>
      <c r="M20" s="159"/>
      <c r="N20" s="159"/>
      <c r="O20" s="159"/>
      <c r="P20" s="159"/>
      <c r="Q20" s="159"/>
      <c r="R20" s="716"/>
      <c r="S20" s="129"/>
    </row>
    <row r="21" spans="1:45" ht="15.75">
      <c r="A21" s="660" t="s">
        <v>2098</v>
      </c>
      <c r="B21" s="294" t="e">
        <f ca="1">ROUND(B20*10000/B22,0)</f>
        <v>#DIV/0!</v>
      </c>
      <c r="C21" s="159"/>
      <c r="D21" s="159"/>
      <c r="E21" s="159"/>
      <c r="F21" s="159"/>
      <c r="G21" s="159"/>
      <c r="H21" s="159"/>
      <c r="I21" s="159"/>
      <c r="J21" s="159"/>
      <c r="K21" s="159"/>
      <c r="L21" s="159"/>
      <c r="M21" s="159"/>
      <c r="N21" s="159"/>
      <c r="O21" s="159"/>
      <c r="P21" s="159"/>
      <c r="Q21" s="159"/>
      <c r="R21" s="716"/>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1" t="e">
        <f ca="1">ROUND(S22*10000/B22,0)</f>
        <v>#DIV/0!</v>
      </c>
      <c r="S22" s="21" t="e">
        <f ca="1">SUM(S24:S10000)</f>
        <v>#DIV/0!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2" t="s">
        <v>2103</v>
      </c>
      <c r="S23" s="8" t="s">
        <v>2104</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Sheet1!A33</f>
        <v>0</v>
      </c>
      <c r="B24" s="663">
        <f>Sheet1!C33</f>
        <v>0</v>
      </c>
      <c r="C24" s="2808">
        <v>1</v>
      </c>
      <c r="D24" s="2809"/>
      <c r="E24" s="2808">
        <v>1</v>
      </c>
      <c r="F24" s="2809"/>
      <c r="G24" s="2808">
        <v>1</v>
      </c>
      <c r="H24" s="2809"/>
      <c r="I24" s="2808">
        <v>1</v>
      </c>
      <c r="J24" s="2809"/>
      <c r="K24" s="2808">
        <v>1</v>
      </c>
      <c r="L24" s="2809"/>
      <c r="M24" s="2808">
        <v>1</v>
      </c>
      <c r="N24" s="2809"/>
      <c r="O24" s="2808">
        <v>1</v>
      </c>
      <c r="P24" s="2809" t="s">
        <v>3400</v>
      </c>
      <c r="Q24" s="2808">
        <v>1</v>
      </c>
      <c r="R24" s="666" t="e">
        <f ca="1">结果表!G20</f>
        <v>#DIV/0!</v>
      </c>
      <c r="S24" s="664" t="e">
        <f t="shared" ref="S24:S54" ca="1" si="12">ROUND(R24*B24/10000,0)</f>
        <v>#DIV/0!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663">
        <f>Sheet1!A34</f>
        <v>0</v>
      </c>
      <c r="B25" s="663">
        <f>Sheet1!C34</f>
        <v>0</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2809" t="s">
        <v>3400</v>
      </c>
      <c r="Q25" s="21">
        <f>(SUMIF($17:$17,P25,$18:$18)-SUMIF($17:$17,$P$24,$18:$18)+100)/100</f>
        <v>1</v>
      </c>
      <c r="R25" s="661" t="e">
        <f ca="1">IF(B25="",0,ROUND($R$24*C25*E25*G25*I25*K25*M25*O25*Q25,0))</f>
        <v>#DIV/0!</v>
      </c>
      <c r="S25" s="316" t="e">
        <f t="shared" ca="1" si="12"/>
        <v>#DIV/0!</v>
      </c>
    </row>
    <row r="26" spans="1:45">
      <c r="A26" s="663">
        <f>Sheet1!A35</f>
        <v>0</v>
      </c>
      <c r="B26" s="663">
        <f>Sheet1!C35</f>
        <v>0</v>
      </c>
      <c r="C26" s="21">
        <f t="shared" ref="C26:C89" si="13">IF(B26="",1,(LOOKUP(B26,$3:$3,$4:$4)-LOOKUP($B$24,$3:$3,$4:$4)+100)/100)</f>
        <v>1</v>
      </c>
      <c r="D26" s="665"/>
      <c r="E26" s="21">
        <f t="shared" ref="E26:E89" si="14">(SUMIF($5:$5,D26,$6:$6)-SUMIF($5:$5,$D$24,$6:$6)+100)/100</f>
        <v>1</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2809" t="s">
        <v>3400</v>
      </c>
      <c r="Q26" s="21">
        <f t="shared" ref="Q26:Q89" si="20">(SUMIF($17:$17,P26,$18:$18)-SUMIF($17:$17,$P$24,$18:$18)+100)/100</f>
        <v>1</v>
      </c>
      <c r="R26" s="661" t="e">
        <f t="shared" ref="R26:R89" ca="1" si="21">IF(B26="",0,ROUND($R$24*C26*E26*G26*I26*K26*M26*O26*Q26,0))</f>
        <v>#DIV/0!</v>
      </c>
      <c r="S26" s="316" t="e">
        <f t="shared" ca="1" si="12"/>
        <v>#DIV/0!</v>
      </c>
    </row>
    <row r="27" spans="1:45">
      <c r="A27" s="663">
        <f>Sheet1!A36</f>
        <v>0</v>
      </c>
      <c r="B27" s="663">
        <f>Sheet1!C36</f>
        <v>0</v>
      </c>
      <c r="C27" s="21">
        <f t="shared" si="13"/>
        <v>1</v>
      </c>
      <c r="D27" s="665"/>
      <c r="E27" s="21">
        <f t="shared" si="14"/>
        <v>1</v>
      </c>
      <c r="F27" s="665"/>
      <c r="G27" s="21">
        <f t="shared" si="15"/>
        <v>1</v>
      </c>
      <c r="H27" s="665"/>
      <c r="I27" s="21">
        <f t="shared" si="16"/>
        <v>1</v>
      </c>
      <c r="J27" s="665"/>
      <c r="K27" s="21">
        <f t="shared" si="17"/>
        <v>1</v>
      </c>
      <c r="L27" s="665"/>
      <c r="M27" s="21">
        <f t="shared" si="18"/>
        <v>1</v>
      </c>
      <c r="N27" s="665"/>
      <c r="O27" s="21">
        <f t="shared" si="19"/>
        <v>1</v>
      </c>
      <c r="P27" s="2809" t="s">
        <v>3400</v>
      </c>
      <c r="Q27" s="21">
        <f t="shared" si="20"/>
        <v>1</v>
      </c>
      <c r="R27" s="661" t="e">
        <f t="shared" ca="1" si="21"/>
        <v>#DIV/0!</v>
      </c>
      <c r="S27" s="316" t="e">
        <f t="shared" ca="1" si="12"/>
        <v>#DIV/0!</v>
      </c>
    </row>
    <row r="28" spans="1:45">
      <c r="A28" s="663">
        <f>Sheet1!A37</f>
        <v>0</v>
      </c>
      <c r="B28" s="663">
        <f>Sheet1!C37</f>
        <v>0</v>
      </c>
      <c r="C28" s="21">
        <f t="shared" si="13"/>
        <v>1</v>
      </c>
      <c r="D28" s="665"/>
      <c r="E28" s="21">
        <f t="shared" si="14"/>
        <v>1</v>
      </c>
      <c r="F28" s="665"/>
      <c r="G28" s="21">
        <f t="shared" si="15"/>
        <v>1</v>
      </c>
      <c r="H28" s="665"/>
      <c r="I28" s="21">
        <f t="shared" si="16"/>
        <v>1</v>
      </c>
      <c r="J28" s="665"/>
      <c r="K28" s="21">
        <f t="shared" si="17"/>
        <v>1</v>
      </c>
      <c r="L28" s="665"/>
      <c r="M28" s="21">
        <f t="shared" si="18"/>
        <v>1</v>
      </c>
      <c r="N28" s="665"/>
      <c r="O28" s="21">
        <f t="shared" si="19"/>
        <v>1</v>
      </c>
      <c r="P28" s="2809" t="s">
        <v>3400</v>
      </c>
      <c r="Q28" s="21">
        <f t="shared" si="20"/>
        <v>1</v>
      </c>
      <c r="R28" s="661" t="e">
        <f t="shared" ca="1" si="21"/>
        <v>#DIV/0!</v>
      </c>
      <c r="S28" s="316" t="e">
        <f t="shared" ca="1" si="12"/>
        <v>#DIV/0!</v>
      </c>
    </row>
    <row r="29" spans="1:45">
      <c r="A29" s="663">
        <f>Sheet1!A38</f>
        <v>0</v>
      </c>
      <c r="B29" s="663">
        <f>Sheet1!C38</f>
        <v>0</v>
      </c>
      <c r="C29" s="21">
        <f t="shared" si="13"/>
        <v>1</v>
      </c>
      <c r="D29" s="665"/>
      <c r="E29" s="21">
        <f t="shared" si="14"/>
        <v>1</v>
      </c>
      <c r="F29" s="665"/>
      <c r="G29" s="21">
        <f t="shared" si="15"/>
        <v>1</v>
      </c>
      <c r="H29" s="665"/>
      <c r="I29" s="21">
        <f t="shared" si="16"/>
        <v>1</v>
      </c>
      <c r="J29" s="665"/>
      <c r="K29" s="21">
        <f t="shared" si="17"/>
        <v>1</v>
      </c>
      <c r="L29" s="665"/>
      <c r="M29" s="21">
        <f t="shared" si="18"/>
        <v>1</v>
      </c>
      <c r="N29" s="665"/>
      <c r="O29" s="21">
        <f t="shared" si="19"/>
        <v>1</v>
      </c>
      <c r="P29" s="2809" t="s">
        <v>3400</v>
      </c>
      <c r="Q29" s="21">
        <f t="shared" si="20"/>
        <v>1</v>
      </c>
      <c r="R29" s="661" t="e">
        <f t="shared" ca="1" si="21"/>
        <v>#DIV/0!</v>
      </c>
      <c r="S29" s="316" t="e">
        <f t="shared" ca="1" si="12"/>
        <v>#DIV/0!</v>
      </c>
    </row>
    <row r="30" spans="1:45">
      <c r="A30" s="663">
        <f>Sheet1!A39</f>
        <v>0</v>
      </c>
      <c r="B30" s="663">
        <f>Sheet1!C39</f>
        <v>0</v>
      </c>
      <c r="C30" s="21">
        <f t="shared" si="13"/>
        <v>1</v>
      </c>
      <c r="D30" s="665"/>
      <c r="E30" s="21">
        <f t="shared" si="14"/>
        <v>1</v>
      </c>
      <c r="F30" s="665"/>
      <c r="G30" s="21">
        <f t="shared" si="15"/>
        <v>1</v>
      </c>
      <c r="H30" s="665"/>
      <c r="I30" s="21">
        <f t="shared" si="16"/>
        <v>1</v>
      </c>
      <c r="J30" s="665"/>
      <c r="K30" s="21">
        <f t="shared" si="17"/>
        <v>1</v>
      </c>
      <c r="L30" s="665"/>
      <c r="M30" s="21">
        <f t="shared" si="18"/>
        <v>1</v>
      </c>
      <c r="N30" s="665"/>
      <c r="O30" s="21">
        <f t="shared" si="19"/>
        <v>1</v>
      </c>
      <c r="P30" s="2809" t="s">
        <v>3400</v>
      </c>
      <c r="Q30" s="21">
        <f t="shared" si="20"/>
        <v>1</v>
      </c>
      <c r="R30" s="661" t="e">
        <f t="shared" ca="1" si="21"/>
        <v>#DIV/0!</v>
      </c>
      <c r="S30" s="316" t="e">
        <f t="shared" ca="1" si="12"/>
        <v>#DIV/0!</v>
      </c>
    </row>
    <row r="31" spans="1:45">
      <c r="A31" s="663">
        <f>Sheet1!A40</f>
        <v>0</v>
      </c>
      <c r="B31" s="663">
        <f>Sheet1!C40</f>
        <v>0</v>
      </c>
      <c r="C31" s="21">
        <f t="shared" si="13"/>
        <v>1</v>
      </c>
      <c r="D31" s="665"/>
      <c r="E31" s="21">
        <f t="shared" si="14"/>
        <v>1</v>
      </c>
      <c r="F31" s="665"/>
      <c r="G31" s="21">
        <f t="shared" si="15"/>
        <v>1</v>
      </c>
      <c r="H31" s="665"/>
      <c r="I31" s="21">
        <f t="shared" si="16"/>
        <v>1</v>
      </c>
      <c r="J31" s="665"/>
      <c r="K31" s="21">
        <f t="shared" si="17"/>
        <v>1</v>
      </c>
      <c r="L31" s="665"/>
      <c r="M31" s="21">
        <f t="shared" si="18"/>
        <v>1</v>
      </c>
      <c r="N31" s="665"/>
      <c r="O31" s="21">
        <f t="shared" si="19"/>
        <v>1</v>
      </c>
      <c r="P31" s="2809" t="s">
        <v>3400</v>
      </c>
      <c r="Q31" s="21">
        <f t="shared" si="20"/>
        <v>1</v>
      </c>
      <c r="R31" s="661" t="e">
        <f t="shared" ca="1" si="21"/>
        <v>#DIV/0!</v>
      </c>
      <c r="S31" s="316" t="e">
        <f t="shared" ca="1" si="12"/>
        <v>#DIV/0!</v>
      </c>
    </row>
    <row r="32" spans="1:45">
      <c r="A32" s="663">
        <f>Sheet1!A41</f>
        <v>0</v>
      </c>
      <c r="B32" s="663">
        <f>Sheet1!C41</f>
        <v>0</v>
      </c>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2809" t="s">
        <v>3400</v>
      </c>
      <c r="Q32" s="21">
        <f t="shared" si="20"/>
        <v>1</v>
      </c>
      <c r="R32" s="661" t="e">
        <f t="shared" ca="1" si="21"/>
        <v>#DIV/0!</v>
      </c>
      <c r="S32" s="316" t="e">
        <f t="shared" ca="1" si="12"/>
        <v>#DIV/0!</v>
      </c>
    </row>
    <row r="33" spans="1:19">
      <c r="A33" s="663">
        <f>Sheet1!A42</f>
        <v>0</v>
      </c>
      <c r="B33" s="663">
        <f>Sheet1!C42</f>
        <v>0</v>
      </c>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2809" t="s">
        <v>3400</v>
      </c>
      <c r="Q33" s="21">
        <f t="shared" si="20"/>
        <v>1</v>
      </c>
      <c r="R33" s="661" t="e">
        <f t="shared" ca="1" si="21"/>
        <v>#DIV/0!</v>
      </c>
      <c r="S33" s="316" t="e">
        <f t="shared" ca="1" si="12"/>
        <v>#DIV/0!</v>
      </c>
    </row>
    <row r="34" spans="1:19">
      <c r="A34" s="663">
        <f>Sheet1!A43</f>
        <v>0</v>
      </c>
      <c r="B34" s="663">
        <f>Sheet1!C43</f>
        <v>0</v>
      </c>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2809" t="s">
        <v>3400</v>
      </c>
      <c r="Q34" s="21">
        <f t="shared" si="20"/>
        <v>1</v>
      </c>
      <c r="R34" s="661" t="e">
        <f t="shared" ca="1" si="21"/>
        <v>#DIV/0!</v>
      </c>
      <c r="S34" s="316" t="e">
        <f t="shared" ca="1" si="12"/>
        <v>#DIV/0!</v>
      </c>
    </row>
    <row r="35" spans="1:19">
      <c r="A35" s="663">
        <f>Sheet1!A44</f>
        <v>0</v>
      </c>
      <c r="B35" s="663">
        <f>Sheet1!C44</f>
        <v>0</v>
      </c>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2809" t="s">
        <v>3400</v>
      </c>
      <c r="Q35" s="21">
        <f t="shared" si="20"/>
        <v>1</v>
      </c>
      <c r="R35" s="661" t="e">
        <f t="shared" ca="1" si="21"/>
        <v>#DIV/0!</v>
      </c>
      <c r="S35" s="316" t="e">
        <f t="shared" ca="1" si="12"/>
        <v>#DIV/0!</v>
      </c>
    </row>
    <row r="36" spans="1:19">
      <c r="A36" s="663">
        <f>Sheet1!A45</f>
        <v>0</v>
      </c>
      <c r="B36" s="663">
        <f>Sheet1!C45</f>
        <v>0</v>
      </c>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2809" t="s">
        <v>3400</v>
      </c>
      <c r="Q36" s="21">
        <f t="shared" si="20"/>
        <v>1</v>
      </c>
      <c r="R36" s="661" t="e">
        <f t="shared" ca="1" si="21"/>
        <v>#DIV/0!</v>
      </c>
      <c r="S36" s="316" t="e">
        <f t="shared" ca="1" si="12"/>
        <v>#DIV/0!</v>
      </c>
    </row>
    <row r="37" spans="1:19">
      <c r="A37" s="663">
        <f>Sheet1!A46</f>
        <v>0</v>
      </c>
      <c r="B37" s="663">
        <f>Sheet1!C46</f>
        <v>0</v>
      </c>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2809" t="s">
        <v>3400</v>
      </c>
      <c r="Q37" s="21">
        <f t="shared" si="20"/>
        <v>1</v>
      </c>
      <c r="R37" s="661" t="e">
        <f t="shared" ca="1" si="21"/>
        <v>#DIV/0!</v>
      </c>
      <c r="S37" s="316" t="e">
        <f t="shared" ca="1" si="12"/>
        <v>#DIV/0!</v>
      </c>
    </row>
    <row r="38" spans="1:19">
      <c r="A38" s="663">
        <f>Sheet1!A47</f>
        <v>0</v>
      </c>
      <c r="B38" s="663">
        <f>Sheet1!C47</f>
        <v>0</v>
      </c>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t="s">
        <v>3401</v>
      </c>
      <c r="Q38" s="21">
        <f t="shared" si="20"/>
        <v>0.65</v>
      </c>
      <c r="R38" s="661" t="e">
        <f t="shared" ca="1" si="21"/>
        <v>#DIV/0!</v>
      </c>
      <c r="S38" s="316" t="e">
        <f t="shared" ca="1" si="12"/>
        <v>#DIV/0!</v>
      </c>
    </row>
    <row r="39" spans="1:19">
      <c r="A39" s="663">
        <f>Sheet1!A48</f>
        <v>0</v>
      </c>
      <c r="B39" s="663">
        <f>Sheet1!C48</f>
        <v>0</v>
      </c>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t="s">
        <v>3401</v>
      </c>
      <c r="Q39" s="21">
        <f t="shared" si="20"/>
        <v>0.65</v>
      </c>
      <c r="R39" s="661" t="e">
        <f t="shared" ca="1" si="21"/>
        <v>#DIV/0!</v>
      </c>
      <c r="S39" s="316" t="e">
        <f t="shared" ca="1" si="12"/>
        <v>#DIV/0!</v>
      </c>
    </row>
    <row r="40" spans="1:19">
      <c r="A40" s="663">
        <f>Sheet1!A49</f>
        <v>0</v>
      </c>
      <c r="B40" s="663">
        <f>Sheet1!C49</f>
        <v>0</v>
      </c>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t="s">
        <v>3401</v>
      </c>
      <c r="Q40" s="21">
        <f t="shared" si="20"/>
        <v>0.65</v>
      </c>
      <c r="R40" s="661" t="e">
        <f t="shared" ca="1" si="21"/>
        <v>#DIV/0!</v>
      </c>
      <c r="S40" s="316" t="e">
        <f t="shared" ca="1" si="12"/>
        <v>#DIV/0!</v>
      </c>
    </row>
    <row r="41" spans="1:19">
      <c r="A41" s="663">
        <f>Sheet1!A50</f>
        <v>0</v>
      </c>
      <c r="B41" s="663">
        <f>Sheet1!C50</f>
        <v>0</v>
      </c>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t="s">
        <v>3401</v>
      </c>
      <c r="Q41" s="21">
        <f t="shared" si="20"/>
        <v>0.65</v>
      </c>
      <c r="R41" s="661" t="e">
        <f t="shared" ca="1" si="21"/>
        <v>#DIV/0!</v>
      </c>
      <c r="S41" s="316" t="e">
        <f t="shared" ca="1" si="12"/>
        <v>#DIV/0!</v>
      </c>
    </row>
    <row r="42" spans="1:19">
      <c r="A42" s="663">
        <f>Sheet1!A51</f>
        <v>0</v>
      </c>
      <c r="B42" s="663">
        <f>Sheet1!C51</f>
        <v>0</v>
      </c>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t="s">
        <v>3401</v>
      </c>
      <c r="Q42" s="21">
        <f t="shared" si="20"/>
        <v>0.65</v>
      </c>
      <c r="R42" s="661" t="e">
        <f t="shared" ca="1" si="21"/>
        <v>#DIV/0!</v>
      </c>
      <c r="S42" s="316" t="e">
        <f t="shared" ca="1" si="12"/>
        <v>#DIV/0!</v>
      </c>
    </row>
    <row r="43" spans="1:19">
      <c r="A43" s="663">
        <f>Sheet1!A52</f>
        <v>0</v>
      </c>
      <c r="B43" s="663">
        <f>Sheet1!C52</f>
        <v>0</v>
      </c>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t="s">
        <v>3401</v>
      </c>
      <c r="Q43" s="21">
        <f t="shared" si="20"/>
        <v>0.65</v>
      </c>
      <c r="R43" s="661" t="e">
        <f t="shared" ca="1" si="21"/>
        <v>#DIV/0!</v>
      </c>
      <c r="S43" s="316" t="e">
        <f t="shared" ca="1" si="12"/>
        <v>#DIV/0!</v>
      </c>
    </row>
    <row r="44" spans="1:19">
      <c r="A44" s="663">
        <f>Sheet1!A53</f>
        <v>0</v>
      </c>
      <c r="B44" s="663">
        <f>Sheet1!C53</f>
        <v>0</v>
      </c>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t="s">
        <v>3401</v>
      </c>
      <c r="Q44" s="21">
        <f t="shared" si="20"/>
        <v>0.65</v>
      </c>
      <c r="R44" s="661" t="e">
        <f t="shared" ca="1" si="21"/>
        <v>#DIV/0!</v>
      </c>
      <c r="S44" s="316" t="e">
        <f t="shared" ca="1" si="12"/>
        <v>#DIV/0!</v>
      </c>
    </row>
    <row r="45" spans="1:19">
      <c r="A45" s="663">
        <f>Sheet1!A54</f>
        <v>0</v>
      </c>
      <c r="B45" s="663">
        <f>Sheet1!C54</f>
        <v>0</v>
      </c>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t="s">
        <v>3401</v>
      </c>
      <c r="Q45" s="21">
        <f t="shared" si="20"/>
        <v>0.65</v>
      </c>
      <c r="R45" s="661" t="e">
        <f t="shared" ca="1" si="21"/>
        <v>#DIV/0!</v>
      </c>
      <c r="S45" s="316" t="e">
        <f t="shared" ca="1" si="12"/>
        <v>#DIV/0!</v>
      </c>
    </row>
    <row r="46" spans="1:19">
      <c r="A46" s="663">
        <f>Sheet1!A55</f>
        <v>0</v>
      </c>
      <c r="B46" s="663">
        <f>Sheet1!C55</f>
        <v>0</v>
      </c>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t="s">
        <v>3401</v>
      </c>
      <c r="Q46" s="21">
        <f t="shared" si="20"/>
        <v>0.65</v>
      </c>
      <c r="R46" s="661" t="e">
        <f t="shared" ca="1" si="21"/>
        <v>#DIV/0!</v>
      </c>
      <c r="S46" s="316" t="e">
        <f t="shared" ca="1" si="12"/>
        <v>#DIV/0!</v>
      </c>
    </row>
    <row r="47" spans="1:19">
      <c r="A47" s="663">
        <f>Sheet1!A56</f>
        <v>0</v>
      </c>
      <c r="B47" s="663">
        <f>Sheet1!C56</f>
        <v>0</v>
      </c>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t="s">
        <v>3401</v>
      </c>
      <c r="Q47" s="21">
        <f t="shared" si="20"/>
        <v>0.65</v>
      </c>
      <c r="R47" s="661" t="e">
        <f t="shared" ca="1" si="21"/>
        <v>#DIV/0!</v>
      </c>
      <c r="S47" s="316" t="e">
        <f t="shared" ca="1" si="12"/>
        <v>#DIV/0!</v>
      </c>
    </row>
    <row r="48" spans="1:19">
      <c r="A48" s="663">
        <f>Sheet1!A57</f>
        <v>0</v>
      </c>
      <c r="B48" s="663">
        <f>Sheet1!C57</f>
        <v>0</v>
      </c>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t="s">
        <v>3400</v>
      </c>
      <c r="Q48" s="21">
        <f t="shared" si="20"/>
        <v>1</v>
      </c>
      <c r="R48" s="661" t="e">
        <f t="shared" ca="1" si="21"/>
        <v>#DIV/0!</v>
      </c>
      <c r="S48" s="316" t="e">
        <f t="shared" ca="1" si="12"/>
        <v>#DIV/0!</v>
      </c>
    </row>
    <row r="49" spans="1:19">
      <c r="A49" s="663">
        <f>Sheet1!A58</f>
        <v>0</v>
      </c>
      <c r="B49" s="663">
        <f>Sheet1!C58</f>
        <v>0</v>
      </c>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t="s">
        <v>3400</v>
      </c>
      <c r="Q49" s="21">
        <f t="shared" si="20"/>
        <v>1</v>
      </c>
      <c r="R49" s="661" t="e">
        <f t="shared" ca="1" si="21"/>
        <v>#DIV/0!</v>
      </c>
      <c r="S49" s="316" t="e">
        <f t="shared" ca="1" si="12"/>
        <v>#DIV/0!</v>
      </c>
    </row>
    <row r="50" spans="1:19">
      <c r="A50" s="663">
        <f>Sheet1!A59</f>
        <v>0</v>
      </c>
      <c r="B50" s="663">
        <f>Sheet1!C59</f>
        <v>0</v>
      </c>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t="s">
        <v>3400</v>
      </c>
      <c r="Q50" s="21">
        <f t="shared" si="20"/>
        <v>1</v>
      </c>
      <c r="R50" s="661" t="e">
        <f t="shared" ca="1" si="21"/>
        <v>#DIV/0!</v>
      </c>
      <c r="S50" s="316" t="e">
        <f t="shared" ca="1" si="12"/>
        <v>#DIV/0!</v>
      </c>
    </row>
    <row r="51" spans="1:19">
      <c r="A51" s="663">
        <f>Sheet1!A60</f>
        <v>0</v>
      </c>
      <c r="B51" s="663">
        <f>Sheet1!C60</f>
        <v>0</v>
      </c>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t="s">
        <v>3400</v>
      </c>
      <c r="Q51" s="21">
        <f t="shared" si="20"/>
        <v>1</v>
      </c>
      <c r="R51" s="661" t="e">
        <f t="shared" ca="1" si="21"/>
        <v>#DIV/0!</v>
      </c>
      <c r="S51" s="316" t="e">
        <f t="shared" ca="1" si="12"/>
        <v>#DIV/0!</v>
      </c>
    </row>
    <row r="52" spans="1:19">
      <c r="A52" s="663">
        <f>Sheet1!A61</f>
        <v>0</v>
      </c>
      <c r="B52" s="663">
        <f>Sheet1!C61</f>
        <v>0</v>
      </c>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t="s">
        <v>3400</v>
      </c>
      <c r="Q52" s="21">
        <f t="shared" si="20"/>
        <v>1</v>
      </c>
      <c r="R52" s="661" t="e">
        <f t="shared" ca="1" si="21"/>
        <v>#DIV/0!</v>
      </c>
      <c r="S52" s="316" t="e">
        <f t="shared" ca="1" si="12"/>
        <v>#DIV/0!</v>
      </c>
    </row>
    <row r="53" spans="1:19">
      <c r="A53" s="663">
        <f>Sheet1!A62</f>
        <v>0</v>
      </c>
      <c r="B53" s="663">
        <f>Sheet1!C62</f>
        <v>0</v>
      </c>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t="s">
        <v>3400</v>
      </c>
      <c r="Q53" s="21">
        <f t="shared" si="20"/>
        <v>1</v>
      </c>
      <c r="R53" s="661" t="e">
        <f t="shared" ca="1" si="21"/>
        <v>#DIV/0!</v>
      </c>
      <c r="S53" s="316" t="e">
        <f t="shared" ca="1" si="12"/>
        <v>#DIV/0!</v>
      </c>
    </row>
    <row r="54" spans="1:19">
      <c r="A54" s="663">
        <f>Sheet1!A63</f>
        <v>0</v>
      </c>
      <c r="B54" s="663">
        <f>Sheet1!C63</f>
        <v>0</v>
      </c>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t="s">
        <v>3400</v>
      </c>
      <c r="Q54" s="21">
        <f t="shared" si="20"/>
        <v>1</v>
      </c>
      <c r="R54" s="661" t="e">
        <f t="shared" ca="1" si="21"/>
        <v>#DIV/0!</v>
      </c>
      <c r="S54" s="316" t="e">
        <f t="shared" ca="1" si="12"/>
        <v>#DIV/0!</v>
      </c>
    </row>
    <row r="55" spans="1:19">
      <c r="A55" s="663">
        <f>Sheet1!A64</f>
        <v>0</v>
      </c>
      <c r="B55" s="663">
        <f>Sheet1!C64</f>
        <v>0</v>
      </c>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t="s">
        <v>3400</v>
      </c>
      <c r="Q55" s="21">
        <f t="shared" si="20"/>
        <v>1</v>
      </c>
      <c r="R55" s="661" t="e">
        <f t="shared" ca="1" si="21"/>
        <v>#DIV/0!</v>
      </c>
      <c r="S55" s="316" t="e">
        <f t="shared" ref="S55:S77" ca="1" si="22">ROUND(R55*B55/10000,0)</f>
        <v>#DIV/0!</v>
      </c>
    </row>
    <row r="56" spans="1:19">
      <c r="A56" s="663">
        <f>Sheet1!A65</f>
        <v>0</v>
      </c>
      <c r="B56" s="663">
        <f>Sheet1!C65</f>
        <v>0</v>
      </c>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t="s">
        <v>3400</v>
      </c>
      <c r="Q56" s="21">
        <f t="shared" si="20"/>
        <v>1</v>
      </c>
      <c r="R56" s="661" t="e">
        <f t="shared" ca="1" si="21"/>
        <v>#DIV/0!</v>
      </c>
      <c r="S56" s="316" t="e">
        <f t="shared" ca="1" si="22"/>
        <v>#DIV/0!</v>
      </c>
    </row>
    <row r="57" spans="1:19">
      <c r="A57" s="663">
        <f>Sheet1!A66</f>
        <v>0</v>
      </c>
      <c r="B57" s="663">
        <f>Sheet1!C66</f>
        <v>0</v>
      </c>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t="s">
        <v>3400</v>
      </c>
      <c r="Q57" s="21">
        <f t="shared" si="20"/>
        <v>1</v>
      </c>
      <c r="R57" s="661" t="e">
        <f t="shared" ca="1" si="21"/>
        <v>#DIV/0!</v>
      </c>
      <c r="S57" s="316" t="e">
        <f t="shared" ca="1" si="22"/>
        <v>#DIV/0!</v>
      </c>
    </row>
    <row r="58" spans="1:19">
      <c r="A58" s="663">
        <f>Sheet1!A67</f>
        <v>0</v>
      </c>
      <c r="B58" s="663">
        <f>Sheet1!C67</f>
        <v>0</v>
      </c>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t="s">
        <v>3400</v>
      </c>
      <c r="Q58" s="21">
        <f t="shared" si="20"/>
        <v>1</v>
      </c>
      <c r="R58" s="661" t="e">
        <f t="shared" ca="1" si="21"/>
        <v>#DIV/0!</v>
      </c>
      <c r="S58" s="316" t="e">
        <f t="shared" ca="1" si="22"/>
        <v>#DIV/0!</v>
      </c>
    </row>
    <row r="59" spans="1:19">
      <c r="A59" s="663">
        <f>Sheet1!A68</f>
        <v>0</v>
      </c>
      <c r="B59" s="663">
        <f>Sheet1!C68</f>
        <v>0</v>
      </c>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t="s">
        <v>3400</v>
      </c>
      <c r="Q59" s="21">
        <f t="shared" si="20"/>
        <v>1</v>
      </c>
      <c r="R59" s="661" t="e">
        <f t="shared" ca="1" si="21"/>
        <v>#DIV/0!</v>
      </c>
      <c r="S59" s="316" t="e">
        <f t="shared" ca="1" si="22"/>
        <v>#DIV/0!</v>
      </c>
    </row>
    <row r="60" spans="1:19">
      <c r="A60" s="663">
        <f>Sheet1!A69</f>
        <v>0</v>
      </c>
      <c r="B60" s="663">
        <f>Sheet1!C69</f>
        <v>0</v>
      </c>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t="s">
        <v>3400</v>
      </c>
      <c r="Q60" s="21">
        <f t="shared" si="20"/>
        <v>1</v>
      </c>
      <c r="R60" s="661" t="e">
        <f t="shared" ca="1" si="21"/>
        <v>#DIV/0!</v>
      </c>
      <c r="S60" s="316" t="e">
        <f t="shared" ca="1" si="22"/>
        <v>#DIV/0!</v>
      </c>
    </row>
    <row r="61" spans="1:19">
      <c r="A61" s="663">
        <f>Sheet1!A70</f>
        <v>0</v>
      </c>
      <c r="B61" s="663">
        <f>Sheet1!C70</f>
        <v>0</v>
      </c>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t="s">
        <v>3400</v>
      </c>
      <c r="Q61" s="21">
        <f t="shared" si="20"/>
        <v>1</v>
      </c>
      <c r="R61" s="661" t="e">
        <f t="shared" ca="1" si="21"/>
        <v>#DIV/0!</v>
      </c>
      <c r="S61" s="316" t="e">
        <f t="shared" ca="1" si="22"/>
        <v>#DIV/0!</v>
      </c>
    </row>
    <row r="62" spans="1:19">
      <c r="A62" s="663">
        <f>Sheet1!A71</f>
        <v>0</v>
      </c>
      <c r="B62" s="663">
        <f>Sheet1!C71</f>
        <v>0</v>
      </c>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t="s">
        <v>3400</v>
      </c>
      <c r="Q62" s="21">
        <f t="shared" si="20"/>
        <v>1</v>
      </c>
      <c r="R62" s="661" t="e">
        <f t="shared" ca="1" si="21"/>
        <v>#DIV/0!</v>
      </c>
      <c r="S62" s="316" t="e">
        <f t="shared" ca="1" si="22"/>
        <v>#DIV/0!</v>
      </c>
    </row>
    <row r="63" spans="1:19">
      <c r="A63" s="663">
        <f>Sheet1!A72</f>
        <v>0</v>
      </c>
      <c r="B63" s="663">
        <f>Sheet1!C72</f>
        <v>0</v>
      </c>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t="s">
        <v>3401</v>
      </c>
      <c r="Q63" s="21">
        <f t="shared" si="20"/>
        <v>0.65</v>
      </c>
      <c r="R63" s="661" t="e">
        <f t="shared" ca="1" si="21"/>
        <v>#DIV/0!</v>
      </c>
      <c r="S63" s="316" t="e">
        <f t="shared" ca="1" si="22"/>
        <v>#DIV/0!</v>
      </c>
    </row>
    <row r="64" spans="1:19">
      <c r="A64" s="663">
        <f>Sheet1!A73</f>
        <v>0</v>
      </c>
      <c r="B64" s="663">
        <f>Sheet1!C73</f>
        <v>0</v>
      </c>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t="s">
        <v>3401</v>
      </c>
      <c r="Q64" s="21">
        <f t="shared" si="20"/>
        <v>0.65</v>
      </c>
      <c r="R64" s="661" t="e">
        <f t="shared" ca="1" si="21"/>
        <v>#DIV/0!</v>
      </c>
      <c r="S64" s="316" t="e">
        <f t="shared" ca="1" si="22"/>
        <v>#DIV/0!</v>
      </c>
    </row>
    <row r="65" spans="1:19">
      <c r="A65" s="663">
        <f>Sheet1!A74</f>
        <v>0</v>
      </c>
      <c r="B65" s="663">
        <f>Sheet1!C74</f>
        <v>0</v>
      </c>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t="s">
        <v>3401</v>
      </c>
      <c r="Q65" s="21">
        <f t="shared" si="20"/>
        <v>0.65</v>
      </c>
      <c r="R65" s="661" t="e">
        <f t="shared" ca="1" si="21"/>
        <v>#DIV/0!</v>
      </c>
      <c r="S65" s="316" t="e">
        <f t="shared" ca="1" si="22"/>
        <v>#DIV/0!</v>
      </c>
    </row>
    <row r="66" spans="1:19">
      <c r="A66" s="663">
        <f>Sheet1!A75</f>
        <v>0</v>
      </c>
      <c r="B66" s="663">
        <f>Sheet1!C75</f>
        <v>0</v>
      </c>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t="s">
        <v>3401</v>
      </c>
      <c r="Q66" s="21">
        <f t="shared" si="20"/>
        <v>0.65</v>
      </c>
      <c r="R66" s="661" t="e">
        <f t="shared" ca="1" si="21"/>
        <v>#DIV/0!</v>
      </c>
      <c r="S66" s="316" t="e">
        <f t="shared" ca="1" si="22"/>
        <v>#DIV/0!</v>
      </c>
    </row>
    <row r="67" spans="1:19">
      <c r="A67" s="663">
        <f>Sheet1!A76</f>
        <v>0</v>
      </c>
      <c r="B67" s="663">
        <f>Sheet1!C76</f>
        <v>0</v>
      </c>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t="s">
        <v>3401</v>
      </c>
      <c r="Q67" s="21">
        <f t="shared" si="20"/>
        <v>0.65</v>
      </c>
      <c r="R67" s="661" t="e">
        <f t="shared" ca="1" si="21"/>
        <v>#DIV/0!</v>
      </c>
      <c r="S67" s="316" t="e">
        <f t="shared" ca="1" si="22"/>
        <v>#DIV/0!</v>
      </c>
    </row>
    <row r="68" spans="1:19">
      <c r="A68" s="663">
        <f>Sheet1!A77</f>
        <v>0</v>
      </c>
      <c r="B68" s="663">
        <f>Sheet1!C77</f>
        <v>0</v>
      </c>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t="s">
        <v>3401</v>
      </c>
      <c r="Q68" s="21">
        <f t="shared" si="20"/>
        <v>0.65</v>
      </c>
      <c r="R68" s="661" t="e">
        <f t="shared" ca="1" si="21"/>
        <v>#DIV/0!</v>
      </c>
      <c r="S68" s="316" t="e">
        <f t="shared" ca="1" si="22"/>
        <v>#DIV/0!</v>
      </c>
    </row>
    <row r="69" spans="1:19">
      <c r="A69" s="663">
        <f>Sheet1!A78</f>
        <v>0</v>
      </c>
      <c r="B69" s="663">
        <f>Sheet1!C78</f>
        <v>0</v>
      </c>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t="s">
        <v>3401</v>
      </c>
      <c r="Q69" s="21">
        <f t="shared" si="20"/>
        <v>0.65</v>
      </c>
      <c r="R69" s="661" t="e">
        <f t="shared" ca="1" si="21"/>
        <v>#DIV/0!</v>
      </c>
      <c r="S69" s="316" t="e">
        <f t="shared" ca="1" si="22"/>
        <v>#DIV/0!</v>
      </c>
    </row>
    <row r="70" spans="1:19">
      <c r="A70" s="663">
        <f>Sheet1!A79</f>
        <v>0</v>
      </c>
      <c r="B70" s="663">
        <f>Sheet1!C79</f>
        <v>0</v>
      </c>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t="s">
        <v>3401</v>
      </c>
      <c r="Q70" s="21">
        <f t="shared" si="20"/>
        <v>0.65</v>
      </c>
      <c r="R70" s="661" t="e">
        <f t="shared" ca="1" si="21"/>
        <v>#DIV/0!</v>
      </c>
      <c r="S70" s="316" t="e">
        <f t="shared" ca="1" si="22"/>
        <v>#DIV/0!</v>
      </c>
    </row>
    <row r="71" spans="1:19">
      <c r="A71" s="663">
        <f>Sheet1!A80</f>
        <v>0</v>
      </c>
      <c r="B71" s="663">
        <f>Sheet1!C80</f>
        <v>0</v>
      </c>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t="s">
        <v>3401</v>
      </c>
      <c r="Q71" s="21">
        <f t="shared" si="20"/>
        <v>0.65</v>
      </c>
      <c r="R71" s="661" t="e">
        <f t="shared" ca="1" si="21"/>
        <v>#DIV/0!</v>
      </c>
      <c r="S71" s="316" t="e">
        <f t="shared" ca="1" si="22"/>
        <v>#DIV/0!</v>
      </c>
    </row>
    <row r="72" spans="1:19">
      <c r="A72" s="663">
        <f>Sheet1!A81</f>
        <v>0</v>
      </c>
      <c r="B72" s="663">
        <f>Sheet1!C81</f>
        <v>0</v>
      </c>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t="s">
        <v>3401</v>
      </c>
      <c r="Q72" s="21">
        <f t="shared" si="20"/>
        <v>0.65</v>
      </c>
      <c r="R72" s="661" t="e">
        <f t="shared" ca="1" si="21"/>
        <v>#DIV/0!</v>
      </c>
      <c r="S72" s="316" t="e">
        <f t="shared" ca="1" si="22"/>
        <v>#DIV/0!</v>
      </c>
    </row>
    <row r="73" spans="1:19">
      <c r="A73" s="663">
        <f>Sheet1!A82</f>
        <v>0</v>
      </c>
      <c r="B73" s="663">
        <f>Sheet1!C82</f>
        <v>0</v>
      </c>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t="s">
        <v>3401</v>
      </c>
      <c r="Q73" s="21">
        <f t="shared" si="20"/>
        <v>0.65</v>
      </c>
      <c r="R73" s="661" t="e">
        <f t="shared" ca="1" si="21"/>
        <v>#DIV/0!</v>
      </c>
      <c r="S73" s="316" t="e">
        <f t="shared" ca="1" si="22"/>
        <v>#DIV/0!</v>
      </c>
    </row>
    <row r="74" spans="1:19">
      <c r="A74" s="663">
        <f>Sheet1!A83</f>
        <v>0</v>
      </c>
      <c r="B74" s="663">
        <f>Sheet1!C83</f>
        <v>0</v>
      </c>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t="s">
        <v>3401</v>
      </c>
      <c r="Q74" s="21">
        <f t="shared" si="20"/>
        <v>0.65</v>
      </c>
      <c r="R74" s="661" t="e">
        <f t="shared" ca="1" si="21"/>
        <v>#DIV/0!</v>
      </c>
      <c r="S74" s="316" t="e">
        <f t="shared" ca="1" si="22"/>
        <v>#DIV/0!</v>
      </c>
    </row>
    <row r="75" spans="1:19">
      <c r="A75" s="663"/>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0</v>
      </c>
      <c r="R75" s="661">
        <f t="shared" si="21"/>
        <v>0</v>
      </c>
      <c r="S75" s="316">
        <f t="shared" si="22"/>
        <v>0</v>
      </c>
    </row>
    <row r="76" spans="1:19">
      <c r="A76" s="663"/>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0</v>
      </c>
      <c r="R76" s="661">
        <f t="shared" si="21"/>
        <v>0</v>
      </c>
      <c r="S76" s="316">
        <f t="shared" si="22"/>
        <v>0</v>
      </c>
    </row>
    <row r="77" spans="1:19">
      <c r="A77" s="663"/>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0</v>
      </c>
      <c r="R77" s="661">
        <f t="shared" si="21"/>
        <v>0</v>
      </c>
      <c r="S77" s="316">
        <f t="shared" si="22"/>
        <v>0</v>
      </c>
    </row>
    <row r="78" spans="1:19">
      <c r="A78" s="663"/>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0</v>
      </c>
      <c r="R78" s="661">
        <f t="shared" si="21"/>
        <v>0</v>
      </c>
      <c r="S78" s="316">
        <f t="shared" ref="S78:S122" si="23">ROUND(R78*B78/10000,0)</f>
        <v>0</v>
      </c>
    </row>
    <row r="79" spans="1:19">
      <c r="A79" s="663"/>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0</v>
      </c>
      <c r="R79" s="661">
        <f t="shared" si="21"/>
        <v>0</v>
      </c>
      <c r="S79" s="316">
        <f t="shared" si="23"/>
        <v>0</v>
      </c>
    </row>
    <row r="80" spans="1:19">
      <c r="A80" s="663"/>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0</v>
      </c>
      <c r="R80" s="661">
        <f t="shared" si="21"/>
        <v>0</v>
      </c>
      <c r="S80" s="316">
        <f t="shared" si="23"/>
        <v>0</v>
      </c>
    </row>
    <row r="81" spans="1:19">
      <c r="A81" s="663"/>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0</v>
      </c>
      <c r="R81" s="661">
        <f t="shared" si="21"/>
        <v>0</v>
      </c>
      <c r="S81" s="316">
        <f t="shared" si="23"/>
        <v>0</v>
      </c>
    </row>
    <row r="82" spans="1:19">
      <c r="A82" s="663"/>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0</v>
      </c>
      <c r="R82" s="661">
        <f t="shared" si="21"/>
        <v>0</v>
      </c>
      <c r="S82" s="316">
        <f t="shared" si="23"/>
        <v>0</v>
      </c>
    </row>
    <row r="83" spans="1:19">
      <c r="A83" s="663"/>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0</v>
      </c>
      <c r="R83" s="661">
        <f t="shared" si="21"/>
        <v>0</v>
      </c>
      <c r="S83" s="316">
        <f t="shared" si="23"/>
        <v>0</v>
      </c>
    </row>
    <row r="84" spans="1:19">
      <c r="A84" s="663"/>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0</v>
      </c>
      <c r="R84" s="661">
        <f t="shared" si="21"/>
        <v>0</v>
      </c>
      <c r="S84" s="316">
        <f t="shared" si="23"/>
        <v>0</v>
      </c>
    </row>
    <row r="85" spans="1:19">
      <c r="A85" s="663"/>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0</v>
      </c>
      <c r="R85" s="661">
        <f t="shared" si="21"/>
        <v>0</v>
      </c>
      <c r="S85" s="316">
        <f t="shared" si="23"/>
        <v>0</v>
      </c>
    </row>
    <row r="86" spans="1:19">
      <c r="A86" s="663"/>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0</v>
      </c>
      <c r="R86" s="661">
        <f t="shared" si="21"/>
        <v>0</v>
      </c>
      <c r="S86" s="316">
        <f t="shared" si="23"/>
        <v>0</v>
      </c>
    </row>
    <row r="87" spans="1:19">
      <c r="A87" s="663"/>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0</v>
      </c>
      <c r="R87" s="661">
        <f t="shared" si="21"/>
        <v>0</v>
      </c>
      <c r="S87" s="316">
        <f t="shared" si="23"/>
        <v>0</v>
      </c>
    </row>
    <row r="88" spans="1:19">
      <c r="A88" s="663"/>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0</v>
      </c>
      <c r="R88" s="661">
        <f t="shared" si="21"/>
        <v>0</v>
      </c>
      <c r="S88" s="316">
        <f t="shared" si="23"/>
        <v>0</v>
      </c>
    </row>
    <row r="89" spans="1:19">
      <c r="A89" s="663"/>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0</v>
      </c>
      <c r="R89" s="661">
        <f t="shared" si="21"/>
        <v>0</v>
      </c>
      <c r="S89" s="316">
        <f t="shared" si="23"/>
        <v>0</v>
      </c>
    </row>
    <row r="90" spans="1:19">
      <c r="A90" s="663"/>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0</v>
      </c>
      <c r="R90" s="661">
        <f t="shared" ref="R90:R153" si="32">IF(B90="",0,ROUND($R$24*C90*E90*G90*I90*K90*M90*O90*Q90,0))</f>
        <v>0</v>
      </c>
      <c r="S90" s="316">
        <f t="shared" si="23"/>
        <v>0</v>
      </c>
    </row>
    <row r="91" spans="1:19">
      <c r="A91" s="663"/>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0</v>
      </c>
      <c r="R91" s="661">
        <f t="shared" si="32"/>
        <v>0</v>
      </c>
      <c r="S91" s="316">
        <f t="shared" si="23"/>
        <v>0</v>
      </c>
    </row>
    <row r="92" spans="1:19">
      <c r="A92" s="663"/>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0</v>
      </c>
      <c r="R92" s="661">
        <f t="shared" si="32"/>
        <v>0</v>
      </c>
      <c r="S92" s="316">
        <f t="shared" si="23"/>
        <v>0</v>
      </c>
    </row>
    <row r="93" spans="1:19">
      <c r="A93" s="663"/>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0</v>
      </c>
      <c r="R93" s="661">
        <f t="shared" si="32"/>
        <v>0</v>
      </c>
      <c r="S93" s="316">
        <f t="shared" si="23"/>
        <v>0</v>
      </c>
    </row>
    <row r="94" spans="1:19">
      <c r="A94" s="663"/>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0</v>
      </c>
      <c r="R94" s="661">
        <f t="shared" si="32"/>
        <v>0</v>
      </c>
      <c r="S94" s="316">
        <f t="shared" si="23"/>
        <v>0</v>
      </c>
    </row>
    <row r="95" spans="1:19">
      <c r="A95" s="663"/>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0</v>
      </c>
      <c r="R95" s="661">
        <f t="shared" si="32"/>
        <v>0</v>
      </c>
      <c r="S95" s="316">
        <f t="shared" si="23"/>
        <v>0</v>
      </c>
    </row>
    <row r="96" spans="1:19">
      <c r="A96" s="663"/>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0</v>
      </c>
      <c r="R96" s="661">
        <f t="shared" si="32"/>
        <v>0</v>
      </c>
      <c r="S96" s="316">
        <f t="shared" si="23"/>
        <v>0</v>
      </c>
    </row>
    <row r="97" spans="1:19">
      <c r="A97" s="663"/>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0</v>
      </c>
      <c r="R97" s="661">
        <f t="shared" si="32"/>
        <v>0</v>
      </c>
      <c r="S97" s="316">
        <f t="shared" si="23"/>
        <v>0</v>
      </c>
    </row>
    <row r="98" spans="1:19">
      <c r="A98" s="663"/>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0</v>
      </c>
      <c r="R98" s="661">
        <f t="shared" si="32"/>
        <v>0</v>
      </c>
      <c r="S98" s="316">
        <f t="shared" si="23"/>
        <v>0</v>
      </c>
    </row>
    <row r="99" spans="1:19">
      <c r="A99" s="663"/>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0</v>
      </c>
      <c r="R99" s="661">
        <f t="shared" si="32"/>
        <v>0</v>
      </c>
      <c r="S99" s="316">
        <f t="shared" si="23"/>
        <v>0</v>
      </c>
    </row>
    <row r="100" spans="1:19">
      <c r="A100" s="663"/>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0</v>
      </c>
      <c r="R100" s="661">
        <f t="shared" si="32"/>
        <v>0</v>
      </c>
      <c r="S100" s="316">
        <f t="shared" si="23"/>
        <v>0</v>
      </c>
    </row>
    <row r="101" spans="1:19">
      <c r="A101" s="663"/>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0</v>
      </c>
      <c r="R101" s="661">
        <f t="shared" si="32"/>
        <v>0</v>
      </c>
      <c r="S101" s="316">
        <f t="shared" si="23"/>
        <v>0</v>
      </c>
    </row>
    <row r="102" spans="1:19">
      <c r="A102" s="663"/>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0</v>
      </c>
      <c r="R102" s="661">
        <f t="shared" si="32"/>
        <v>0</v>
      </c>
      <c r="S102" s="316">
        <f t="shared" si="23"/>
        <v>0</v>
      </c>
    </row>
    <row r="103" spans="1:19">
      <c r="A103" s="663"/>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0</v>
      </c>
      <c r="R103" s="661">
        <f t="shared" si="32"/>
        <v>0</v>
      </c>
      <c r="S103" s="316">
        <f t="shared" si="23"/>
        <v>0</v>
      </c>
    </row>
    <row r="104" spans="1:19">
      <c r="A104" s="663"/>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0</v>
      </c>
      <c r="R104" s="661">
        <f t="shared" si="32"/>
        <v>0</v>
      </c>
      <c r="S104" s="316">
        <f t="shared" si="23"/>
        <v>0</v>
      </c>
    </row>
    <row r="105" spans="1:19">
      <c r="A105" s="663"/>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0</v>
      </c>
      <c r="R105" s="661">
        <f t="shared" si="32"/>
        <v>0</v>
      </c>
      <c r="S105" s="316">
        <f t="shared" si="23"/>
        <v>0</v>
      </c>
    </row>
    <row r="106" spans="1:19">
      <c r="A106" s="663"/>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0</v>
      </c>
      <c r="R106" s="661">
        <f t="shared" si="32"/>
        <v>0</v>
      </c>
      <c r="S106" s="316">
        <f t="shared" si="23"/>
        <v>0</v>
      </c>
    </row>
    <row r="107" spans="1:19">
      <c r="A107" s="663"/>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0</v>
      </c>
      <c r="R107" s="661">
        <f t="shared" si="32"/>
        <v>0</v>
      </c>
      <c r="S107" s="316">
        <f t="shared" si="23"/>
        <v>0</v>
      </c>
    </row>
    <row r="108" spans="1:19">
      <c r="A108" s="663"/>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0</v>
      </c>
      <c r="R108" s="661">
        <f t="shared" si="32"/>
        <v>0</v>
      </c>
      <c r="S108" s="316">
        <f t="shared" si="23"/>
        <v>0</v>
      </c>
    </row>
    <row r="109" spans="1:19">
      <c r="A109" s="663"/>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0</v>
      </c>
      <c r="R109" s="661">
        <f t="shared" si="32"/>
        <v>0</v>
      </c>
      <c r="S109" s="316">
        <f t="shared" si="23"/>
        <v>0</v>
      </c>
    </row>
    <row r="110" spans="1:19">
      <c r="A110" s="663"/>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0</v>
      </c>
      <c r="R110" s="661">
        <f t="shared" si="32"/>
        <v>0</v>
      </c>
      <c r="S110" s="316">
        <f t="shared" si="23"/>
        <v>0</v>
      </c>
    </row>
    <row r="111" spans="1:19">
      <c r="A111" s="663"/>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0</v>
      </c>
      <c r="R111" s="661">
        <f t="shared" si="32"/>
        <v>0</v>
      </c>
      <c r="S111" s="316">
        <f t="shared" si="23"/>
        <v>0</v>
      </c>
    </row>
    <row r="112" spans="1:19">
      <c r="A112" s="663"/>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0</v>
      </c>
      <c r="R112" s="661">
        <f t="shared" si="32"/>
        <v>0</v>
      </c>
      <c r="S112" s="316">
        <f t="shared" si="23"/>
        <v>0</v>
      </c>
    </row>
    <row r="113" spans="1:19">
      <c r="A113" s="663"/>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0</v>
      </c>
      <c r="R113" s="661">
        <f t="shared" si="32"/>
        <v>0</v>
      </c>
      <c r="S113" s="316">
        <f t="shared" si="23"/>
        <v>0</v>
      </c>
    </row>
    <row r="114" spans="1:19">
      <c r="A114" s="663"/>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0</v>
      </c>
      <c r="R114" s="661">
        <f t="shared" si="32"/>
        <v>0</v>
      </c>
      <c r="S114" s="316">
        <f t="shared" si="23"/>
        <v>0</v>
      </c>
    </row>
    <row r="115" spans="1:19">
      <c r="A115" s="663"/>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0</v>
      </c>
      <c r="R115" s="661">
        <f t="shared" si="32"/>
        <v>0</v>
      </c>
      <c r="S115" s="316">
        <f t="shared" si="23"/>
        <v>0</v>
      </c>
    </row>
    <row r="116" spans="1:19">
      <c r="A116" s="663"/>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0</v>
      </c>
      <c r="R116" s="661">
        <f t="shared" si="32"/>
        <v>0</v>
      </c>
      <c r="S116" s="316">
        <f t="shared" si="23"/>
        <v>0</v>
      </c>
    </row>
    <row r="117" spans="1:19">
      <c r="A117" s="663"/>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0</v>
      </c>
      <c r="R117" s="661">
        <f t="shared" si="32"/>
        <v>0</v>
      </c>
      <c r="S117" s="316">
        <f t="shared" si="23"/>
        <v>0</v>
      </c>
    </row>
    <row r="118" spans="1:19">
      <c r="A118" s="663"/>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0</v>
      </c>
      <c r="R118" s="661">
        <f t="shared" si="32"/>
        <v>0</v>
      </c>
      <c r="S118" s="316">
        <f t="shared" si="23"/>
        <v>0</v>
      </c>
    </row>
    <row r="119" spans="1:19">
      <c r="A119" s="663"/>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0</v>
      </c>
      <c r="R119" s="661">
        <f t="shared" si="32"/>
        <v>0</v>
      </c>
      <c r="S119" s="316">
        <f t="shared" si="23"/>
        <v>0</v>
      </c>
    </row>
    <row r="120" spans="1:19">
      <c r="A120" s="663"/>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0</v>
      </c>
      <c r="R120" s="661">
        <f t="shared" si="32"/>
        <v>0</v>
      </c>
      <c r="S120" s="316">
        <f t="shared" si="23"/>
        <v>0</v>
      </c>
    </row>
    <row r="121" spans="1:19">
      <c r="A121" s="663"/>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0</v>
      </c>
      <c r="R121" s="661">
        <f t="shared" si="32"/>
        <v>0</v>
      </c>
      <c r="S121" s="316">
        <f t="shared" si="23"/>
        <v>0</v>
      </c>
    </row>
    <row r="122" spans="1:19">
      <c r="A122" s="663"/>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0</v>
      </c>
      <c r="R122" s="661">
        <f t="shared" si="32"/>
        <v>0</v>
      </c>
      <c r="S122" s="316">
        <f t="shared" si="23"/>
        <v>0</v>
      </c>
    </row>
    <row r="123" spans="1:19">
      <c r="A123" s="663"/>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0</v>
      </c>
      <c r="R123" s="661">
        <f t="shared" si="32"/>
        <v>0</v>
      </c>
      <c r="S123" s="316">
        <f t="shared" ref="S123:S186" si="33">ROUND(R123*B123/10000,0)</f>
        <v>0</v>
      </c>
    </row>
    <row r="124" spans="1:19">
      <c r="A124" s="663"/>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0</v>
      </c>
      <c r="R124" s="661">
        <f t="shared" si="32"/>
        <v>0</v>
      </c>
      <c r="S124" s="316">
        <f t="shared" si="33"/>
        <v>0</v>
      </c>
    </row>
    <row r="125" spans="1:19">
      <c r="A125" s="663"/>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0</v>
      </c>
      <c r="R125" s="661">
        <f t="shared" si="32"/>
        <v>0</v>
      </c>
      <c r="S125" s="316">
        <f t="shared" si="33"/>
        <v>0</v>
      </c>
    </row>
    <row r="126" spans="1:19">
      <c r="A126" s="663"/>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0</v>
      </c>
      <c r="R126" s="661">
        <f t="shared" si="32"/>
        <v>0</v>
      </c>
      <c r="S126" s="316">
        <f t="shared" si="33"/>
        <v>0</v>
      </c>
    </row>
    <row r="127" spans="1:19">
      <c r="A127" s="150"/>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0</v>
      </c>
      <c r="R127" s="661">
        <f t="shared" si="32"/>
        <v>0</v>
      </c>
      <c r="S127" s="316">
        <f t="shared" si="33"/>
        <v>0</v>
      </c>
    </row>
    <row r="128" spans="1:19">
      <c r="A128" s="150"/>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0</v>
      </c>
      <c r="R128" s="661">
        <f t="shared" si="32"/>
        <v>0</v>
      </c>
      <c r="S128" s="316">
        <f t="shared" si="33"/>
        <v>0</v>
      </c>
    </row>
    <row r="129" spans="1:19">
      <c r="A129" s="150"/>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0</v>
      </c>
      <c r="R129" s="661">
        <f t="shared" si="32"/>
        <v>0</v>
      </c>
      <c r="S129" s="316">
        <f t="shared" si="33"/>
        <v>0</v>
      </c>
    </row>
    <row r="130" spans="1:19">
      <c r="A130" s="150"/>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0</v>
      </c>
      <c r="R130" s="661">
        <f t="shared" si="32"/>
        <v>0</v>
      </c>
      <c r="S130" s="316">
        <f t="shared" si="33"/>
        <v>0</v>
      </c>
    </row>
    <row r="131" spans="1:19">
      <c r="A131" s="150"/>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0</v>
      </c>
      <c r="R131" s="661">
        <f t="shared" si="32"/>
        <v>0</v>
      </c>
      <c r="S131" s="316">
        <f t="shared" si="33"/>
        <v>0</v>
      </c>
    </row>
    <row r="132" spans="1:19">
      <c r="A132" s="150"/>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0</v>
      </c>
      <c r="R132" s="661">
        <f t="shared" si="32"/>
        <v>0</v>
      </c>
      <c r="S132" s="316">
        <f t="shared" si="33"/>
        <v>0</v>
      </c>
    </row>
    <row r="133" spans="1:19">
      <c r="A133" s="150"/>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0</v>
      </c>
      <c r="R133" s="661">
        <f t="shared" si="32"/>
        <v>0</v>
      </c>
      <c r="S133" s="316">
        <f t="shared" si="33"/>
        <v>0</v>
      </c>
    </row>
    <row r="134" spans="1:19">
      <c r="A134" s="150"/>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0</v>
      </c>
      <c r="R134" s="661">
        <f t="shared" si="32"/>
        <v>0</v>
      </c>
      <c r="S134" s="316">
        <f t="shared" si="33"/>
        <v>0</v>
      </c>
    </row>
    <row r="135" spans="1:19">
      <c r="A135" s="150"/>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0</v>
      </c>
      <c r="R135" s="661">
        <f t="shared" si="32"/>
        <v>0</v>
      </c>
      <c r="S135" s="316">
        <f t="shared" si="33"/>
        <v>0</v>
      </c>
    </row>
    <row r="136" spans="1:19">
      <c r="A136" s="150"/>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0</v>
      </c>
      <c r="R136" s="661">
        <f t="shared" si="32"/>
        <v>0</v>
      </c>
      <c r="S136" s="316">
        <f t="shared" si="33"/>
        <v>0</v>
      </c>
    </row>
    <row r="137" spans="1:19">
      <c r="A137" s="150"/>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0</v>
      </c>
      <c r="R137" s="661">
        <f t="shared" si="32"/>
        <v>0</v>
      </c>
      <c r="S137" s="316">
        <f t="shared" si="33"/>
        <v>0</v>
      </c>
    </row>
    <row r="138" spans="1:19">
      <c r="A138" s="150"/>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0</v>
      </c>
      <c r="R138" s="661">
        <f t="shared" si="32"/>
        <v>0</v>
      </c>
      <c r="S138" s="316">
        <f t="shared" si="33"/>
        <v>0</v>
      </c>
    </row>
    <row r="139" spans="1:19">
      <c r="A139" s="150"/>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0</v>
      </c>
      <c r="R139" s="661">
        <f t="shared" si="32"/>
        <v>0</v>
      </c>
      <c r="S139" s="316">
        <f t="shared" si="33"/>
        <v>0</v>
      </c>
    </row>
    <row r="140" spans="1:19">
      <c r="A140" s="150"/>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0</v>
      </c>
      <c r="R140" s="661">
        <f t="shared" si="32"/>
        <v>0</v>
      </c>
      <c r="S140" s="316">
        <f t="shared" si="33"/>
        <v>0</v>
      </c>
    </row>
    <row r="141" spans="1:19">
      <c r="A141" s="150"/>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0</v>
      </c>
      <c r="R141" s="661">
        <f t="shared" si="32"/>
        <v>0</v>
      </c>
      <c r="S141" s="316">
        <f t="shared" si="33"/>
        <v>0</v>
      </c>
    </row>
    <row r="142" spans="1:19">
      <c r="A142" s="150"/>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0</v>
      </c>
      <c r="R142" s="661">
        <f t="shared" si="32"/>
        <v>0</v>
      </c>
      <c r="S142" s="316">
        <f t="shared" si="33"/>
        <v>0</v>
      </c>
    </row>
    <row r="143" spans="1:19">
      <c r="A143" s="150"/>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0</v>
      </c>
      <c r="R143" s="661">
        <f t="shared" si="32"/>
        <v>0</v>
      </c>
      <c r="S143" s="316">
        <f t="shared" si="33"/>
        <v>0</v>
      </c>
    </row>
    <row r="144" spans="1:19">
      <c r="A144" s="150"/>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0</v>
      </c>
      <c r="R144" s="661">
        <f t="shared" si="32"/>
        <v>0</v>
      </c>
      <c r="S144" s="316">
        <f t="shared" si="33"/>
        <v>0</v>
      </c>
    </row>
    <row r="145" spans="1:19">
      <c r="A145" s="150"/>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0</v>
      </c>
      <c r="R145" s="661">
        <f t="shared" si="32"/>
        <v>0</v>
      </c>
      <c r="S145" s="316">
        <f t="shared" si="33"/>
        <v>0</v>
      </c>
    </row>
    <row r="146" spans="1:19">
      <c r="A146" s="150"/>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0</v>
      </c>
      <c r="R146" s="661">
        <f t="shared" si="32"/>
        <v>0</v>
      </c>
      <c r="S146" s="316">
        <f t="shared" si="33"/>
        <v>0</v>
      </c>
    </row>
    <row r="147" spans="1:19">
      <c r="A147" s="150"/>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0</v>
      </c>
      <c r="R147" s="661">
        <f t="shared" si="32"/>
        <v>0</v>
      </c>
      <c r="S147" s="316">
        <f t="shared" si="33"/>
        <v>0</v>
      </c>
    </row>
    <row r="148" spans="1:19">
      <c r="A148" s="150"/>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0</v>
      </c>
      <c r="R148" s="661">
        <f t="shared" si="32"/>
        <v>0</v>
      </c>
      <c r="S148" s="316">
        <f t="shared" si="33"/>
        <v>0</v>
      </c>
    </row>
    <row r="149" spans="1:19">
      <c r="A149" s="150"/>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0</v>
      </c>
      <c r="R149" s="661">
        <f t="shared" si="32"/>
        <v>0</v>
      </c>
      <c r="S149" s="316">
        <f t="shared" si="33"/>
        <v>0</v>
      </c>
    </row>
    <row r="150" spans="1:19">
      <c r="A150" s="150"/>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0</v>
      </c>
      <c r="R150" s="661">
        <f t="shared" si="32"/>
        <v>0</v>
      </c>
      <c r="S150" s="316">
        <f t="shared" si="33"/>
        <v>0</v>
      </c>
    </row>
    <row r="151" spans="1:19">
      <c r="A151" s="150"/>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0</v>
      </c>
      <c r="R151" s="661">
        <f t="shared" si="32"/>
        <v>0</v>
      </c>
      <c r="S151" s="316">
        <f t="shared" si="33"/>
        <v>0</v>
      </c>
    </row>
    <row r="152" spans="1:19">
      <c r="A152" s="150"/>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0</v>
      </c>
      <c r="R152" s="661">
        <f t="shared" si="32"/>
        <v>0</v>
      </c>
      <c r="S152" s="316">
        <f t="shared" si="33"/>
        <v>0</v>
      </c>
    </row>
    <row r="153" spans="1:19">
      <c r="A153" s="150"/>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0</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0</v>
      </c>
      <c r="R154" s="661">
        <f t="shared" ref="R154:R217" si="42">IF(B154="",0,ROUND($R$24*C154*E154*G154*I154*K154*M154*O154*Q154,0))</f>
        <v>0</v>
      </c>
      <c r="S154" s="316">
        <f t="shared" si="33"/>
        <v>0</v>
      </c>
    </row>
    <row r="155" spans="1:19">
      <c r="A155" s="150"/>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0</v>
      </c>
      <c r="R155" s="661">
        <f t="shared" si="42"/>
        <v>0</v>
      </c>
      <c r="S155" s="316">
        <f t="shared" si="33"/>
        <v>0</v>
      </c>
    </row>
    <row r="156" spans="1:19">
      <c r="A156" s="150"/>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0</v>
      </c>
      <c r="R156" s="661">
        <f t="shared" si="42"/>
        <v>0</v>
      </c>
      <c r="S156" s="316">
        <f t="shared" si="33"/>
        <v>0</v>
      </c>
    </row>
    <row r="157" spans="1:19">
      <c r="A157" s="150"/>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0</v>
      </c>
      <c r="R157" s="661">
        <f t="shared" si="42"/>
        <v>0</v>
      </c>
      <c r="S157" s="316">
        <f t="shared" si="33"/>
        <v>0</v>
      </c>
    </row>
    <row r="158" spans="1:19">
      <c r="A158" s="150"/>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0</v>
      </c>
      <c r="R158" s="661">
        <f t="shared" si="42"/>
        <v>0</v>
      </c>
      <c r="S158" s="316">
        <f t="shared" si="33"/>
        <v>0</v>
      </c>
    </row>
    <row r="159" spans="1:19">
      <c r="A159" s="150"/>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0</v>
      </c>
      <c r="R159" s="661">
        <f t="shared" si="42"/>
        <v>0</v>
      </c>
      <c r="S159" s="316">
        <f t="shared" si="33"/>
        <v>0</v>
      </c>
    </row>
    <row r="160" spans="1:19">
      <c r="A160" s="150"/>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0</v>
      </c>
      <c r="R160" s="661">
        <f t="shared" si="42"/>
        <v>0</v>
      </c>
      <c r="S160" s="316">
        <f t="shared" si="33"/>
        <v>0</v>
      </c>
    </row>
    <row r="161" spans="1:19">
      <c r="A161" s="150"/>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0</v>
      </c>
      <c r="R161" s="661">
        <f t="shared" si="42"/>
        <v>0</v>
      </c>
      <c r="S161" s="316">
        <f t="shared" si="33"/>
        <v>0</v>
      </c>
    </row>
    <row r="162" spans="1:19">
      <c r="A162" s="150"/>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0</v>
      </c>
      <c r="R162" s="661">
        <f t="shared" si="42"/>
        <v>0</v>
      </c>
      <c r="S162" s="316">
        <f t="shared" si="33"/>
        <v>0</v>
      </c>
    </row>
    <row r="163" spans="1:19">
      <c r="A163" s="150"/>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0</v>
      </c>
      <c r="R163" s="661">
        <f t="shared" si="42"/>
        <v>0</v>
      </c>
      <c r="S163" s="316">
        <f t="shared" si="33"/>
        <v>0</v>
      </c>
    </row>
    <row r="164" spans="1:19">
      <c r="A164" s="150"/>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0</v>
      </c>
      <c r="R164" s="661">
        <f t="shared" si="42"/>
        <v>0</v>
      </c>
      <c r="S164" s="316">
        <f t="shared" si="33"/>
        <v>0</v>
      </c>
    </row>
    <row r="165" spans="1:19">
      <c r="A165" s="150"/>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0</v>
      </c>
      <c r="R165" s="661">
        <f t="shared" si="42"/>
        <v>0</v>
      </c>
      <c r="S165" s="316">
        <f t="shared" si="33"/>
        <v>0</v>
      </c>
    </row>
    <row r="166" spans="1:19">
      <c r="A166" s="150"/>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0</v>
      </c>
      <c r="R166" s="661">
        <f t="shared" si="42"/>
        <v>0</v>
      </c>
      <c r="S166" s="316">
        <f t="shared" si="33"/>
        <v>0</v>
      </c>
    </row>
    <row r="167" spans="1:19">
      <c r="A167" s="150"/>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0</v>
      </c>
      <c r="R167" s="661">
        <f t="shared" si="42"/>
        <v>0</v>
      </c>
      <c r="S167" s="316">
        <f t="shared" si="33"/>
        <v>0</v>
      </c>
    </row>
    <row r="168" spans="1:19">
      <c r="A168" s="150"/>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0</v>
      </c>
      <c r="R168" s="661">
        <f t="shared" si="42"/>
        <v>0</v>
      </c>
      <c r="S168" s="316">
        <f t="shared" si="33"/>
        <v>0</v>
      </c>
    </row>
    <row r="169" spans="1:19">
      <c r="A169" s="150"/>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0</v>
      </c>
      <c r="R169" s="661">
        <f t="shared" si="42"/>
        <v>0</v>
      </c>
      <c r="S169" s="316">
        <f t="shared" si="33"/>
        <v>0</v>
      </c>
    </row>
    <row r="170" spans="1:19">
      <c r="A170" s="150"/>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0</v>
      </c>
      <c r="R170" s="661">
        <f t="shared" si="42"/>
        <v>0</v>
      </c>
      <c r="S170" s="316">
        <f t="shared" si="33"/>
        <v>0</v>
      </c>
    </row>
    <row r="171" spans="1:19">
      <c r="A171" s="150"/>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0</v>
      </c>
      <c r="R171" s="661">
        <f t="shared" si="42"/>
        <v>0</v>
      </c>
      <c r="S171" s="316">
        <f t="shared" si="33"/>
        <v>0</v>
      </c>
    </row>
    <row r="172" spans="1:19">
      <c r="A172" s="150"/>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0</v>
      </c>
      <c r="R172" s="661">
        <f t="shared" si="42"/>
        <v>0</v>
      </c>
      <c r="S172" s="316">
        <f t="shared" si="33"/>
        <v>0</v>
      </c>
    </row>
    <row r="173" spans="1:19">
      <c r="A173" s="150"/>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0</v>
      </c>
      <c r="R173" s="661">
        <f t="shared" si="42"/>
        <v>0</v>
      </c>
      <c r="S173" s="316">
        <f t="shared" si="33"/>
        <v>0</v>
      </c>
    </row>
    <row r="174" spans="1:19">
      <c r="A174" s="150"/>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0</v>
      </c>
      <c r="R174" s="661">
        <f t="shared" si="42"/>
        <v>0</v>
      </c>
      <c r="S174" s="316">
        <f t="shared" si="33"/>
        <v>0</v>
      </c>
    </row>
    <row r="175" spans="1:19">
      <c r="A175" s="150"/>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0</v>
      </c>
      <c r="R175" s="661">
        <f t="shared" si="42"/>
        <v>0</v>
      </c>
      <c r="S175" s="316">
        <f t="shared" si="33"/>
        <v>0</v>
      </c>
    </row>
    <row r="176" spans="1:19">
      <c r="A176" s="150"/>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0</v>
      </c>
      <c r="R176" s="661">
        <f t="shared" si="42"/>
        <v>0</v>
      </c>
      <c r="S176" s="316">
        <f t="shared" si="33"/>
        <v>0</v>
      </c>
    </row>
    <row r="177" spans="1:19">
      <c r="A177" s="150"/>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0</v>
      </c>
      <c r="R177" s="661">
        <f t="shared" si="42"/>
        <v>0</v>
      </c>
      <c r="S177" s="316">
        <f t="shared" si="33"/>
        <v>0</v>
      </c>
    </row>
    <row r="178" spans="1:19">
      <c r="A178" s="150"/>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0</v>
      </c>
      <c r="R178" s="661">
        <f t="shared" si="42"/>
        <v>0</v>
      </c>
      <c r="S178" s="316">
        <f t="shared" si="33"/>
        <v>0</v>
      </c>
    </row>
    <row r="179" spans="1:19">
      <c r="A179" s="150"/>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0</v>
      </c>
      <c r="R179" s="661">
        <f t="shared" si="42"/>
        <v>0</v>
      </c>
      <c r="S179" s="316">
        <f t="shared" si="33"/>
        <v>0</v>
      </c>
    </row>
    <row r="180" spans="1:19">
      <c r="A180" s="150"/>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0</v>
      </c>
      <c r="R180" s="661">
        <f t="shared" si="42"/>
        <v>0</v>
      </c>
      <c r="S180" s="316">
        <f t="shared" si="33"/>
        <v>0</v>
      </c>
    </row>
    <row r="181" spans="1:19">
      <c r="A181" s="150"/>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0</v>
      </c>
      <c r="R181" s="661">
        <f t="shared" si="42"/>
        <v>0</v>
      </c>
      <c r="S181" s="316">
        <f t="shared" si="33"/>
        <v>0</v>
      </c>
    </row>
    <row r="182" spans="1:19">
      <c r="A182" s="150"/>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0</v>
      </c>
      <c r="R182" s="661">
        <f t="shared" si="42"/>
        <v>0</v>
      </c>
      <c r="S182" s="316">
        <f t="shared" si="33"/>
        <v>0</v>
      </c>
    </row>
    <row r="183" spans="1:19">
      <c r="A183" s="150"/>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0</v>
      </c>
      <c r="R183" s="661">
        <f t="shared" si="42"/>
        <v>0</v>
      </c>
      <c r="S183" s="316">
        <f t="shared" si="33"/>
        <v>0</v>
      </c>
    </row>
    <row r="184" spans="1:19">
      <c r="A184" s="150"/>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0</v>
      </c>
      <c r="R184" s="661">
        <f t="shared" si="42"/>
        <v>0</v>
      </c>
      <c r="S184" s="316">
        <f t="shared" si="33"/>
        <v>0</v>
      </c>
    </row>
    <row r="185" spans="1:19">
      <c r="A185" s="150"/>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0</v>
      </c>
      <c r="R185" s="661">
        <f t="shared" si="42"/>
        <v>0</v>
      </c>
      <c r="S185" s="316">
        <f t="shared" si="33"/>
        <v>0</v>
      </c>
    </row>
    <row r="186" spans="1:19">
      <c r="A186" s="150"/>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0</v>
      </c>
      <c r="R186" s="661">
        <f t="shared" si="42"/>
        <v>0</v>
      </c>
      <c r="S186" s="316">
        <f t="shared" si="33"/>
        <v>0</v>
      </c>
    </row>
    <row r="187" spans="1:19">
      <c r="A187" s="150"/>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0</v>
      </c>
      <c r="R187" s="661">
        <f t="shared" si="42"/>
        <v>0</v>
      </c>
      <c r="S187" s="316">
        <f t="shared" ref="S187:S222" si="43">ROUND(R187*B187/10000,0)</f>
        <v>0</v>
      </c>
    </row>
    <row r="188" spans="1:19">
      <c r="A188" s="150"/>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0</v>
      </c>
      <c r="R188" s="661">
        <f t="shared" si="42"/>
        <v>0</v>
      </c>
      <c r="S188" s="316">
        <f t="shared" si="43"/>
        <v>0</v>
      </c>
    </row>
    <row r="189" spans="1:19">
      <c r="A189" s="150"/>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0</v>
      </c>
      <c r="R189" s="661">
        <f t="shared" si="42"/>
        <v>0</v>
      </c>
      <c r="S189" s="316">
        <f t="shared" si="43"/>
        <v>0</v>
      </c>
    </row>
    <row r="190" spans="1:19">
      <c r="A190" s="150"/>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0</v>
      </c>
      <c r="R190" s="661">
        <f t="shared" si="42"/>
        <v>0</v>
      </c>
      <c r="S190" s="316">
        <f t="shared" si="43"/>
        <v>0</v>
      </c>
    </row>
    <row r="191" spans="1:19">
      <c r="A191" s="150"/>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0</v>
      </c>
      <c r="R191" s="661">
        <f t="shared" si="42"/>
        <v>0</v>
      </c>
      <c r="S191" s="316">
        <f t="shared" si="43"/>
        <v>0</v>
      </c>
    </row>
    <row r="192" spans="1:19">
      <c r="A192" s="150"/>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0</v>
      </c>
      <c r="R192" s="661">
        <f t="shared" si="42"/>
        <v>0</v>
      </c>
      <c r="S192" s="316">
        <f t="shared" si="43"/>
        <v>0</v>
      </c>
    </row>
    <row r="193" spans="1:19">
      <c r="A193" s="150"/>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0</v>
      </c>
      <c r="R193" s="661">
        <f t="shared" si="42"/>
        <v>0</v>
      </c>
      <c r="S193" s="316">
        <f t="shared" si="43"/>
        <v>0</v>
      </c>
    </row>
    <row r="194" spans="1:19">
      <c r="A194" s="150"/>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0</v>
      </c>
      <c r="R194" s="661">
        <f t="shared" si="42"/>
        <v>0</v>
      </c>
      <c r="S194" s="316">
        <f t="shared" si="43"/>
        <v>0</v>
      </c>
    </row>
    <row r="195" spans="1:19">
      <c r="A195" s="150"/>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0</v>
      </c>
      <c r="R195" s="661">
        <f t="shared" si="42"/>
        <v>0</v>
      </c>
      <c r="S195" s="316">
        <f t="shared" si="43"/>
        <v>0</v>
      </c>
    </row>
    <row r="196" spans="1:19">
      <c r="A196" s="150"/>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0</v>
      </c>
      <c r="R196" s="661">
        <f t="shared" si="42"/>
        <v>0</v>
      </c>
      <c r="S196" s="316">
        <f t="shared" si="43"/>
        <v>0</v>
      </c>
    </row>
    <row r="197" spans="1:19">
      <c r="A197" s="150"/>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0</v>
      </c>
      <c r="R197" s="661">
        <f t="shared" si="42"/>
        <v>0</v>
      </c>
      <c r="S197" s="316">
        <f t="shared" si="43"/>
        <v>0</v>
      </c>
    </row>
    <row r="198" spans="1:19">
      <c r="A198" s="150"/>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0</v>
      </c>
      <c r="R198" s="661">
        <f t="shared" si="42"/>
        <v>0</v>
      </c>
      <c r="S198" s="316">
        <f t="shared" si="43"/>
        <v>0</v>
      </c>
    </row>
    <row r="199" spans="1:19">
      <c r="A199" s="150"/>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0</v>
      </c>
      <c r="R199" s="661">
        <f t="shared" si="42"/>
        <v>0</v>
      </c>
      <c r="S199" s="316">
        <f t="shared" si="43"/>
        <v>0</v>
      </c>
    </row>
    <row r="200" spans="1:19">
      <c r="A200" s="150"/>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0</v>
      </c>
      <c r="R200" s="661">
        <f t="shared" si="42"/>
        <v>0</v>
      </c>
      <c r="S200" s="316">
        <f t="shared" si="43"/>
        <v>0</v>
      </c>
    </row>
    <row r="201" spans="1:19">
      <c r="A201" s="150"/>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0</v>
      </c>
      <c r="R201" s="661">
        <f t="shared" si="42"/>
        <v>0</v>
      </c>
      <c r="S201" s="316">
        <f t="shared" si="43"/>
        <v>0</v>
      </c>
    </row>
    <row r="202" spans="1:19">
      <c r="A202" s="150"/>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0</v>
      </c>
      <c r="R202" s="661">
        <f t="shared" si="42"/>
        <v>0</v>
      </c>
      <c r="S202" s="316">
        <f t="shared" si="43"/>
        <v>0</v>
      </c>
    </row>
    <row r="203" spans="1:19">
      <c r="A203" s="150"/>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0</v>
      </c>
      <c r="R203" s="661">
        <f t="shared" si="42"/>
        <v>0</v>
      </c>
      <c r="S203" s="316">
        <f t="shared" si="43"/>
        <v>0</v>
      </c>
    </row>
    <row r="204" spans="1:19">
      <c r="A204" s="150"/>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0</v>
      </c>
      <c r="R204" s="661">
        <f t="shared" si="42"/>
        <v>0</v>
      </c>
      <c r="S204" s="316">
        <f t="shared" si="43"/>
        <v>0</v>
      </c>
    </row>
    <row r="205" spans="1:19">
      <c r="A205" s="150"/>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0</v>
      </c>
      <c r="R205" s="661">
        <f t="shared" si="42"/>
        <v>0</v>
      </c>
      <c r="S205" s="316">
        <f t="shared" si="43"/>
        <v>0</v>
      </c>
    </row>
    <row r="206" spans="1:19">
      <c r="A206" s="150"/>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0</v>
      </c>
      <c r="R206" s="661">
        <f t="shared" si="42"/>
        <v>0</v>
      </c>
      <c r="S206" s="316">
        <f t="shared" si="43"/>
        <v>0</v>
      </c>
    </row>
    <row r="207" spans="1:19">
      <c r="A207" s="150"/>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0</v>
      </c>
      <c r="R207" s="661">
        <f t="shared" si="42"/>
        <v>0</v>
      </c>
      <c r="S207" s="316">
        <f t="shared" si="43"/>
        <v>0</v>
      </c>
    </row>
    <row r="208" spans="1:19">
      <c r="A208" s="150"/>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0</v>
      </c>
      <c r="R208" s="661">
        <f t="shared" si="42"/>
        <v>0</v>
      </c>
      <c r="S208" s="316">
        <f t="shared" si="43"/>
        <v>0</v>
      </c>
    </row>
    <row r="209" spans="1:19">
      <c r="A209" s="150"/>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0</v>
      </c>
      <c r="R209" s="661">
        <f t="shared" si="42"/>
        <v>0</v>
      </c>
      <c r="S209" s="316">
        <f t="shared" si="43"/>
        <v>0</v>
      </c>
    </row>
    <row r="210" spans="1:19">
      <c r="A210" s="150"/>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0</v>
      </c>
      <c r="R210" s="661">
        <f t="shared" si="42"/>
        <v>0</v>
      </c>
      <c r="S210" s="316">
        <f t="shared" si="43"/>
        <v>0</v>
      </c>
    </row>
    <row r="211" spans="1:19">
      <c r="A211" s="150"/>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0</v>
      </c>
      <c r="R211" s="661">
        <f t="shared" si="42"/>
        <v>0</v>
      </c>
      <c r="S211" s="316">
        <f t="shared" si="43"/>
        <v>0</v>
      </c>
    </row>
    <row r="212" spans="1:19">
      <c r="A212" s="150"/>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0</v>
      </c>
      <c r="R212" s="661">
        <f t="shared" si="42"/>
        <v>0</v>
      </c>
      <c r="S212" s="316">
        <f t="shared" si="43"/>
        <v>0</v>
      </c>
    </row>
    <row r="213" spans="1:19">
      <c r="A213" s="150"/>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0</v>
      </c>
      <c r="R213" s="661">
        <f t="shared" si="42"/>
        <v>0</v>
      </c>
      <c r="S213" s="316">
        <f t="shared" si="43"/>
        <v>0</v>
      </c>
    </row>
    <row r="214" spans="1:19">
      <c r="A214" s="150"/>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0</v>
      </c>
      <c r="R214" s="661">
        <f t="shared" si="42"/>
        <v>0</v>
      </c>
      <c r="S214" s="316">
        <f t="shared" si="43"/>
        <v>0</v>
      </c>
    </row>
    <row r="215" spans="1:19">
      <c r="A215" s="150"/>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0</v>
      </c>
      <c r="R215" s="661">
        <f t="shared" si="42"/>
        <v>0</v>
      </c>
      <c r="S215" s="316">
        <f t="shared" si="43"/>
        <v>0</v>
      </c>
    </row>
    <row r="216" spans="1:19">
      <c r="A216" s="150"/>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0</v>
      </c>
      <c r="R216" s="661">
        <f t="shared" si="42"/>
        <v>0</v>
      </c>
      <c r="S216" s="316">
        <f t="shared" si="43"/>
        <v>0</v>
      </c>
    </row>
    <row r="217" spans="1:19">
      <c r="A217" s="150"/>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0</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0</v>
      </c>
      <c r="R218" s="661">
        <f t="shared" ref="R218:R281" si="52">IF(B218="",0,ROUND($R$24*C218*E218*G218*I218*K218*M218*O218*Q218,0))</f>
        <v>0</v>
      </c>
      <c r="S218" s="316">
        <f t="shared" si="43"/>
        <v>0</v>
      </c>
    </row>
    <row r="219" spans="1:19">
      <c r="A219" s="150"/>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0</v>
      </c>
      <c r="R219" s="661">
        <f t="shared" si="52"/>
        <v>0</v>
      </c>
      <c r="S219" s="316">
        <f t="shared" si="43"/>
        <v>0</v>
      </c>
    </row>
    <row r="220" spans="1:19">
      <c r="A220" s="150"/>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0</v>
      </c>
      <c r="R220" s="661">
        <f t="shared" si="52"/>
        <v>0</v>
      </c>
      <c r="S220" s="316">
        <f t="shared" si="43"/>
        <v>0</v>
      </c>
    </row>
    <row r="221" spans="1:19">
      <c r="A221" s="150"/>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0</v>
      </c>
      <c r="R221" s="661">
        <f t="shared" si="52"/>
        <v>0</v>
      </c>
      <c r="S221" s="316">
        <f t="shared" si="43"/>
        <v>0</v>
      </c>
    </row>
    <row r="222" spans="1:19">
      <c r="A222" s="150"/>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0</v>
      </c>
      <c r="R222" s="661">
        <f t="shared" si="52"/>
        <v>0</v>
      </c>
      <c r="S222" s="316">
        <f t="shared" si="43"/>
        <v>0</v>
      </c>
    </row>
    <row r="223" spans="1:19">
      <c r="A223" s="150"/>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0</v>
      </c>
      <c r="R223" s="661">
        <f t="shared" si="52"/>
        <v>0</v>
      </c>
      <c r="S223" s="316">
        <f t="shared" ref="S223:S286" si="53">ROUND(R223*B223/10000,0)</f>
        <v>0</v>
      </c>
    </row>
    <row r="224" spans="1:19">
      <c r="A224" s="150"/>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0</v>
      </c>
      <c r="R224" s="661">
        <f t="shared" si="52"/>
        <v>0</v>
      </c>
      <c r="S224" s="316">
        <f t="shared" si="53"/>
        <v>0</v>
      </c>
    </row>
    <row r="225" spans="1:19">
      <c r="A225" s="150"/>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0</v>
      </c>
      <c r="R225" s="661">
        <f t="shared" si="52"/>
        <v>0</v>
      </c>
      <c r="S225" s="316">
        <f t="shared" si="53"/>
        <v>0</v>
      </c>
    </row>
    <row r="226" spans="1:19">
      <c r="A226" s="150"/>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0</v>
      </c>
      <c r="R226" s="661">
        <f t="shared" si="52"/>
        <v>0</v>
      </c>
      <c r="S226" s="316">
        <f t="shared" si="53"/>
        <v>0</v>
      </c>
    </row>
    <row r="227" spans="1:19">
      <c r="A227" s="150"/>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0</v>
      </c>
      <c r="R227" s="661">
        <f t="shared" si="52"/>
        <v>0</v>
      </c>
      <c r="S227" s="316">
        <f t="shared" si="53"/>
        <v>0</v>
      </c>
    </row>
    <row r="228" spans="1:19">
      <c r="A228" s="150"/>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0</v>
      </c>
      <c r="R228" s="661">
        <f t="shared" si="52"/>
        <v>0</v>
      </c>
      <c r="S228" s="316">
        <f t="shared" si="53"/>
        <v>0</v>
      </c>
    </row>
    <row r="229" spans="1:19">
      <c r="A229" s="150"/>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0</v>
      </c>
      <c r="R229" s="661">
        <f t="shared" si="52"/>
        <v>0</v>
      </c>
      <c r="S229" s="316">
        <f t="shared" si="53"/>
        <v>0</v>
      </c>
    </row>
    <row r="230" spans="1:19">
      <c r="A230" s="150"/>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0</v>
      </c>
      <c r="R230" s="661">
        <f t="shared" si="52"/>
        <v>0</v>
      </c>
      <c r="S230" s="316">
        <f t="shared" si="53"/>
        <v>0</v>
      </c>
    </row>
    <row r="231" spans="1:19">
      <c r="A231" s="150"/>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0</v>
      </c>
      <c r="R231" s="661">
        <f t="shared" si="52"/>
        <v>0</v>
      </c>
      <c r="S231" s="316">
        <f t="shared" si="53"/>
        <v>0</v>
      </c>
    </row>
    <row r="232" spans="1:19">
      <c r="A232" s="150"/>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0</v>
      </c>
      <c r="R232" s="661">
        <f t="shared" si="52"/>
        <v>0</v>
      </c>
      <c r="S232" s="316">
        <f t="shared" si="53"/>
        <v>0</v>
      </c>
    </row>
    <row r="233" spans="1:19">
      <c r="A233" s="150"/>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0</v>
      </c>
      <c r="R233" s="661">
        <f t="shared" si="52"/>
        <v>0</v>
      </c>
      <c r="S233" s="316">
        <f t="shared" si="53"/>
        <v>0</v>
      </c>
    </row>
    <row r="234" spans="1:19">
      <c r="A234" s="150"/>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0</v>
      </c>
      <c r="R234" s="661">
        <f t="shared" si="52"/>
        <v>0</v>
      </c>
      <c r="S234" s="316">
        <f t="shared" si="53"/>
        <v>0</v>
      </c>
    </row>
    <row r="235" spans="1:19">
      <c r="A235" s="150"/>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0</v>
      </c>
      <c r="R235" s="661">
        <f t="shared" si="52"/>
        <v>0</v>
      </c>
      <c r="S235" s="316">
        <f t="shared" si="53"/>
        <v>0</v>
      </c>
    </row>
    <row r="236" spans="1:19">
      <c r="A236" s="150"/>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0</v>
      </c>
      <c r="R236" s="661">
        <f t="shared" si="52"/>
        <v>0</v>
      </c>
      <c r="S236" s="316">
        <f t="shared" si="53"/>
        <v>0</v>
      </c>
    </row>
    <row r="237" spans="1:19">
      <c r="A237" s="150"/>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0</v>
      </c>
      <c r="R237" s="661">
        <f t="shared" si="52"/>
        <v>0</v>
      </c>
      <c r="S237" s="316">
        <f t="shared" si="53"/>
        <v>0</v>
      </c>
    </row>
    <row r="238" spans="1:19">
      <c r="A238" s="150"/>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0</v>
      </c>
      <c r="R238" s="661">
        <f t="shared" si="52"/>
        <v>0</v>
      </c>
      <c r="S238" s="316">
        <f t="shared" si="53"/>
        <v>0</v>
      </c>
    </row>
    <row r="239" spans="1:19">
      <c r="A239" s="150"/>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0</v>
      </c>
      <c r="R239" s="661">
        <f t="shared" si="52"/>
        <v>0</v>
      </c>
      <c r="S239" s="316">
        <f t="shared" si="53"/>
        <v>0</v>
      </c>
    </row>
    <row r="240" spans="1:19">
      <c r="A240" s="150"/>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0</v>
      </c>
      <c r="R240" s="661">
        <f t="shared" si="52"/>
        <v>0</v>
      </c>
      <c r="S240" s="316">
        <f t="shared" si="53"/>
        <v>0</v>
      </c>
    </row>
    <row r="241" spans="1:19">
      <c r="A241" s="150"/>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0</v>
      </c>
      <c r="R241" s="661">
        <f t="shared" si="52"/>
        <v>0</v>
      </c>
      <c r="S241" s="316">
        <f t="shared" si="53"/>
        <v>0</v>
      </c>
    </row>
    <row r="242" spans="1:19">
      <c r="A242" s="150"/>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0</v>
      </c>
      <c r="R242" s="661">
        <f t="shared" si="52"/>
        <v>0</v>
      </c>
      <c r="S242" s="316">
        <f t="shared" si="53"/>
        <v>0</v>
      </c>
    </row>
    <row r="243" spans="1:19">
      <c r="A243" s="150"/>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0</v>
      </c>
      <c r="R243" s="661">
        <f t="shared" si="52"/>
        <v>0</v>
      </c>
      <c r="S243" s="316">
        <f t="shared" si="53"/>
        <v>0</v>
      </c>
    </row>
    <row r="244" spans="1:19">
      <c r="A244" s="150"/>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0</v>
      </c>
      <c r="R244" s="661">
        <f t="shared" si="52"/>
        <v>0</v>
      </c>
      <c r="S244" s="316">
        <f t="shared" si="53"/>
        <v>0</v>
      </c>
    </row>
    <row r="245" spans="1:19">
      <c r="A245" s="150"/>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0</v>
      </c>
      <c r="R245" s="661">
        <f t="shared" si="52"/>
        <v>0</v>
      </c>
      <c r="S245" s="316">
        <f t="shared" si="53"/>
        <v>0</v>
      </c>
    </row>
    <row r="246" spans="1:19">
      <c r="A246" s="150"/>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0</v>
      </c>
      <c r="R246" s="661">
        <f t="shared" si="52"/>
        <v>0</v>
      </c>
      <c r="S246" s="316">
        <f t="shared" si="53"/>
        <v>0</v>
      </c>
    </row>
    <row r="247" spans="1:19">
      <c r="A247" s="150"/>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0</v>
      </c>
      <c r="R247" s="661">
        <f t="shared" si="52"/>
        <v>0</v>
      </c>
      <c r="S247" s="316">
        <f t="shared" si="53"/>
        <v>0</v>
      </c>
    </row>
    <row r="248" spans="1:19">
      <c r="A248" s="150"/>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0</v>
      </c>
      <c r="R248" s="661">
        <f t="shared" si="52"/>
        <v>0</v>
      </c>
      <c r="S248" s="316">
        <f t="shared" si="53"/>
        <v>0</v>
      </c>
    </row>
    <row r="249" spans="1:19">
      <c r="A249" s="150"/>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0</v>
      </c>
      <c r="R249" s="661">
        <f t="shared" si="52"/>
        <v>0</v>
      </c>
      <c r="S249" s="316">
        <f t="shared" si="53"/>
        <v>0</v>
      </c>
    </row>
    <row r="250" spans="1:19">
      <c r="A250" s="150"/>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0</v>
      </c>
      <c r="R250" s="661">
        <f t="shared" si="52"/>
        <v>0</v>
      </c>
      <c r="S250" s="316">
        <f t="shared" si="53"/>
        <v>0</v>
      </c>
    </row>
    <row r="251" spans="1:19">
      <c r="A251" s="150"/>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0</v>
      </c>
      <c r="R251" s="661">
        <f t="shared" si="52"/>
        <v>0</v>
      </c>
      <c r="S251" s="316">
        <f t="shared" si="53"/>
        <v>0</v>
      </c>
    </row>
    <row r="252" spans="1:19">
      <c r="A252" s="150"/>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0</v>
      </c>
      <c r="R252" s="661">
        <f t="shared" si="52"/>
        <v>0</v>
      </c>
      <c r="S252" s="316">
        <f t="shared" si="53"/>
        <v>0</v>
      </c>
    </row>
    <row r="253" spans="1:19">
      <c r="A253" s="150"/>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0</v>
      </c>
      <c r="R253" s="661">
        <f t="shared" si="52"/>
        <v>0</v>
      </c>
      <c r="S253" s="316">
        <f t="shared" si="53"/>
        <v>0</v>
      </c>
    </row>
    <row r="254" spans="1:19">
      <c r="A254" s="150"/>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0</v>
      </c>
      <c r="R254" s="661">
        <f t="shared" si="52"/>
        <v>0</v>
      </c>
      <c r="S254" s="316">
        <f t="shared" si="53"/>
        <v>0</v>
      </c>
    </row>
    <row r="255" spans="1:19">
      <c r="A255" s="150"/>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0</v>
      </c>
      <c r="R255" s="661">
        <f t="shared" si="52"/>
        <v>0</v>
      </c>
      <c r="S255" s="316">
        <f t="shared" si="53"/>
        <v>0</v>
      </c>
    </row>
    <row r="256" spans="1:19">
      <c r="A256" s="150"/>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0</v>
      </c>
      <c r="R256" s="661">
        <f t="shared" si="52"/>
        <v>0</v>
      </c>
      <c r="S256" s="316">
        <f t="shared" si="53"/>
        <v>0</v>
      </c>
    </row>
    <row r="257" spans="1:19">
      <c r="A257" s="150"/>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0</v>
      </c>
      <c r="R257" s="661">
        <f t="shared" si="52"/>
        <v>0</v>
      </c>
      <c r="S257" s="316">
        <f t="shared" si="53"/>
        <v>0</v>
      </c>
    </row>
    <row r="258" spans="1:19">
      <c r="A258" s="150"/>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0</v>
      </c>
      <c r="R258" s="661">
        <f t="shared" si="52"/>
        <v>0</v>
      </c>
      <c r="S258" s="316">
        <f t="shared" si="53"/>
        <v>0</v>
      </c>
    </row>
    <row r="259" spans="1:19">
      <c r="A259" s="150"/>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0</v>
      </c>
      <c r="R259" s="661">
        <f t="shared" si="52"/>
        <v>0</v>
      </c>
      <c r="S259" s="316">
        <f t="shared" si="53"/>
        <v>0</v>
      </c>
    </row>
    <row r="260" spans="1:19">
      <c r="A260" s="150"/>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0</v>
      </c>
      <c r="R260" s="661">
        <f t="shared" si="52"/>
        <v>0</v>
      </c>
      <c r="S260" s="316">
        <f t="shared" si="53"/>
        <v>0</v>
      </c>
    </row>
    <row r="261" spans="1:19">
      <c r="A261" s="150"/>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0</v>
      </c>
      <c r="R261" s="661">
        <f t="shared" si="52"/>
        <v>0</v>
      </c>
      <c r="S261" s="316">
        <f t="shared" si="53"/>
        <v>0</v>
      </c>
    </row>
    <row r="262" spans="1:19">
      <c r="A262" s="150"/>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0</v>
      </c>
      <c r="R262" s="661">
        <f t="shared" si="52"/>
        <v>0</v>
      </c>
      <c r="S262" s="316">
        <f t="shared" si="53"/>
        <v>0</v>
      </c>
    </row>
    <row r="263" spans="1:19">
      <c r="A263" s="150"/>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0</v>
      </c>
      <c r="R263" s="661">
        <f t="shared" si="52"/>
        <v>0</v>
      </c>
      <c r="S263" s="316">
        <f t="shared" si="53"/>
        <v>0</v>
      </c>
    </row>
    <row r="264" spans="1:19">
      <c r="A264" s="150"/>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0</v>
      </c>
      <c r="R264" s="661">
        <f t="shared" si="52"/>
        <v>0</v>
      </c>
      <c r="S264" s="316">
        <f t="shared" si="53"/>
        <v>0</v>
      </c>
    </row>
    <row r="265" spans="1:19">
      <c r="A265" s="150"/>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0</v>
      </c>
      <c r="R265" s="661">
        <f t="shared" si="52"/>
        <v>0</v>
      </c>
      <c r="S265" s="316">
        <f t="shared" si="53"/>
        <v>0</v>
      </c>
    </row>
    <row r="266" spans="1:19">
      <c r="A266" s="150"/>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0</v>
      </c>
      <c r="R266" s="661">
        <f t="shared" si="52"/>
        <v>0</v>
      </c>
      <c r="S266" s="316">
        <f t="shared" si="53"/>
        <v>0</v>
      </c>
    </row>
    <row r="267" spans="1:19">
      <c r="A267" s="150"/>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0</v>
      </c>
      <c r="R267" s="661">
        <f t="shared" si="52"/>
        <v>0</v>
      </c>
      <c r="S267" s="316">
        <f t="shared" si="53"/>
        <v>0</v>
      </c>
    </row>
    <row r="268" spans="1:19">
      <c r="A268" s="150"/>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0</v>
      </c>
      <c r="R268" s="661">
        <f t="shared" si="52"/>
        <v>0</v>
      </c>
      <c r="S268" s="316">
        <f t="shared" si="53"/>
        <v>0</v>
      </c>
    </row>
    <row r="269" spans="1:19">
      <c r="A269" s="150"/>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0</v>
      </c>
      <c r="R269" s="661">
        <f t="shared" si="52"/>
        <v>0</v>
      </c>
      <c r="S269" s="316">
        <f t="shared" si="53"/>
        <v>0</v>
      </c>
    </row>
    <row r="270" spans="1:19">
      <c r="A270" s="150"/>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0</v>
      </c>
      <c r="R270" s="661">
        <f t="shared" si="52"/>
        <v>0</v>
      </c>
      <c r="S270" s="316">
        <f t="shared" si="53"/>
        <v>0</v>
      </c>
    </row>
    <row r="271" spans="1:19">
      <c r="A271" s="150"/>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0</v>
      </c>
      <c r="R271" s="661">
        <f t="shared" si="52"/>
        <v>0</v>
      </c>
      <c r="S271" s="316">
        <f t="shared" si="53"/>
        <v>0</v>
      </c>
    </row>
    <row r="272" spans="1:19">
      <c r="A272" s="150"/>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0</v>
      </c>
      <c r="R272" s="661">
        <f t="shared" si="52"/>
        <v>0</v>
      </c>
      <c r="S272" s="316">
        <f t="shared" si="53"/>
        <v>0</v>
      </c>
    </row>
    <row r="273" spans="1:19">
      <c r="A273" s="150"/>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0</v>
      </c>
      <c r="R273" s="661">
        <f t="shared" si="52"/>
        <v>0</v>
      </c>
      <c r="S273" s="316">
        <f t="shared" si="53"/>
        <v>0</v>
      </c>
    </row>
    <row r="274" spans="1:19">
      <c r="A274" s="150"/>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0</v>
      </c>
      <c r="R274" s="661">
        <f t="shared" si="52"/>
        <v>0</v>
      </c>
      <c r="S274" s="316">
        <f t="shared" si="53"/>
        <v>0</v>
      </c>
    </row>
    <row r="275" spans="1:19">
      <c r="A275" s="150"/>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0</v>
      </c>
      <c r="R275" s="661">
        <f t="shared" si="52"/>
        <v>0</v>
      </c>
      <c r="S275" s="316">
        <f t="shared" si="53"/>
        <v>0</v>
      </c>
    </row>
    <row r="276" spans="1:19">
      <c r="A276" s="150"/>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0</v>
      </c>
      <c r="R276" s="661">
        <f t="shared" si="52"/>
        <v>0</v>
      </c>
      <c r="S276" s="316">
        <f t="shared" si="53"/>
        <v>0</v>
      </c>
    </row>
    <row r="277" spans="1:19">
      <c r="A277" s="150"/>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0</v>
      </c>
      <c r="R277" s="661">
        <f t="shared" si="52"/>
        <v>0</v>
      </c>
      <c r="S277" s="316">
        <f t="shared" si="53"/>
        <v>0</v>
      </c>
    </row>
    <row r="278" spans="1:19">
      <c r="A278" s="150"/>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0</v>
      </c>
      <c r="R278" s="661">
        <f t="shared" si="52"/>
        <v>0</v>
      </c>
      <c r="S278" s="316">
        <f t="shared" si="53"/>
        <v>0</v>
      </c>
    </row>
    <row r="279" spans="1:19">
      <c r="A279" s="150"/>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0</v>
      </c>
      <c r="R279" s="661">
        <f t="shared" si="52"/>
        <v>0</v>
      </c>
      <c r="S279" s="316">
        <f t="shared" si="53"/>
        <v>0</v>
      </c>
    </row>
    <row r="280" spans="1:19">
      <c r="A280" s="150"/>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0</v>
      </c>
      <c r="R280" s="661">
        <f t="shared" si="52"/>
        <v>0</v>
      </c>
      <c r="S280" s="316">
        <f t="shared" si="53"/>
        <v>0</v>
      </c>
    </row>
    <row r="281" spans="1:19">
      <c r="A281" s="150"/>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0</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0</v>
      </c>
      <c r="R282" s="661">
        <f t="shared" ref="R282:R345" si="62">IF(B282="",0,ROUND($R$24*C282*E282*G282*I282*K282*M282*O282*Q282,0))</f>
        <v>0</v>
      </c>
      <c r="S282" s="316">
        <f t="shared" si="53"/>
        <v>0</v>
      </c>
    </row>
    <row r="283" spans="1:19">
      <c r="A283" s="150"/>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0</v>
      </c>
      <c r="R283" s="661">
        <f t="shared" si="62"/>
        <v>0</v>
      </c>
      <c r="S283" s="316">
        <f t="shared" si="53"/>
        <v>0</v>
      </c>
    </row>
    <row r="284" spans="1:19">
      <c r="A284" s="150"/>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0</v>
      </c>
      <c r="R284" s="661">
        <f t="shared" si="62"/>
        <v>0</v>
      </c>
      <c r="S284" s="316">
        <f t="shared" si="53"/>
        <v>0</v>
      </c>
    </row>
    <row r="285" spans="1:19">
      <c r="A285" s="150"/>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0</v>
      </c>
      <c r="R285" s="661">
        <f t="shared" si="62"/>
        <v>0</v>
      </c>
      <c r="S285" s="316">
        <f t="shared" si="53"/>
        <v>0</v>
      </c>
    </row>
    <row r="286" spans="1:19">
      <c r="A286" s="150"/>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0</v>
      </c>
      <c r="R286" s="661">
        <f t="shared" si="62"/>
        <v>0</v>
      </c>
      <c r="S286" s="316">
        <f t="shared" si="53"/>
        <v>0</v>
      </c>
    </row>
    <row r="287" spans="1:19">
      <c r="A287" s="150"/>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0</v>
      </c>
      <c r="R287" s="661">
        <f t="shared" si="62"/>
        <v>0</v>
      </c>
      <c r="S287" s="316">
        <f t="shared" ref="S287:S320" si="63">ROUND(R287*B287/10000,0)</f>
        <v>0</v>
      </c>
    </row>
    <row r="288" spans="1:19">
      <c r="A288" s="150"/>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0</v>
      </c>
      <c r="R288" s="661">
        <f t="shared" si="62"/>
        <v>0</v>
      </c>
      <c r="S288" s="316">
        <f t="shared" si="63"/>
        <v>0</v>
      </c>
    </row>
    <row r="289" spans="1:19">
      <c r="A289" s="150"/>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0</v>
      </c>
      <c r="R289" s="661">
        <f t="shared" si="62"/>
        <v>0</v>
      </c>
      <c r="S289" s="316">
        <f t="shared" si="63"/>
        <v>0</v>
      </c>
    </row>
    <row r="290" spans="1:19">
      <c r="A290" s="150"/>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0</v>
      </c>
      <c r="R290" s="661">
        <f t="shared" si="62"/>
        <v>0</v>
      </c>
      <c r="S290" s="316">
        <f t="shared" si="63"/>
        <v>0</v>
      </c>
    </row>
    <row r="291" spans="1:19">
      <c r="A291" s="150"/>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0</v>
      </c>
      <c r="R291" s="661">
        <f t="shared" si="62"/>
        <v>0</v>
      </c>
      <c r="S291" s="316">
        <f t="shared" si="63"/>
        <v>0</v>
      </c>
    </row>
    <row r="292" spans="1:19">
      <c r="A292" s="150"/>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0</v>
      </c>
      <c r="R292" s="661">
        <f t="shared" si="62"/>
        <v>0</v>
      </c>
      <c r="S292" s="316">
        <f t="shared" si="63"/>
        <v>0</v>
      </c>
    </row>
    <row r="293" spans="1:19">
      <c r="A293" s="150"/>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0</v>
      </c>
      <c r="R293" s="661">
        <f t="shared" si="62"/>
        <v>0</v>
      </c>
      <c r="S293" s="316">
        <f t="shared" si="63"/>
        <v>0</v>
      </c>
    </row>
    <row r="294" spans="1:19">
      <c r="A294" s="150"/>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0</v>
      </c>
      <c r="R294" s="661">
        <f t="shared" si="62"/>
        <v>0</v>
      </c>
      <c r="S294" s="316">
        <f t="shared" si="63"/>
        <v>0</v>
      </c>
    </row>
    <row r="295" spans="1:19">
      <c r="A295" s="150"/>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0</v>
      </c>
      <c r="R295" s="661">
        <f t="shared" si="62"/>
        <v>0</v>
      </c>
      <c r="S295" s="316">
        <f t="shared" si="63"/>
        <v>0</v>
      </c>
    </row>
    <row r="296" spans="1:19">
      <c r="A296" s="150"/>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0</v>
      </c>
      <c r="R296" s="661">
        <f t="shared" si="62"/>
        <v>0</v>
      </c>
      <c r="S296" s="316">
        <f t="shared" si="63"/>
        <v>0</v>
      </c>
    </row>
    <row r="297" spans="1:19">
      <c r="A297" s="150"/>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0</v>
      </c>
      <c r="R297" s="661">
        <f t="shared" si="62"/>
        <v>0</v>
      </c>
      <c r="S297" s="316">
        <f t="shared" si="63"/>
        <v>0</v>
      </c>
    </row>
    <row r="298" spans="1:19">
      <c r="A298" s="150"/>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0</v>
      </c>
      <c r="R298" s="661">
        <f t="shared" si="62"/>
        <v>0</v>
      </c>
      <c r="S298" s="316">
        <f t="shared" si="63"/>
        <v>0</v>
      </c>
    </row>
    <row r="299" spans="1:19">
      <c r="A299" s="150"/>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0</v>
      </c>
      <c r="R299" s="661">
        <f t="shared" si="62"/>
        <v>0</v>
      </c>
      <c r="S299" s="316">
        <f t="shared" si="63"/>
        <v>0</v>
      </c>
    </row>
    <row r="300" spans="1:19">
      <c r="A300" s="150"/>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0</v>
      </c>
      <c r="R300" s="661">
        <f t="shared" si="62"/>
        <v>0</v>
      </c>
      <c r="S300" s="316">
        <f t="shared" si="63"/>
        <v>0</v>
      </c>
    </row>
    <row r="301" spans="1:19">
      <c r="A301" s="150"/>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0</v>
      </c>
      <c r="R301" s="661">
        <f t="shared" si="62"/>
        <v>0</v>
      </c>
      <c r="S301" s="316">
        <f t="shared" si="63"/>
        <v>0</v>
      </c>
    </row>
    <row r="302" spans="1:19">
      <c r="A302" s="150"/>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0</v>
      </c>
      <c r="R302" s="661">
        <f t="shared" si="62"/>
        <v>0</v>
      </c>
      <c r="S302" s="316">
        <f t="shared" si="63"/>
        <v>0</v>
      </c>
    </row>
    <row r="303" spans="1:19">
      <c r="A303" s="150"/>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0</v>
      </c>
      <c r="R303" s="661">
        <f t="shared" si="62"/>
        <v>0</v>
      </c>
      <c r="S303" s="316">
        <f t="shared" si="63"/>
        <v>0</v>
      </c>
    </row>
    <row r="304" spans="1:19">
      <c r="A304" s="150"/>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0</v>
      </c>
      <c r="R304" s="661">
        <f t="shared" si="62"/>
        <v>0</v>
      </c>
      <c r="S304" s="316">
        <f t="shared" si="63"/>
        <v>0</v>
      </c>
    </row>
    <row r="305" spans="1:19">
      <c r="A305" s="150"/>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0</v>
      </c>
      <c r="R305" s="661">
        <f t="shared" si="62"/>
        <v>0</v>
      </c>
      <c r="S305" s="316">
        <f t="shared" si="63"/>
        <v>0</v>
      </c>
    </row>
    <row r="306" spans="1:19">
      <c r="A306" s="150"/>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0</v>
      </c>
      <c r="R306" s="661">
        <f t="shared" si="62"/>
        <v>0</v>
      </c>
      <c r="S306" s="316">
        <f t="shared" si="63"/>
        <v>0</v>
      </c>
    </row>
    <row r="307" spans="1:19">
      <c r="A307" s="150"/>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0</v>
      </c>
      <c r="R307" s="661">
        <f t="shared" si="62"/>
        <v>0</v>
      </c>
      <c r="S307" s="316">
        <f t="shared" si="63"/>
        <v>0</v>
      </c>
    </row>
    <row r="308" spans="1:19">
      <c r="A308" s="150"/>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0</v>
      </c>
      <c r="R308" s="661">
        <f t="shared" si="62"/>
        <v>0</v>
      </c>
      <c r="S308" s="316">
        <f t="shared" si="63"/>
        <v>0</v>
      </c>
    </row>
    <row r="309" spans="1:19">
      <c r="A309" s="150"/>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0</v>
      </c>
      <c r="R309" s="661">
        <f t="shared" si="62"/>
        <v>0</v>
      </c>
      <c r="S309" s="316">
        <f t="shared" si="63"/>
        <v>0</v>
      </c>
    </row>
    <row r="310" spans="1:19">
      <c r="A310" s="150"/>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0</v>
      </c>
      <c r="R310" s="661">
        <f t="shared" si="62"/>
        <v>0</v>
      </c>
      <c r="S310" s="316">
        <f t="shared" si="63"/>
        <v>0</v>
      </c>
    </row>
    <row r="311" spans="1:19">
      <c r="A311" s="150"/>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0</v>
      </c>
      <c r="R311" s="661">
        <f t="shared" si="62"/>
        <v>0</v>
      </c>
      <c r="S311" s="316">
        <f t="shared" si="63"/>
        <v>0</v>
      </c>
    </row>
    <row r="312" spans="1:19">
      <c r="A312" s="150"/>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0</v>
      </c>
      <c r="R312" s="661">
        <f t="shared" si="62"/>
        <v>0</v>
      </c>
      <c r="S312" s="316">
        <f t="shared" si="63"/>
        <v>0</v>
      </c>
    </row>
    <row r="313" spans="1:19">
      <c r="A313" s="150"/>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0</v>
      </c>
      <c r="R313" s="661">
        <f t="shared" si="62"/>
        <v>0</v>
      </c>
      <c r="S313" s="316">
        <f t="shared" si="63"/>
        <v>0</v>
      </c>
    </row>
    <row r="314" spans="1:19">
      <c r="A314" s="150"/>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0</v>
      </c>
      <c r="R314" s="661">
        <f t="shared" si="62"/>
        <v>0</v>
      </c>
      <c r="S314" s="316">
        <f t="shared" si="63"/>
        <v>0</v>
      </c>
    </row>
    <row r="315" spans="1:19">
      <c r="A315" s="150"/>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0</v>
      </c>
      <c r="R315" s="661">
        <f t="shared" si="62"/>
        <v>0</v>
      </c>
      <c r="S315" s="316">
        <f t="shared" si="63"/>
        <v>0</v>
      </c>
    </row>
    <row r="316" spans="1:19">
      <c r="A316" s="150"/>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0</v>
      </c>
      <c r="R316" s="661">
        <f t="shared" si="62"/>
        <v>0</v>
      </c>
      <c r="S316" s="316">
        <f t="shared" si="63"/>
        <v>0</v>
      </c>
    </row>
    <row r="317" spans="1:19">
      <c r="A317" s="150"/>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0</v>
      </c>
      <c r="R317" s="661">
        <f t="shared" si="62"/>
        <v>0</v>
      </c>
      <c r="S317" s="316">
        <f t="shared" si="63"/>
        <v>0</v>
      </c>
    </row>
    <row r="318" spans="1:19">
      <c r="A318" s="150"/>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0</v>
      </c>
      <c r="R318" s="661">
        <f t="shared" si="62"/>
        <v>0</v>
      </c>
      <c r="S318" s="316">
        <f t="shared" si="63"/>
        <v>0</v>
      </c>
    </row>
    <row r="319" spans="1:19">
      <c r="A319" s="150"/>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0</v>
      </c>
      <c r="R319" s="661">
        <f t="shared" si="62"/>
        <v>0</v>
      </c>
      <c r="S319" s="316">
        <f t="shared" si="63"/>
        <v>0</v>
      </c>
    </row>
    <row r="320" spans="1:19">
      <c r="A320" s="150"/>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0</v>
      </c>
      <c r="R320" s="661">
        <f t="shared" si="62"/>
        <v>0</v>
      </c>
      <c r="S320" s="316">
        <f t="shared" si="63"/>
        <v>0</v>
      </c>
    </row>
    <row r="321" spans="1:19">
      <c r="A321" s="150"/>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0</v>
      </c>
      <c r="R321" s="661">
        <f t="shared" si="62"/>
        <v>0</v>
      </c>
      <c r="S321" s="316">
        <f t="shared" ref="S321:S384" si="64">ROUND(R321*B321/10000,0)</f>
        <v>0</v>
      </c>
    </row>
    <row r="322" spans="1:19">
      <c r="A322" s="150"/>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0</v>
      </c>
      <c r="R322" s="661">
        <f t="shared" si="62"/>
        <v>0</v>
      </c>
      <c r="S322" s="316">
        <f t="shared" si="64"/>
        <v>0</v>
      </c>
    </row>
    <row r="323" spans="1:19">
      <c r="A323" s="150"/>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0</v>
      </c>
      <c r="R323" s="661">
        <f t="shared" si="62"/>
        <v>0</v>
      </c>
      <c r="S323" s="316">
        <f t="shared" si="64"/>
        <v>0</v>
      </c>
    </row>
    <row r="324" spans="1:19">
      <c r="A324" s="150"/>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0</v>
      </c>
      <c r="R324" s="661">
        <f t="shared" si="62"/>
        <v>0</v>
      </c>
      <c r="S324" s="316">
        <f t="shared" si="64"/>
        <v>0</v>
      </c>
    </row>
    <row r="325" spans="1:19">
      <c r="A325" s="150"/>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0</v>
      </c>
      <c r="R325" s="661">
        <f t="shared" si="62"/>
        <v>0</v>
      </c>
      <c r="S325" s="316">
        <f t="shared" si="64"/>
        <v>0</v>
      </c>
    </row>
    <row r="326" spans="1:19">
      <c r="A326" s="150"/>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0</v>
      </c>
      <c r="R326" s="661">
        <f t="shared" si="62"/>
        <v>0</v>
      </c>
      <c r="S326" s="316">
        <f t="shared" si="64"/>
        <v>0</v>
      </c>
    </row>
    <row r="327" spans="1:19">
      <c r="A327" s="150"/>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0</v>
      </c>
      <c r="R327" s="661">
        <f t="shared" si="62"/>
        <v>0</v>
      </c>
      <c r="S327" s="316">
        <f t="shared" si="64"/>
        <v>0</v>
      </c>
    </row>
    <row r="328" spans="1:19">
      <c r="A328" s="150"/>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0</v>
      </c>
      <c r="R328" s="661">
        <f t="shared" si="62"/>
        <v>0</v>
      </c>
      <c r="S328" s="316">
        <f t="shared" si="64"/>
        <v>0</v>
      </c>
    </row>
    <row r="329" spans="1:19">
      <c r="A329" s="150"/>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0</v>
      </c>
      <c r="R329" s="661">
        <f t="shared" si="62"/>
        <v>0</v>
      </c>
      <c r="S329" s="316">
        <f t="shared" si="64"/>
        <v>0</v>
      </c>
    </row>
    <row r="330" spans="1:19">
      <c r="A330" s="150"/>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0</v>
      </c>
      <c r="R330" s="661">
        <f t="shared" si="62"/>
        <v>0</v>
      </c>
      <c r="S330" s="316">
        <f t="shared" si="64"/>
        <v>0</v>
      </c>
    </row>
    <row r="331" spans="1:19">
      <c r="A331" s="150"/>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0</v>
      </c>
      <c r="R331" s="661">
        <f t="shared" si="62"/>
        <v>0</v>
      </c>
      <c r="S331" s="316">
        <f t="shared" si="64"/>
        <v>0</v>
      </c>
    </row>
    <row r="332" spans="1:19">
      <c r="A332" s="150"/>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0</v>
      </c>
      <c r="R332" s="661">
        <f t="shared" si="62"/>
        <v>0</v>
      </c>
      <c r="S332" s="316">
        <f t="shared" si="64"/>
        <v>0</v>
      </c>
    </row>
    <row r="333" spans="1:19">
      <c r="A333" s="150"/>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0</v>
      </c>
      <c r="R333" s="661">
        <f t="shared" si="62"/>
        <v>0</v>
      </c>
      <c r="S333" s="316">
        <f t="shared" si="64"/>
        <v>0</v>
      </c>
    </row>
    <row r="334" spans="1:19">
      <c r="A334" s="150"/>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0</v>
      </c>
      <c r="R334" s="661">
        <f t="shared" si="62"/>
        <v>0</v>
      </c>
      <c r="S334" s="316">
        <f t="shared" si="64"/>
        <v>0</v>
      </c>
    </row>
    <row r="335" spans="1:19">
      <c r="A335" s="150"/>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0</v>
      </c>
      <c r="R335" s="661">
        <f t="shared" si="62"/>
        <v>0</v>
      </c>
      <c r="S335" s="316">
        <f t="shared" si="64"/>
        <v>0</v>
      </c>
    </row>
    <row r="336" spans="1:19">
      <c r="A336" s="150"/>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0</v>
      </c>
      <c r="R336" s="661">
        <f t="shared" si="62"/>
        <v>0</v>
      </c>
      <c r="S336" s="316">
        <f t="shared" si="64"/>
        <v>0</v>
      </c>
    </row>
    <row r="337" spans="1:19">
      <c r="A337" s="150"/>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0</v>
      </c>
      <c r="R337" s="661">
        <f t="shared" si="62"/>
        <v>0</v>
      </c>
      <c r="S337" s="316">
        <f t="shared" si="64"/>
        <v>0</v>
      </c>
    </row>
    <row r="338" spans="1:19">
      <c r="A338" s="150"/>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0</v>
      </c>
      <c r="R338" s="661">
        <f t="shared" si="62"/>
        <v>0</v>
      </c>
      <c r="S338" s="316">
        <f t="shared" si="64"/>
        <v>0</v>
      </c>
    </row>
    <row r="339" spans="1:19">
      <c r="A339" s="150"/>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0</v>
      </c>
      <c r="R339" s="661">
        <f t="shared" si="62"/>
        <v>0</v>
      </c>
      <c r="S339" s="316">
        <f t="shared" si="64"/>
        <v>0</v>
      </c>
    </row>
    <row r="340" spans="1:19">
      <c r="A340" s="150"/>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0</v>
      </c>
      <c r="R340" s="661">
        <f t="shared" si="62"/>
        <v>0</v>
      </c>
      <c r="S340" s="316">
        <f t="shared" si="64"/>
        <v>0</v>
      </c>
    </row>
    <row r="341" spans="1:19">
      <c r="A341" s="150"/>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0</v>
      </c>
      <c r="R341" s="661">
        <f t="shared" si="62"/>
        <v>0</v>
      </c>
      <c r="S341" s="316">
        <f t="shared" si="64"/>
        <v>0</v>
      </c>
    </row>
    <row r="342" spans="1:19">
      <c r="A342" s="150"/>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0</v>
      </c>
      <c r="R342" s="661">
        <f t="shared" si="62"/>
        <v>0</v>
      </c>
      <c r="S342" s="316">
        <f t="shared" si="64"/>
        <v>0</v>
      </c>
    </row>
    <row r="343" spans="1:19">
      <c r="A343" s="150"/>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0</v>
      </c>
      <c r="R343" s="661">
        <f t="shared" si="62"/>
        <v>0</v>
      </c>
      <c r="S343" s="316">
        <f t="shared" si="64"/>
        <v>0</v>
      </c>
    </row>
    <row r="344" spans="1:19">
      <c r="A344" s="150"/>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0</v>
      </c>
      <c r="R344" s="661">
        <f t="shared" si="62"/>
        <v>0</v>
      </c>
      <c r="S344" s="316">
        <f t="shared" si="64"/>
        <v>0</v>
      </c>
    </row>
    <row r="345" spans="1:19">
      <c r="A345" s="150"/>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0</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0</v>
      </c>
      <c r="R346" s="661">
        <f t="shared" ref="R346:R409" si="73">IF(B346="",0,ROUND($R$24*C346*E346*G346*I346*K346*M346*O346*Q346,0))</f>
        <v>0</v>
      </c>
      <c r="S346" s="316">
        <f t="shared" si="64"/>
        <v>0</v>
      </c>
    </row>
    <row r="347" spans="1:19">
      <c r="A347" s="150"/>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0</v>
      </c>
      <c r="R347" s="661">
        <f t="shared" si="73"/>
        <v>0</v>
      </c>
      <c r="S347" s="316">
        <f t="shared" si="64"/>
        <v>0</v>
      </c>
    </row>
    <row r="348" spans="1:19">
      <c r="A348" s="150"/>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0</v>
      </c>
      <c r="R348" s="661">
        <f t="shared" si="73"/>
        <v>0</v>
      </c>
      <c r="S348" s="316">
        <f t="shared" si="64"/>
        <v>0</v>
      </c>
    </row>
    <row r="349" spans="1:19">
      <c r="A349" s="150"/>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0</v>
      </c>
      <c r="R349" s="661">
        <f t="shared" si="73"/>
        <v>0</v>
      </c>
      <c r="S349" s="316">
        <f t="shared" si="64"/>
        <v>0</v>
      </c>
    </row>
    <row r="350" spans="1:19">
      <c r="A350" s="150"/>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0</v>
      </c>
      <c r="R350" s="661">
        <f t="shared" si="73"/>
        <v>0</v>
      </c>
      <c r="S350" s="316">
        <f t="shared" si="64"/>
        <v>0</v>
      </c>
    </row>
    <row r="351" spans="1:19">
      <c r="A351" s="150"/>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0</v>
      </c>
      <c r="R351" s="661">
        <f t="shared" si="73"/>
        <v>0</v>
      </c>
      <c r="S351" s="316">
        <f t="shared" si="64"/>
        <v>0</v>
      </c>
    </row>
    <row r="352" spans="1:19">
      <c r="A352" s="150"/>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0</v>
      </c>
      <c r="R352" s="661">
        <f t="shared" si="73"/>
        <v>0</v>
      </c>
      <c r="S352" s="316">
        <f t="shared" si="64"/>
        <v>0</v>
      </c>
    </row>
    <row r="353" spans="1:19">
      <c r="A353" s="150"/>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0</v>
      </c>
      <c r="R353" s="661">
        <f t="shared" si="73"/>
        <v>0</v>
      </c>
      <c r="S353" s="316">
        <f t="shared" si="64"/>
        <v>0</v>
      </c>
    </row>
    <row r="354" spans="1:19">
      <c r="A354" s="150"/>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0</v>
      </c>
      <c r="R354" s="661">
        <f t="shared" si="73"/>
        <v>0</v>
      </c>
      <c r="S354" s="316">
        <f t="shared" si="64"/>
        <v>0</v>
      </c>
    </row>
    <row r="355" spans="1:19">
      <c r="A355" s="150"/>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0</v>
      </c>
      <c r="R355" s="661">
        <f t="shared" si="73"/>
        <v>0</v>
      </c>
      <c r="S355" s="316">
        <f t="shared" si="64"/>
        <v>0</v>
      </c>
    </row>
    <row r="356" spans="1:19">
      <c r="A356" s="150"/>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0</v>
      </c>
      <c r="R356" s="661">
        <f t="shared" si="73"/>
        <v>0</v>
      </c>
      <c r="S356" s="316">
        <f t="shared" si="64"/>
        <v>0</v>
      </c>
    </row>
    <row r="357" spans="1:19">
      <c r="A357" s="150"/>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0</v>
      </c>
      <c r="R357" s="661">
        <f t="shared" si="73"/>
        <v>0</v>
      </c>
      <c r="S357" s="316">
        <f t="shared" si="64"/>
        <v>0</v>
      </c>
    </row>
    <row r="358" spans="1:19">
      <c r="A358" s="150"/>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0</v>
      </c>
      <c r="R358" s="661">
        <f t="shared" si="73"/>
        <v>0</v>
      </c>
      <c r="S358" s="316">
        <f t="shared" si="64"/>
        <v>0</v>
      </c>
    </row>
    <row r="359" spans="1:19">
      <c r="A359" s="150"/>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0</v>
      </c>
      <c r="R359" s="661">
        <f t="shared" si="73"/>
        <v>0</v>
      </c>
      <c r="S359" s="316">
        <f t="shared" si="64"/>
        <v>0</v>
      </c>
    </row>
    <row r="360" spans="1:19">
      <c r="A360" s="150"/>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0</v>
      </c>
      <c r="R360" s="661">
        <f t="shared" si="73"/>
        <v>0</v>
      </c>
      <c r="S360" s="316">
        <f t="shared" si="64"/>
        <v>0</v>
      </c>
    </row>
    <row r="361" spans="1:19">
      <c r="A361" s="150"/>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0</v>
      </c>
      <c r="R361" s="661">
        <f t="shared" si="73"/>
        <v>0</v>
      </c>
      <c r="S361" s="316">
        <f t="shared" si="64"/>
        <v>0</v>
      </c>
    </row>
    <row r="362" spans="1:19">
      <c r="A362" s="150"/>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0</v>
      </c>
      <c r="R362" s="661">
        <f t="shared" si="73"/>
        <v>0</v>
      </c>
      <c r="S362" s="316">
        <f t="shared" si="64"/>
        <v>0</v>
      </c>
    </row>
    <row r="363" spans="1:19">
      <c r="A363" s="150"/>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0</v>
      </c>
      <c r="R363" s="661">
        <f t="shared" si="73"/>
        <v>0</v>
      </c>
      <c r="S363" s="316">
        <f t="shared" si="64"/>
        <v>0</v>
      </c>
    </row>
    <row r="364" spans="1:19">
      <c r="A364" s="150"/>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0</v>
      </c>
      <c r="R364" s="661">
        <f t="shared" si="73"/>
        <v>0</v>
      </c>
      <c r="S364" s="316">
        <f t="shared" si="64"/>
        <v>0</v>
      </c>
    </row>
    <row r="365" spans="1:19">
      <c r="A365" s="150"/>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0</v>
      </c>
      <c r="R365" s="661">
        <f t="shared" si="73"/>
        <v>0</v>
      </c>
      <c r="S365" s="316">
        <f t="shared" si="64"/>
        <v>0</v>
      </c>
    </row>
    <row r="366" spans="1:19">
      <c r="A366" s="150"/>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0</v>
      </c>
      <c r="R366" s="661">
        <f t="shared" si="73"/>
        <v>0</v>
      </c>
      <c r="S366" s="316">
        <f t="shared" si="64"/>
        <v>0</v>
      </c>
    </row>
    <row r="367" spans="1:19">
      <c r="A367" s="150"/>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0</v>
      </c>
      <c r="R367" s="661">
        <f t="shared" si="73"/>
        <v>0</v>
      </c>
      <c r="S367" s="316">
        <f t="shared" si="64"/>
        <v>0</v>
      </c>
    </row>
    <row r="368" spans="1:19">
      <c r="A368" s="150"/>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0</v>
      </c>
      <c r="R368" s="661">
        <f t="shared" si="73"/>
        <v>0</v>
      </c>
      <c r="S368" s="316">
        <f t="shared" si="64"/>
        <v>0</v>
      </c>
    </row>
    <row r="369" spans="1:19">
      <c r="A369" s="150"/>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0</v>
      </c>
      <c r="R369" s="661">
        <f t="shared" si="73"/>
        <v>0</v>
      </c>
      <c r="S369" s="316">
        <f t="shared" si="64"/>
        <v>0</v>
      </c>
    </row>
    <row r="370" spans="1:19">
      <c r="A370" s="150"/>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0</v>
      </c>
      <c r="R370" s="661">
        <f t="shared" si="73"/>
        <v>0</v>
      </c>
      <c r="S370" s="316">
        <f t="shared" si="64"/>
        <v>0</v>
      </c>
    </row>
    <row r="371" spans="1:19">
      <c r="A371" s="150"/>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0</v>
      </c>
      <c r="R371" s="661">
        <f t="shared" si="73"/>
        <v>0</v>
      </c>
      <c r="S371" s="316">
        <f t="shared" si="64"/>
        <v>0</v>
      </c>
    </row>
    <row r="372" spans="1:19">
      <c r="A372" s="150"/>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0</v>
      </c>
      <c r="R372" s="661">
        <f t="shared" si="73"/>
        <v>0</v>
      </c>
      <c r="S372" s="316">
        <f t="shared" si="64"/>
        <v>0</v>
      </c>
    </row>
    <row r="373" spans="1:19">
      <c r="A373" s="150"/>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0</v>
      </c>
      <c r="R373" s="661">
        <f t="shared" si="73"/>
        <v>0</v>
      </c>
      <c r="S373" s="316">
        <f t="shared" si="64"/>
        <v>0</v>
      </c>
    </row>
    <row r="374" spans="1:19">
      <c r="A374" s="150"/>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0</v>
      </c>
      <c r="R374" s="661">
        <f t="shared" si="73"/>
        <v>0</v>
      </c>
      <c r="S374" s="316">
        <f t="shared" si="64"/>
        <v>0</v>
      </c>
    </row>
    <row r="375" spans="1:19">
      <c r="A375" s="150"/>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0</v>
      </c>
      <c r="R375" s="661">
        <f t="shared" si="73"/>
        <v>0</v>
      </c>
      <c r="S375" s="316">
        <f t="shared" si="64"/>
        <v>0</v>
      </c>
    </row>
    <row r="376" spans="1:19">
      <c r="A376" s="150"/>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0</v>
      </c>
      <c r="R376" s="661">
        <f t="shared" si="73"/>
        <v>0</v>
      </c>
      <c r="S376" s="316">
        <f t="shared" si="64"/>
        <v>0</v>
      </c>
    </row>
    <row r="377" spans="1:19">
      <c r="A377" s="150"/>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0</v>
      </c>
      <c r="R377" s="661">
        <f t="shared" si="73"/>
        <v>0</v>
      </c>
      <c r="S377" s="316">
        <f t="shared" si="64"/>
        <v>0</v>
      </c>
    </row>
    <row r="378" spans="1:19">
      <c r="A378" s="150"/>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0</v>
      </c>
      <c r="R378" s="661">
        <f t="shared" si="73"/>
        <v>0</v>
      </c>
      <c r="S378" s="316">
        <f t="shared" si="64"/>
        <v>0</v>
      </c>
    </row>
    <row r="379" spans="1:19">
      <c r="A379" s="150"/>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0</v>
      </c>
      <c r="R379" s="661">
        <f t="shared" si="73"/>
        <v>0</v>
      </c>
      <c r="S379" s="316">
        <f t="shared" si="64"/>
        <v>0</v>
      </c>
    </row>
    <row r="380" spans="1:19">
      <c r="A380" s="150"/>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0</v>
      </c>
      <c r="R380" s="661">
        <f t="shared" si="73"/>
        <v>0</v>
      </c>
      <c r="S380" s="316">
        <f t="shared" si="64"/>
        <v>0</v>
      </c>
    </row>
    <row r="381" spans="1:19">
      <c r="A381" s="150"/>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0</v>
      </c>
      <c r="R381" s="661">
        <f t="shared" si="73"/>
        <v>0</v>
      </c>
      <c r="S381" s="316">
        <f t="shared" si="64"/>
        <v>0</v>
      </c>
    </row>
    <row r="382" spans="1:19">
      <c r="A382" s="150"/>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0</v>
      </c>
      <c r="R382" s="661">
        <f t="shared" si="73"/>
        <v>0</v>
      </c>
      <c r="S382" s="316">
        <f t="shared" si="64"/>
        <v>0</v>
      </c>
    </row>
    <row r="383" spans="1:19">
      <c r="A383" s="150"/>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0</v>
      </c>
      <c r="R383" s="661">
        <f t="shared" si="73"/>
        <v>0</v>
      </c>
      <c r="S383" s="316">
        <f t="shared" si="64"/>
        <v>0</v>
      </c>
    </row>
    <row r="384" spans="1:19">
      <c r="A384" s="150"/>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0</v>
      </c>
      <c r="R384" s="661">
        <f t="shared" si="73"/>
        <v>0</v>
      </c>
      <c r="S384" s="316">
        <f t="shared" si="64"/>
        <v>0</v>
      </c>
    </row>
    <row r="385" spans="1:19">
      <c r="A385" s="150"/>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0</v>
      </c>
      <c r="R385" s="661">
        <f t="shared" si="73"/>
        <v>0</v>
      </c>
      <c r="S385" s="316">
        <f t="shared" ref="S385:S422" si="74">ROUND(R385*B385/10000,0)</f>
        <v>0</v>
      </c>
    </row>
    <row r="386" spans="1:19">
      <c r="A386" s="150"/>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0</v>
      </c>
      <c r="R386" s="661">
        <f t="shared" si="73"/>
        <v>0</v>
      </c>
      <c r="S386" s="316">
        <f t="shared" si="74"/>
        <v>0</v>
      </c>
    </row>
    <row r="387" spans="1:19">
      <c r="A387" s="150"/>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0</v>
      </c>
      <c r="R387" s="661">
        <f t="shared" si="73"/>
        <v>0</v>
      </c>
      <c r="S387" s="316">
        <f t="shared" si="74"/>
        <v>0</v>
      </c>
    </row>
    <row r="388" spans="1:19">
      <c r="A388" s="150"/>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0</v>
      </c>
      <c r="R388" s="661">
        <f t="shared" si="73"/>
        <v>0</v>
      </c>
      <c r="S388" s="316">
        <f t="shared" si="74"/>
        <v>0</v>
      </c>
    </row>
    <row r="389" spans="1:19">
      <c r="A389" s="150"/>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0</v>
      </c>
      <c r="R389" s="661">
        <f t="shared" si="73"/>
        <v>0</v>
      </c>
      <c r="S389" s="316">
        <f t="shared" si="74"/>
        <v>0</v>
      </c>
    </row>
    <row r="390" spans="1:19">
      <c r="A390" s="150"/>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0</v>
      </c>
      <c r="R390" s="661">
        <f t="shared" si="73"/>
        <v>0</v>
      </c>
      <c r="S390" s="316">
        <f t="shared" si="74"/>
        <v>0</v>
      </c>
    </row>
    <row r="391" spans="1:19">
      <c r="A391" s="150"/>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0</v>
      </c>
      <c r="R391" s="661">
        <f t="shared" si="73"/>
        <v>0</v>
      </c>
      <c r="S391" s="316">
        <f t="shared" si="74"/>
        <v>0</v>
      </c>
    </row>
    <row r="392" spans="1:19">
      <c r="A392" s="150"/>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0</v>
      </c>
      <c r="R392" s="661">
        <f t="shared" si="73"/>
        <v>0</v>
      </c>
      <c r="S392" s="316">
        <f t="shared" si="74"/>
        <v>0</v>
      </c>
    </row>
    <row r="393" spans="1:19">
      <c r="A393" s="150"/>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0</v>
      </c>
      <c r="R393" s="661">
        <f t="shared" si="73"/>
        <v>0</v>
      </c>
      <c r="S393" s="316">
        <f t="shared" si="74"/>
        <v>0</v>
      </c>
    </row>
    <row r="394" spans="1:19">
      <c r="A394" s="150"/>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0</v>
      </c>
      <c r="R394" s="661">
        <f t="shared" si="73"/>
        <v>0</v>
      </c>
      <c r="S394" s="316">
        <f t="shared" si="74"/>
        <v>0</v>
      </c>
    </row>
    <row r="395" spans="1:19">
      <c r="A395" s="150"/>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0</v>
      </c>
      <c r="R395" s="661">
        <f t="shared" si="73"/>
        <v>0</v>
      </c>
      <c r="S395" s="316">
        <f t="shared" si="74"/>
        <v>0</v>
      </c>
    </row>
    <row r="396" spans="1:19">
      <c r="A396" s="150"/>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0</v>
      </c>
      <c r="R396" s="661">
        <f t="shared" si="73"/>
        <v>0</v>
      </c>
      <c r="S396" s="316">
        <f t="shared" si="74"/>
        <v>0</v>
      </c>
    </row>
    <row r="397" spans="1:19">
      <c r="A397" s="150"/>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0</v>
      </c>
      <c r="R397" s="661">
        <f t="shared" si="73"/>
        <v>0</v>
      </c>
      <c r="S397" s="316">
        <f t="shared" si="74"/>
        <v>0</v>
      </c>
    </row>
    <row r="398" spans="1:19">
      <c r="A398" s="150"/>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0</v>
      </c>
      <c r="R398" s="661">
        <f t="shared" si="73"/>
        <v>0</v>
      </c>
      <c r="S398" s="316">
        <f t="shared" si="74"/>
        <v>0</v>
      </c>
    </row>
    <row r="399" spans="1:19">
      <c r="A399" s="150"/>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0</v>
      </c>
      <c r="R399" s="661">
        <f t="shared" si="73"/>
        <v>0</v>
      </c>
      <c r="S399" s="316">
        <f t="shared" si="74"/>
        <v>0</v>
      </c>
    </row>
    <row r="400" spans="1:19">
      <c r="A400" s="150"/>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0</v>
      </c>
      <c r="R400" s="661">
        <f t="shared" si="73"/>
        <v>0</v>
      </c>
      <c r="S400" s="316">
        <f t="shared" si="74"/>
        <v>0</v>
      </c>
    </row>
    <row r="401" spans="1:19">
      <c r="A401" s="150"/>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0</v>
      </c>
      <c r="R401" s="661">
        <f t="shared" si="73"/>
        <v>0</v>
      </c>
      <c r="S401" s="316">
        <f t="shared" si="74"/>
        <v>0</v>
      </c>
    </row>
    <row r="402" spans="1:19">
      <c r="A402" s="150"/>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0</v>
      </c>
      <c r="R402" s="661">
        <f t="shared" si="73"/>
        <v>0</v>
      </c>
      <c r="S402" s="316">
        <f t="shared" si="74"/>
        <v>0</v>
      </c>
    </row>
    <row r="403" spans="1:19">
      <c r="A403" s="150"/>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0</v>
      </c>
      <c r="R403" s="661">
        <f t="shared" si="73"/>
        <v>0</v>
      </c>
      <c r="S403" s="316">
        <f t="shared" si="74"/>
        <v>0</v>
      </c>
    </row>
    <row r="404" spans="1:19">
      <c r="A404" s="150"/>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0</v>
      </c>
      <c r="R404" s="661">
        <f t="shared" si="73"/>
        <v>0</v>
      </c>
      <c r="S404" s="316">
        <f t="shared" si="74"/>
        <v>0</v>
      </c>
    </row>
    <row r="405" spans="1:19">
      <c r="A405" s="150"/>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0</v>
      </c>
      <c r="R405" s="661">
        <f t="shared" si="73"/>
        <v>0</v>
      </c>
      <c r="S405" s="316">
        <f t="shared" si="74"/>
        <v>0</v>
      </c>
    </row>
    <row r="406" spans="1:19">
      <c r="A406" s="150"/>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0</v>
      </c>
      <c r="R406" s="661">
        <f t="shared" si="73"/>
        <v>0</v>
      </c>
      <c r="S406" s="316">
        <f t="shared" si="74"/>
        <v>0</v>
      </c>
    </row>
    <row r="407" spans="1:19">
      <c r="A407" s="150"/>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0</v>
      </c>
      <c r="R407" s="661">
        <f t="shared" si="73"/>
        <v>0</v>
      </c>
      <c r="S407" s="316">
        <f t="shared" si="74"/>
        <v>0</v>
      </c>
    </row>
    <row r="408" spans="1:19">
      <c r="A408" s="150"/>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0</v>
      </c>
      <c r="R408" s="661">
        <f t="shared" si="73"/>
        <v>0</v>
      </c>
      <c r="S408" s="316">
        <f t="shared" si="74"/>
        <v>0</v>
      </c>
    </row>
    <row r="409" spans="1:19">
      <c r="A409" s="150"/>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0</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0</v>
      </c>
      <c r="R410" s="661">
        <f t="shared" ref="R410:R473" si="83">IF(B410="",0,ROUND($R$24*C410*E410*G410*I410*K410*M410*O410*Q410,0))</f>
        <v>0</v>
      </c>
      <c r="S410" s="316">
        <f t="shared" si="74"/>
        <v>0</v>
      </c>
    </row>
    <row r="411" spans="1:19">
      <c r="A411" s="150"/>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0</v>
      </c>
      <c r="R411" s="661">
        <f t="shared" si="83"/>
        <v>0</v>
      </c>
      <c r="S411" s="316">
        <f t="shared" si="74"/>
        <v>0</v>
      </c>
    </row>
    <row r="412" spans="1:19">
      <c r="A412" s="150"/>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0</v>
      </c>
      <c r="R412" s="661">
        <f t="shared" si="83"/>
        <v>0</v>
      </c>
      <c r="S412" s="316">
        <f t="shared" si="74"/>
        <v>0</v>
      </c>
    </row>
    <row r="413" spans="1:19">
      <c r="A413" s="150"/>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0</v>
      </c>
      <c r="R413" s="661">
        <f t="shared" si="83"/>
        <v>0</v>
      </c>
      <c r="S413" s="316">
        <f t="shared" si="74"/>
        <v>0</v>
      </c>
    </row>
    <row r="414" spans="1:19">
      <c r="A414" s="150"/>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0</v>
      </c>
      <c r="R414" s="661">
        <f t="shared" si="83"/>
        <v>0</v>
      </c>
      <c r="S414" s="316">
        <f t="shared" si="74"/>
        <v>0</v>
      </c>
    </row>
    <row r="415" spans="1:19">
      <c r="A415" s="150"/>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0</v>
      </c>
      <c r="R415" s="661">
        <f t="shared" si="83"/>
        <v>0</v>
      </c>
      <c r="S415" s="316">
        <f t="shared" si="74"/>
        <v>0</v>
      </c>
    </row>
    <row r="416" spans="1:19">
      <c r="A416" s="150"/>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0</v>
      </c>
      <c r="R416" s="661">
        <f t="shared" si="83"/>
        <v>0</v>
      </c>
      <c r="S416" s="316">
        <f t="shared" si="74"/>
        <v>0</v>
      </c>
    </row>
    <row r="417" spans="1:19">
      <c r="A417" s="150"/>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0</v>
      </c>
      <c r="R417" s="661">
        <f t="shared" si="83"/>
        <v>0</v>
      </c>
      <c r="S417" s="316">
        <f t="shared" si="74"/>
        <v>0</v>
      </c>
    </row>
    <row r="418" spans="1:19">
      <c r="A418" s="150"/>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0</v>
      </c>
      <c r="R418" s="661">
        <f t="shared" si="83"/>
        <v>0</v>
      </c>
      <c r="S418" s="316">
        <f t="shared" si="74"/>
        <v>0</v>
      </c>
    </row>
    <row r="419" spans="1:19">
      <c r="A419" s="150"/>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0</v>
      </c>
      <c r="R419" s="661">
        <f t="shared" si="83"/>
        <v>0</v>
      </c>
      <c r="S419" s="316">
        <f t="shared" si="74"/>
        <v>0</v>
      </c>
    </row>
    <row r="420" spans="1:19">
      <c r="A420" s="150"/>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0</v>
      </c>
      <c r="R420" s="661">
        <f t="shared" si="83"/>
        <v>0</v>
      </c>
      <c r="S420" s="316">
        <f t="shared" si="74"/>
        <v>0</v>
      </c>
    </row>
    <row r="421" spans="1:19">
      <c r="A421" s="150"/>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0</v>
      </c>
      <c r="R421" s="661">
        <f t="shared" si="83"/>
        <v>0</v>
      </c>
      <c r="S421" s="316">
        <f t="shared" si="74"/>
        <v>0</v>
      </c>
    </row>
    <row r="422" spans="1:19">
      <c r="A422" s="150"/>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0</v>
      </c>
      <c r="R422" s="661">
        <f t="shared" si="83"/>
        <v>0</v>
      </c>
      <c r="S422" s="316">
        <f t="shared" si="74"/>
        <v>0</v>
      </c>
    </row>
    <row r="423" spans="1:19">
      <c r="A423" s="150"/>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0</v>
      </c>
      <c r="R423" s="661">
        <f t="shared" si="83"/>
        <v>0</v>
      </c>
      <c r="S423" s="316">
        <f t="shared" ref="S423:S467" si="84">ROUND(R423*B423/10000,0)</f>
        <v>0</v>
      </c>
    </row>
    <row r="424" spans="1:19">
      <c r="A424" s="150"/>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0</v>
      </c>
      <c r="R424" s="661">
        <f t="shared" si="83"/>
        <v>0</v>
      </c>
      <c r="S424" s="316">
        <f t="shared" si="84"/>
        <v>0</v>
      </c>
    </row>
    <row r="425" spans="1:19">
      <c r="A425" s="150"/>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0</v>
      </c>
      <c r="R425" s="661">
        <f t="shared" si="83"/>
        <v>0</v>
      </c>
      <c r="S425" s="316">
        <f t="shared" si="84"/>
        <v>0</v>
      </c>
    </row>
    <row r="426" spans="1:19">
      <c r="A426" s="150"/>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0</v>
      </c>
      <c r="R426" s="661">
        <f t="shared" si="83"/>
        <v>0</v>
      </c>
      <c r="S426" s="316">
        <f t="shared" si="84"/>
        <v>0</v>
      </c>
    </row>
    <row r="427" spans="1:19">
      <c r="A427" s="150"/>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0</v>
      </c>
      <c r="R427" s="661">
        <f t="shared" si="83"/>
        <v>0</v>
      </c>
      <c r="S427" s="316">
        <f t="shared" si="84"/>
        <v>0</v>
      </c>
    </row>
    <row r="428" spans="1:19">
      <c r="A428" s="150"/>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0</v>
      </c>
      <c r="R428" s="661">
        <f t="shared" si="83"/>
        <v>0</v>
      </c>
      <c r="S428" s="316">
        <f t="shared" si="84"/>
        <v>0</v>
      </c>
    </row>
    <row r="429" spans="1:19">
      <c r="A429" s="150"/>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0</v>
      </c>
      <c r="R429" s="661">
        <f t="shared" si="83"/>
        <v>0</v>
      </c>
      <c r="S429" s="316">
        <f t="shared" si="84"/>
        <v>0</v>
      </c>
    </row>
    <row r="430" spans="1:19">
      <c r="A430" s="150"/>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0</v>
      </c>
      <c r="R430" s="661">
        <f t="shared" si="83"/>
        <v>0</v>
      </c>
      <c r="S430" s="316">
        <f t="shared" si="84"/>
        <v>0</v>
      </c>
    </row>
    <row r="431" spans="1:19">
      <c r="A431" s="150"/>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0</v>
      </c>
      <c r="R431" s="661">
        <f t="shared" si="83"/>
        <v>0</v>
      </c>
      <c r="S431" s="316">
        <f t="shared" si="84"/>
        <v>0</v>
      </c>
    </row>
    <row r="432" spans="1:19">
      <c r="A432" s="150"/>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0</v>
      </c>
      <c r="R432" s="661">
        <f t="shared" si="83"/>
        <v>0</v>
      </c>
      <c r="S432" s="316">
        <f t="shared" si="84"/>
        <v>0</v>
      </c>
    </row>
    <row r="433" spans="1:19">
      <c r="A433" s="150"/>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0</v>
      </c>
      <c r="R433" s="661">
        <f t="shared" si="83"/>
        <v>0</v>
      </c>
      <c r="S433" s="316">
        <f t="shared" si="84"/>
        <v>0</v>
      </c>
    </row>
    <row r="434" spans="1:19">
      <c r="A434" s="150"/>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0</v>
      </c>
      <c r="R434" s="661">
        <f t="shared" si="83"/>
        <v>0</v>
      </c>
      <c r="S434" s="316">
        <f t="shared" si="84"/>
        <v>0</v>
      </c>
    </row>
    <row r="435" spans="1:19">
      <c r="A435" s="150"/>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0</v>
      </c>
      <c r="R435" s="661">
        <f t="shared" si="83"/>
        <v>0</v>
      </c>
      <c r="S435" s="316">
        <f t="shared" si="84"/>
        <v>0</v>
      </c>
    </row>
    <row r="436" spans="1:19">
      <c r="A436" s="150"/>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0</v>
      </c>
      <c r="R436" s="661">
        <f t="shared" si="83"/>
        <v>0</v>
      </c>
      <c r="S436" s="316">
        <f t="shared" si="84"/>
        <v>0</v>
      </c>
    </row>
    <row r="437" spans="1:19">
      <c r="A437" s="150"/>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0</v>
      </c>
      <c r="R437" s="661">
        <f t="shared" si="83"/>
        <v>0</v>
      </c>
      <c r="S437" s="316">
        <f t="shared" si="84"/>
        <v>0</v>
      </c>
    </row>
    <row r="438" spans="1:19">
      <c r="A438" s="150"/>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0</v>
      </c>
      <c r="R438" s="661">
        <f t="shared" si="83"/>
        <v>0</v>
      </c>
      <c r="S438" s="316">
        <f t="shared" si="84"/>
        <v>0</v>
      </c>
    </row>
    <row r="439" spans="1:19">
      <c r="A439" s="150"/>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0</v>
      </c>
      <c r="R439" s="661">
        <f t="shared" si="83"/>
        <v>0</v>
      </c>
      <c r="S439" s="316">
        <f t="shared" si="84"/>
        <v>0</v>
      </c>
    </row>
    <row r="440" spans="1:19">
      <c r="A440" s="150"/>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0</v>
      </c>
      <c r="R440" s="661">
        <f t="shared" si="83"/>
        <v>0</v>
      </c>
      <c r="S440" s="316">
        <f t="shared" si="84"/>
        <v>0</v>
      </c>
    </row>
    <row r="441" spans="1:19">
      <c r="A441" s="150"/>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0</v>
      </c>
      <c r="R441" s="661">
        <f t="shared" si="83"/>
        <v>0</v>
      </c>
      <c r="S441" s="316">
        <f t="shared" si="84"/>
        <v>0</v>
      </c>
    </row>
    <row r="442" spans="1:19">
      <c r="A442" s="150"/>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0</v>
      </c>
      <c r="R442" s="661">
        <f t="shared" si="83"/>
        <v>0</v>
      </c>
      <c r="S442" s="316">
        <f t="shared" si="84"/>
        <v>0</v>
      </c>
    </row>
    <row r="443" spans="1:19">
      <c r="A443" s="150"/>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0</v>
      </c>
      <c r="R443" s="661">
        <f t="shared" si="83"/>
        <v>0</v>
      </c>
      <c r="S443" s="316">
        <f t="shared" si="84"/>
        <v>0</v>
      </c>
    </row>
    <row r="444" spans="1:19">
      <c r="A444" s="150"/>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0</v>
      </c>
      <c r="R444" s="661">
        <f t="shared" si="83"/>
        <v>0</v>
      </c>
      <c r="S444" s="316">
        <f t="shared" si="84"/>
        <v>0</v>
      </c>
    </row>
    <row r="445" spans="1:19">
      <c r="A445" s="150"/>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0</v>
      </c>
      <c r="R445" s="661">
        <f t="shared" si="83"/>
        <v>0</v>
      </c>
      <c r="S445" s="316">
        <f t="shared" si="84"/>
        <v>0</v>
      </c>
    </row>
    <row r="446" spans="1:19">
      <c r="A446" s="150"/>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0</v>
      </c>
      <c r="R446" s="661">
        <f t="shared" si="83"/>
        <v>0</v>
      </c>
      <c r="S446" s="316">
        <f t="shared" si="84"/>
        <v>0</v>
      </c>
    </row>
    <row r="447" spans="1:19">
      <c r="A447" s="150"/>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0</v>
      </c>
      <c r="R447" s="661">
        <f t="shared" si="83"/>
        <v>0</v>
      </c>
      <c r="S447" s="316">
        <f t="shared" si="84"/>
        <v>0</v>
      </c>
    </row>
    <row r="448" spans="1:19">
      <c r="A448" s="150"/>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0</v>
      </c>
      <c r="R448" s="661">
        <f t="shared" si="83"/>
        <v>0</v>
      </c>
      <c r="S448" s="316">
        <f t="shared" si="84"/>
        <v>0</v>
      </c>
    </row>
    <row r="449" spans="1:19">
      <c r="A449" s="150"/>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0</v>
      </c>
      <c r="R449" s="661">
        <f t="shared" si="83"/>
        <v>0</v>
      </c>
      <c r="S449" s="316">
        <f t="shared" si="84"/>
        <v>0</v>
      </c>
    </row>
    <row r="450" spans="1:19">
      <c r="A450" s="150"/>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0</v>
      </c>
      <c r="R450" s="661">
        <f t="shared" si="83"/>
        <v>0</v>
      </c>
      <c r="S450" s="316">
        <f t="shared" si="84"/>
        <v>0</v>
      </c>
    </row>
    <row r="451" spans="1:19">
      <c r="A451" s="150"/>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0</v>
      </c>
      <c r="R451" s="661">
        <f t="shared" si="83"/>
        <v>0</v>
      </c>
      <c r="S451" s="316">
        <f t="shared" si="84"/>
        <v>0</v>
      </c>
    </row>
    <row r="452" spans="1:19">
      <c r="A452" s="150"/>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0</v>
      </c>
      <c r="R452" s="661">
        <f t="shared" si="83"/>
        <v>0</v>
      </c>
      <c r="S452" s="316">
        <f t="shared" si="84"/>
        <v>0</v>
      </c>
    </row>
    <row r="453" spans="1:19">
      <c r="A453" s="150"/>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0</v>
      </c>
      <c r="R453" s="661">
        <f t="shared" si="83"/>
        <v>0</v>
      </c>
      <c r="S453" s="316">
        <f t="shared" si="84"/>
        <v>0</v>
      </c>
    </row>
    <row r="454" spans="1:19">
      <c r="A454" s="150"/>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0</v>
      </c>
      <c r="R454" s="661">
        <f t="shared" si="83"/>
        <v>0</v>
      </c>
      <c r="S454" s="316">
        <f t="shared" si="84"/>
        <v>0</v>
      </c>
    </row>
    <row r="455" spans="1:19">
      <c r="A455" s="150"/>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0</v>
      </c>
      <c r="R455" s="661">
        <f t="shared" si="83"/>
        <v>0</v>
      </c>
      <c r="S455" s="316">
        <f t="shared" si="84"/>
        <v>0</v>
      </c>
    </row>
    <row r="456" spans="1:19">
      <c r="A456" s="150"/>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0</v>
      </c>
      <c r="R456" s="661">
        <f t="shared" si="83"/>
        <v>0</v>
      </c>
      <c r="S456" s="316">
        <f t="shared" si="84"/>
        <v>0</v>
      </c>
    </row>
    <row r="457" spans="1:19">
      <c r="A457" s="150"/>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0</v>
      </c>
      <c r="R457" s="661">
        <f t="shared" si="83"/>
        <v>0</v>
      </c>
      <c r="S457" s="316">
        <f t="shared" si="84"/>
        <v>0</v>
      </c>
    </row>
    <row r="458" spans="1:19">
      <c r="A458" s="150"/>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0</v>
      </c>
      <c r="R458" s="661">
        <f t="shared" si="83"/>
        <v>0</v>
      </c>
      <c r="S458" s="316">
        <f t="shared" si="84"/>
        <v>0</v>
      </c>
    </row>
    <row r="459" spans="1:19">
      <c r="A459" s="150"/>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0</v>
      </c>
      <c r="R459" s="661">
        <f t="shared" si="83"/>
        <v>0</v>
      </c>
      <c r="S459" s="316">
        <f t="shared" si="84"/>
        <v>0</v>
      </c>
    </row>
    <row r="460" spans="1:19">
      <c r="A460" s="150"/>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0</v>
      </c>
      <c r="R460" s="661">
        <f t="shared" si="83"/>
        <v>0</v>
      </c>
      <c r="S460" s="316">
        <f t="shared" si="84"/>
        <v>0</v>
      </c>
    </row>
    <row r="461" spans="1:19">
      <c r="A461" s="150"/>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0</v>
      </c>
      <c r="R461" s="661">
        <f t="shared" si="83"/>
        <v>0</v>
      </c>
      <c r="S461" s="316">
        <f t="shared" si="84"/>
        <v>0</v>
      </c>
    </row>
    <row r="462" spans="1:19">
      <c r="A462" s="150"/>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0</v>
      </c>
      <c r="R462" s="661">
        <f t="shared" si="83"/>
        <v>0</v>
      </c>
      <c r="S462" s="316">
        <f t="shared" si="84"/>
        <v>0</v>
      </c>
    </row>
    <row r="463" spans="1:19">
      <c r="A463" s="150"/>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0</v>
      </c>
      <c r="R463" s="661">
        <f t="shared" si="83"/>
        <v>0</v>
      </c>
      <c r="S463" s="316">
        <f t="shared" si="84"/>
        <v>0</v>
      </c>
    </row>
    <row r="464" spans="1:19">
      <c r="A464" s="150"/>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0</v>
      </c>
      <c r="R464" s="661">
        <f t="shared" si="83"/>
        <v>0</v>
      </c>
      <c r="S464" s="316">
        <f t="shared" si="84"/>
        <v>0</v>
      </c>
    </row>
    <row r="465" spans="1:19">
      <c r="A465" s="150"/>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0</v>
      </c>
      <c r="R465" s="661">
        <f t="shared" si="83"/>
        <v>0</v>
      </c>
      <c r="S465" s="316">
        <f t="shared" si="84"/>
        <v>0</v>
      </c>
    </row>
    <row r="466" spans="1:19">
      <c r="A466" s="150"/>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0</v>
      </c>
      <c r="R466" s="661">
        <f t="shared" si="83"/>
        <v>0</v>
      </c>
      <c r="S466" s="316">
        <f t="shared" si="84"/>
        <v>0</v>
      </c>
    </row>
    <row r="467" spans="1:19">
      <c r="A467" s="150"/>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0</v>
      </c>
      <c r="R467" s="661">
        <f t="shared" si="83"/>
        <v>0</v>
      </c>
      <c r="S467" s="316">
        <f t="shared" si="84"/>
        <v>0</v>
      </c>
    </row>
    <row r="468" spans="1:19">
      <c r="A468" s="150"/>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0</v>
      </c>
      <c r="R468" s="661">
        <f t="shared" si="83"/>
        <v>0</v>
      </c>
      <c r="S468" s="316">
        <f t="shared" ref="S468:S497" si="85">ROUND(R468*B468/10000,0)</f>
        <v>0</v>
      </c>
    </row>
    <row r="469" spans="1:19">
      <c r="A469" s="150"/>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0</v>
      </c>
      <c r="R469" s="661">
        <f t="shared" si="83"/>
        <v>0</v>
      </c>
      <c r="S469" s="316">
        <f t="shared" si="85"/>
        <v>0</v>
      </c>
    </row>
    <row r="470" spans="1:19">
      <c r="A470" s="150"/>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0</v>
      </c>
      <c r="R470" s="661">
        <f t="shared" si="83"/>
        <v>0</v>
      </c>
      <c r="S470" s="316">
        <f t="shared" si="85"/>
        <v>0</v>
      </c>
    </row>
    <row r="471" spans="1:19">
      <c r="A471" s="150"/>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0</v>
      </c>
      <c r="R471" s="661">
        <f t="shared" si="83"/>
        <v>0</v>
      </c>
      <c r="S471" s="316">
        <f t="shared" si="85"/>
        <v>0</v>
      </c>
    </row>
    <row r="472" spans="1:19">
      <c r="A472" s="150"/>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0</v>
      </c>
      <c r="R472" s="661">
        <f t="shared" si="83"/>
        <v>0</v>
      </c>
      <c r="S472" s="316">
        <f t="shared" si="85"/>
        <v>0</v>
      </c>
    </row>
    <row r="473" spans="1:19">
      <c r="A473" s="150"/>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0</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0</v>
      </c>
      <c r="R474" s="661">
        <f t="shared" ref="R474:R524" si="94">IF(B474="",0,ROUND($R$24*C474*E474*G474*I474*K474*M474*O474*Q474,0))</f>
        <v>0</v>
      </c>
      <c r="S474" s="316">
        <f t="shared" si="85"/>
        <v>0</v>
      </c>
    </row>
    <row r="475" spans="1:19">
      <c r="A475" s="150"/>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0</v>
      </c>
      <c r="R475" s="661">
        <f t="shared" si="94"/>
        <v>0</v>
      </c>
      <c r="S475" s="316">
        <f t="shared" si="85"/>
        <v>0</v>
      </c>
    </row>
    <row r="476" spans="1:19">
      <c r="A476" s="150"/>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0</v>
      </c>
      <c r="R476" s="661">
        <f t="shared" si="94"/>
        <v>0</v>
      </c>
      <c r="S476" s="316">
        <f t="shared" si="85"/>
        <v>0</v>
      </c>
    </row>
    <row r="477" spans="1:19">
      <c r="A477" s="150"/>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0</v>
      </c>
      <c r="R477" s="661">
        <f t="shared" si="94"/>
        <v>0</v>
      </c>
      <c r="S477" s="316">
        <f t="shared" si="85"/>
        <v>0</v>
      </c>
    </row>
    <row r="478" spans="1:19">
      <c r="A478" s="150"/>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0</v>
      </c>
      <c r="R478" s="661">
        <f t="shared" si="94"/>
        <v>0</v>
      </c>
      <c r="S478" s="316">
        <f t="shared" si="85"/>
        <v>0</v>
      </c>
    </row>
    <row r="479" spans="1:19">
      <c r="A479" s="150"/>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0</v>
      </c>
      <c r="R479" s="661">
        <f t="shared" si="94"/>
        <v>0</v>
      </c>
      <c r="S479" s="316">
        <f t="shared" si="85"/>
        <v>0</v>
      </c>
    </row>
    <row r="480" spans="1:19">
      <c r="A480" s="150"/>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0</v>
      </c>
      <c r="R480" s="661">
        <f t="shared" si="94"/>
        <v>0</v>
      </c>
      <c r="S480" s="316">
        <f t="shared" si="85"/>
        <v>0</v>
      </c>
    </row>
    <row r="481" spans="1:19">
      <c r="A481" s="150"/>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0</v>
      </c>
      <c r="R481" s="661">
        <f t="shared" si="94"/>
        <v>0</v>
      </c>
      <c r="S481" s="316">
        <f t="shared" si="85"/>
        <v>0</v>
      </c>
    </row>
    <row r="482" spans="1:19">
      <c r="A482" s="150"/>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0</v>
      </c>
      <c r="R482" s="661">
        <f t="shared" si="94"/>
        <v>0</v>
      </c>
      <c r="S482" s="316">
        <f t="shared" si="85"/>
        <v>0</v>
      </c>
    </row>
    <row r="483" spans="1:19">
      <c r="A483" s="150"/>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0</v>
      </c>
      <c r="R483" s="661">
        <f t="shared" si="94"/>
        <v>0</v>
      </c>
      <c r="S483" s="316">
        <f t="shared" si="85"/>
        <v>0</v>
      </c>
    </row>
    <row r="484" spans="1:19">
      <c r="A484" s="150"/>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0</v>
      </c>
      <c r="R484" s="661">
        <f t="shared" si="94"/>
        <v>0</v>
      </c>
      <c r="S484" s="316">
        <f t="shared" si="85"/>
        <v>0</v>
      </c>
    </row>
    <row r="485" spans="1:19">
      <c r="A485" s="150"/>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0</v>
      </c>
      <c r="R485" s="661">
        <f t="shared" si="94"/>
        <v>0</v>
      </c>
      <c r="S485" s="316">
        <f t="shared" si="85"/>
        <v>0</v>
      </c>
    </row>
    <row r="486" spans="1:19">
      <c r="A486" s="150"/>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0</v>
      </c>
      <c r="R486" s="661">
        <f t="shared" si="94"/>
        <v>0</v>
      </c>
      <c r="S486" s="316">
        <f t="shared" si="85"/>
        <v>0</v>
      </c>
    </row>
    <row r="487" spans="1:19">
      <c r="A487" s="150"/>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0</v>
      </c>
      <c r="R487" s="661">
        <f t="shared" si="94"/>
        <v>0</v>
      </c>
      <c r="S487" s="316">
        <f t="shared" si="85"/>
        <v>0</v>
      </c>
    </row>
    <row r="488" spans="1:19">
      <c r="A488" s="150"/>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0</v>
      </c>
      <c r="R488" s="661">
        <f t="shared" si="94"/>
        <v>0</v>
      </c>
      <c r="S488" s="316">
        <f t="shared" si="85"/>
        <v>0</v>
      </c>
    </row>
    <row r="489" spans="1:19">
      <c r="A489" s="150"/>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0</v>
      </c>
      <c r="R489" s="661">
        <f t="shared" si="94"/>
        <v>0</v>
      </c>
      <c r="S489" s="316">
        <f t="shared" si="85"/>
        <v>0</v>
      </c>
    </row>
    <row r="490" spans="1:19">
      <c r="A490" s="150"/>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0</v>
      </c>
      <c r="R490" s="661">
        <f t="shared" si="94"/>
        <v>0</v>
      </c>
      <c r="S490" s="316">
        <f t="shared" si="85"/>
        <v>0</v>
      </c>
    </row>
    <row r="491" spans="1:19">
      <c r="A491" s="150"/>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0</v>
      </c>
      <c r="R491" s="661">
        <f t="shared" si="94"/>
        <v>0</v>
      </c>
      <c r="S491" s="316">
        <f t="shared" si="85"/>
        <v>0</v>
      </c>
    </row>
    <row r="492" spans="1:19">
      <c r="A492" s="150"/>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0</v>
      </c>
      <c r="R492" s="661">
        <f t="shared" si="94"/>
        <v>0</v>
      </c>
      <c r="S492" s="316">
        <f t="shared" si="85"/>
        <v>0</v>
      </c>
    </row>
    <row r="493" spans="1:19">
      <c r="A493" s="150"/>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0</v>
      </c>
      <c r="R493" s="661">
        <f t="shared" si="94"/>
        <v>0</v>
      </c>
      <c r="S493" s="316">
        <f t="shared" si="85"/>
        <v>0</v>
      </c>
    </row>
    <row r="494" spans="1:19">
      <c r="A494" s="150"/>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0</v>
      </c>
      <c r="R494" s="661">
        <f t="shared" si="94"/>
        <v>0</v>
      </c>
      <c r="S494" s="316">
        <f t="shared" si="85"/>
        <v>0</v>
      </c>
    </row>
    <row r="495" spans="1:19">
      <c r="A495" s="150"/>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0</v>
      </c>
      <c r="R495" s="661">
        <f t="shared" si="94"/>
        <v>0</v>
      </c>
      <c r="S495" s="316">
        <f t="shared" si="85"/>
        <v>0</v>
      </c>
    </row>
    <row r="496" spans="1:19">
      <c r="A496" s="150"/>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0</v>
      </c>
      <c r="R496" s="661">
        <f t="shared" si="94"/>
        <v>0</v>
      </c>
      <c r="S496" s="316">
        <f t="shared" si="85"/>
        <v>0</v>
      </c>
    </row>
    <row r="497" spans="1:19">
      <c r="A497" s="150"/>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0</v>
      </c>
      <c r="R497" s="661">
        <f t="shared" si="94"/>
        <v>0</v>
      </c>
      <c r="S497" s="316">
        <f t="shared" si="85"/>
        <v>0</v>
      </c>
    </row>
    <row r="498" spans="1:19">
      <c r="A498" s="150"/>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0</v>
      </c>
      <c r="R498" s="661">
        <f t="shared" si="94"/>
        <v>0</v>
      </c>
      <c r="S498" s="316">
        <f t="shared" ref="S498:S524" si="95">ROUND(R498*B498/10000,0)</f>
        <v>0</v>
      </c>
    </row>
    <row r="499" spans="1:19">
      <c r="A499" s="150"/>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0</v>
      </c>
      <c r="R499" s="661">
        <f t="shared" si="94"/>
        <v>0</v>
      </c>
      <c r="S499" s="316">
        <f t="shared" si="95"/>
        <v>0</v>
      </c>
    </row>
    <row r="500" spans="1:19">
      <c r="A500" s="150"/>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0</v>
      </c>
      <c r="R500" s="661">
        <f t="shared" si="94"/>
        <v>0</v>
      </c>
      <c r="S500" s="316">
        <f t="shared" si="95"/>
        <v>0</v>
      </c>
    </row>
    <row r="501" spans="1:19">
      <c r="A501" s="150"/>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0</v>
      </c>
      <c r="R501" s="661">
        <f t="shared" si="94"/>
        <v>0</v>
      </c>
      <c r="S501" s="316">
        <f t="shared" si="95"/>
        <v>0</v>
      </c>
    </row>
    <row r="502" spans="1:19">
      <c r="A502" s="150"/>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0</v>
      </c>
      <c r="R502" s="661">
        <f t="shared" si="94"/>
        <v>0</v>
      </c>
      <c r="S502" s="316">
        <f t="shared" si="95"/>
        <v>0</v>
      </c>
    </row>
    <row r="503" spans="1:19">
      <c r="A503" s="150"/>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0</v>
      </c>
      <c r="R503" s="661">
        <f t="shared" si="94"/>
        <v>0</v>
      </c>
      <c r="S503" s="316">
        <f t="shared" si="95"/>
        <v>0</v>
      </c>
    </row>
    <row r="504" spans="1:19">
      <c r="A504" s="150"/>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0</v>
      </c>
      <c r="R504" s="661">
        <f t="shared" si="94"/>
        <v>0</v>
      </c>
      <c r="S504" s="316">
        <f t="shared" si="95"/>
        <v>0</v>
      </c>
    </row>
    <row r="505" spans="1:19">
      <c r="A505" s="150"/>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0</v>
      </c>
      <c r="R505" s="661">
        <f t="shared" si="94"/>
        <v>0</v>
      </c>
      <c r="S505" s="316">
        <f t="shared" si="95"/>
        <v>0</v>
      </c>
    </row>
    <row r="506" spans="1:19">
      <c r="A506" s="150"/>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0</v>
      </c>
      <c r="R506" s="661">
        <f t="shared" si="94"/>
        <v>0</v>
      </c>
      <c r="S506" s="316">
        <f t="shared" si="95"/>
        <v>0</v>
      </c>
    </row>
    <row r="507" spans="1:19">
      <c r="A507" s="150"/>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0</v>
      </c>
      <c r="R507" s="661">
        <f t="shared" si="94"/>
        <v>0</v>
      </c>
      <c r="S507" s="316">
        <f t="shared" si="95"/>
        <v>0</v>
      </c>
    </row>
    <row r="508" spans="1:19">
      <c r="A508" s="150"/>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0</v>
      </c>
      <c r="R508" s="661">
        <f t="shared" si="94"/>
        <v>0</v>
      </c>
      <c r="S508" s="316">
        <f t="shared" si="95"/>
        <v>0</v>
      </c>
    </row>
    <row r="509" spans="1:19">
      <c r="A509" s="150"/>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0</v>
      </c>
      <c r="R509" s="661">
        <f t="shared" si="94"/>
        <v>0</v>
      </c>
      <c r="S509" s="316">
        <f t="shared" si="95"/>
        <v>0</v>
      </c>
    </row>
    <row r="510" spans="1:19">
      <c r="A510" s="150"/>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0</v>
      </c>
      <c r="R510" s="661">
        <f t="shared" si="94"/>
        <v>0</v>
      </c>
      <c r="S510" s="316">
        <f t="shared" si="95"/>
        <v>0</v>
      </c>
    </row>
    <row r="511" spans="1:19">
      <c r="A511" s="150"/>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0</v>
      </c>
      <c r="R511" s="661">
        <f t="shared" si="94"/>
        <v>0</v>
      </c>
      <c r="S511" s="316">
        <f t="shared" si="95"/>
        <v>0</v>
      </c>
    </row>
    <row r="512" spans="1:19">
      <c r="A512" s="150"/>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0</v>
      </c>
      <c r="R512" s="661">
        <f t="shared" si="94"/>
        <v>0</v>
      </c>
      <c r="S512" s="316">
        <f t="shared" si="95"/>
        <v>0</v>
      </c>
    </row>
    <row r="513" spans="1:19">
      <c r="A513" s="150"/>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0</v>
      </c>
      <c r="R513" s="661">
        <f t="shared" si="94"/>
        <v>0</v>
      </c>
      <c r="S513" s="316">
        <f t="shared" si="95"/>
        <v>0</v>
      </c>
    </row>
    <row r="514" spans="1:19">
      <c r="A514" s="150"/>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0</v>
      </c>
      <c r="R514" s="661">
        <f t="shared" si="94"/>
        <v>0</v>
      </c>
      <c r="S514" s="316">
        <f t="shared" si="95"/>
        <v>0</v>
      </c>
    </row>
    <row r="515" spans="1:19">
      <c r="A515" s="150"/>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0</v>
      </c>
      <c r="R515" s="661">
        <f t="shared" si="94"/>
        <v>0</v>
      </c>
      <c r="S515" s="316">
        <f t="shared" si="95"/>
        <v>0</v>
      </c>
    </row>
    <row r="516" spans="1:19">
      <c r="A516" s="150"/>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0</v>
      </c>
      <c r="R516" s="661">
        <f t="shared" si="94"/>
        <v>0</v>
      </c>
      <c r="S516" s="316">
        <f t="shared" si="95"/>
        <v>0</v>
      </c>
    </row>
    <row r="517" spans="1:19">
      <c r="A517" s="150"/>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0</v>
      </c>
      <c r="R517" s="661">
        <f t="shared" si="94"/>
        <v>0</v>
      </c>
      <c r="S517" s="316">
        <f t="shared" si="95"/>
        <v>0</v>
      </c>
    </row>
    <row r="518" spans="1:19">
      <c r="A518" s="150"/>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0</v>
      </c>
      <c r="R518" s="661">
        <f t="shared" si="94"/>
        <v>0</v>
      </c>
      <c r="S518" s="316">
        <f t="shared" si="95"/>
        <v>0</v>
      </c>
    </row>
    <row r="519" spans="1:19">
      <c r="A519" s="150"/>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0</v>
      </c>
      <c r="R519" s="661">
        <f t="shared" si="94"/>
        <v>0</v>
      </c>
      <c r="S519" s="316">
        <f t="shared" si="95"/>
        <v>0</v>
      </c>
    </row>
    <row r="520" spans="1:19">
      <c r="A520" s="150"/>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0</v>
      </c>
      <c r="R520" s="661">
        <f t="shared" si="94"/>
        <v>0</v>
      </c>
      <c r="S520" s="316">
        <f t="shared" si="95"/>
        <v>0</v>
      </c>
    </row>
    <row r="521" spans="1:19">
      <c r="A521" s="150"/>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0</v>
      </c>
      <c r="R521" s="661">
        <f t="shared" si="94"/>
        <v>0</v>
      </c>
      <c r="S521" s="316">
        <f t="shared" si="95"/>
        <v>0</v>
      </c>
    </row>
    <row r="522" spans="1:19">
      <c r="A522" s="150"/>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0</v>
      </c>
      <c r="R522" s="661">
        <f t="shared" si="94"/>
        <v>0</v>
      </c>
      <c r="S522" s="316">
        <f t="shared" si="95"/>
        <v>0</v>
      </c>
    </row>
    <row r="523" spans="1:19">
      <c r="A523" s="150"/>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0</v>
      </c>
      <c r="R523" s="661">
        <f t="shared" si="94"/>
        <v>0</v>
      </c>
      <c r="S523" s="316">
        <f t="shared" si="95"/>
        <v>0</v>
      </c>
    </row>
    <row r="524" spans="1:19">
      <c r="A524" s="150"/>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0</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t="e">
        <f>C30</f>
        <v>#DIV/0!</v>
      </c>
      <c r="C2" s="1997" t="s">
        <v>1935</v>
      </c>
      <c r="D2" s="1998" t="s">
        <v>1936</v>
      </c>
      <c r="E2" s="3420"/>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9">
        <f>ROUND(SUMPRODUCT((B106:B110=R2)*(C105:N105=G2)*(C106:N110)),4)</f>
        <v>0</v>
      </c>
      <c r="T2" s="3359" t="e">
        <f t="shared" ref="T2:T16" si="0">ROUND($C$5*$C$22*$C$23*$C$24*S2*$C$28,0)</f>
        <v>#DIV/0!</v>
      </c>
      <c r="U2" s="1211"/>
      <c r="V2" s="3359" t="e">
        <f>ROUND(T2*U2/10000,0)</f>
        <v>#DIV/0!</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8"/>
      <c r="F3" s="2002"/>
      <c r="G3" s="750">
        <f>IF(F3="宗地容积率",'数据-汇总表'!I4,IF(F3="估价对象容积率",'数据-汇总表'!I6,'数据-汇总表'!I7))</f>
        <v>0</v>
      </c>
      <c r="H3" s="170" t="s">
        <v>1943</v>
      </c>
      <c r="I3" s="773"/>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9">
        <f>ROUND(SUMPRODUCT((B106:B110=R3)*(C105:N105=G2)*(C106:N110)),4)</f>
        <v>0</v>
      </c>
      <c r="T3" s="3359" t="e">
        <f t="shared" si="0"/>
        <v>#DIV/0!</v>
      </c>
      <c r="U3" s="1211"/>
      <c r="V3" s="3359" t="e">
        <f t="shared" ref="V3:V16" si="1">ROUND(T3*U3/10000,0)</f>
        <v>#DIV/0!</v>
      </c>
      <c r="W3" s="1214"/>
      <c r="X3" s="1214"/>
      <c r="Y3" s="1214"/>
      <c r="Z3" s="1214"/>
      <c r="AA3" s="1214"/>
      <c r="AB3" s="1214"/>
      <c r="AC3" s="1215"/>
      <c r="AD3" s="1216"/>
      <c r="AE3" s="1216"/>
      <c r="AF3" s="1216"/>
      <c r="AG3" s="1216"/>
      <c r="AH3" s="1216"/>
      <c r="AI3" s="1216"/>
      <c r="AJ3" s="1217"/>
    </row>
    <row r="4" spans="1:36" ht="15.75">
      <c r="A4" s="3746"/>
      <c r="B4" s="3747"/>
      <c r="C4" s="3747"/>
      <c r="D4" s="3748"/>
      <c r="E4" s="3748"/>
      <c r="F4" s="3748"/>
      <c r="G4" s="3748"/>
      <c r="H4" s="3748"/>
      <c r="I4" s="3748"/>
      <c r="J4" s="3749"/>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9">
        <f>ROUND(SUMPRODUCT((B106:B110=R4)*(C105:N105=G2)*(C106:N110)),4)</f>
        <v>0</v>
      </c>
      <c r="T4" s="3359" t="e">
        <f t="shared" si="0"/>
        <v>#DIV/0!</v>
      </c>
      <c r="U4" s="1211"/>
      <c r="V4" s="3359" t="e">
        <f t="shared" si="1"/>
        <v>#DIV/0!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t="e">
        <f>ROUND(IF(E2="商业",C6*C7*C17+C20,(IF(E2="住宅",C6*C13*C17+C20,IF(E2="办公",C6*C12*C17+C20,C6+C20)))),0)</f>
        <v>#DIV/0!</v>
      </c>
      <c r="D5" s="1337" t="e">
        <f>ROUND(C6*C17+C20,0)</f>
        <v>#DIV/0!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9">
        <f>ROUND(SUMPRODUCT((B106:B110=R5)*(C105:N105=G2)*(C106:N110)),4)</f>
        <v>0</v>
      </c>
      <c r="T5" s="3359" t="e">
        <f t="shared" si="0"/>
        <v>#DIV/0!</v>
      </c>
      <c r="U5" s="1211"/>
      <c r="V5" s="3359" t="e">
        <f t="shared" si="1"/>
        <v>#DIV/0!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9">
        <f>ROUND(SUMPRODUCT((B106:B110=R6)*(C105:N105=G2)*(C106:N110)),4)</f>
        <v>0</v>
      </c>
      <c r="T6" s="3359" t="e">
        <f t="shared" si="0"/>
        <v>#DIV/0!</v>
      </c>
      <c r="U6" s="1211"/>
      <c r="V6" s="3359" t="e">
        <f t="shared" si="1"/>
        <v>#DIV/0!</v>
      </c>
      <c r="W6" s="1214"/>
      <c r="X6" s="1214"/>
      <c r="Y6" s="1214"/>
      <c r="Z6" s="1214"/>
      <c r="AA6" s="1214"/>
      <c r="AB6" s="1214"/>
      <c r="AC6" s="2009"/>
      <c r="AD6" s="2010"/>
      <c r="AE6" s="2010"/>
      <c r="AF6" s="2010"/>
      <c r="AG6" s="2010"/>
      <c r="AH6" s="2010"/>
      <c r="AI6" s="2010"/>
      <c r="AJ6" s="2011"/>
    </row>
    <row r="7" spans="1:36" ht="24.75" thickBot="1">
      <c r="A7" s="3302" t="s">
        <v>3240</v>
      </c>
      <c r="B7" s="2019" t="s">
        <v>1952</v>
      </c>
      <c r="C7" s="753" t="e">
        <f>IF(C8="不临65条商业街",1,ROUND(1+(1.6*E8+1.2*E9+0.8*E10+0.4*E11)*C9,4))</f>
        <v>#DIV/0!</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7"/>
      <c r="T7" s="3359" t="e">
        <f t="shared" si="0"/>
        <v>#DIV/0!</v>
      </c>
      <c r="U7" s="1211"/>
      <c r="V7" s="3359" t="e">
        <f t="shared" si="1"/>
        <v>#DIV/0!</v>
      </c>
      <c r="W7" s="1356" t="s">
        <v>1955</v>
      </c>
      <c r="X7" s="1212">
        <f>G2</f>
        <v>0</v>
      </c>
      <c r="Y7" s="1212" t="s">
        <v>1956</v>
      </c>
      <c r="Z7" s="1213">
        <f>G3</f>
        <v>0</v>
      </c>
      <c r="AA7" s="1214"/>
      <c r="AB7" s="1214"/>
      <c r="AC7" s="1215"/>
      <c r="AD7" s="1216"/>
      <c r="AE7" s="1216"/>
      <c r="AF7" s="1216"/>
      <c r="AG7" s="1216"/>
      <c r="AH7" s="1216"/>
      <c r="AI7" s="1216"/>
      <c r="AJ7" s="1217"/>
    </row>
    <row r="8" spans="1:36" ht="15">
      <c r="A8" s="3297"/>
      <c r="B8" s="170" t="s">
        <v>1957</v>
      </c>
      <c r="C8" s="2024"/>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9" t="e">
        <f t="shared" si="0"/>
        <v>#DIV/0!</v>
      </c>
      <c r="U8" s="1211"/>
      <c r="V8" s="3359" t="e">
        <f t="shared" si="1"/>
        <v>#DIV/0!</v>
      </c>
      <c r="W8" s="3743" t="s">
        <v>1960</v>
      </c>
      <c r="X8" s="3744"/>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9" t="e">
        <f t="shared" si="0"/>
        <v>#DIV/0!</v>
      </c>
      <c r="U9" s="1211"/>
      <c r="V9" s="3359" t="e">
        <f t="shared" si="1"/>
        <v>#DIV/0!</v>
      </c>
      <c r="W9" s="3745"/>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9" t="e">
        <f t="shared" si="0"/>
        <v>#DIV/0!</v>
      </c>
      <c r="U10" s="1211"/>
      <c r="V10" s="3359" t="e">
        <f t="shared" si="1"/>
        <v>#DIV/0!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9" t="e">
        <f t="shared" si="0"/>
        <v>#DIV/0!</v>
      </c>
      <c r="U11" s="1211"/>
      <c r="V11" s="3359" t="e">
        <f t="shared" si="1"/>
        <v>#DIV/0!</v>
      </c>
      <c r="W11" s="1214"/>
      <c r="X11" s="1214"/>
      <c r="Y11" s="1214"/>
      <c r="Z11" s="1214"/>
      <c r="AA11" s="1214"/>
      <c r="AB11" s="1214"/>
      <c r="AC11" s="1215"/>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9" t="e">
        <f t="shared" si="0"/>
        <v>#DIV/0!</v>
      </c>
      <c r="U12" s="1211"/>
      <c r="V12" s="3359" t="e">
        <f t="shared" si="1"/>
        <v>#DIV/0!</v>
      </c>
      <c r="W12" s="1214"/>
      <c r="X12" s="1214"/>
      <c r="Y12" s="1214"/>
      <c r="Z12" s="1214"/>
      <c r="AA12" s="1214"/>
      <c r="AB12" s="1214"/>
      <c r="AC12" s="1215"/>
      <c r="AD12" s="2787"/>
      <c r="AE12" s="2787"/>
      <c r="AF12" s="2787"/>
      <c r="AG12" s="2787"/>
      <c r="AH12" s="2787"/>
      <c r="AI12" s="2787"/>
      <c r="AJ12" s="2788"/>
    </row>
    <row r="13" spans="1:36" ht="15.75" thickBot="1">
      <c r="A13" s="3302" t="s">
        <v>3245</v>
      </c>
      <c r="B13" s="2032" t="s">
        <v>1982</v>
      </c>
      <c r="C13" s="753">
        <f>ROUND(C16*D16*E16*F16*G16*H16*I16*J16,4)</f>
        <v>0</v>
      </c>
      <c r="D13" s="2033" t="s">
        <v>1983</v>
      </c>
      <c r="E13" s="2034"/>
      <c r="F13" s="2034"/>
      <c r="G13" s="2035"/>
      <c r="H13" s="2035"/>
      <c r="I13" s="2035"/>
      <c r="J13" s="2036"/>
      <c r="K13" s="1117"/>
      <c r="L13" s="3298"/>
      <c r="M13" s="3299"/>
      <c r="N13" s="3300"/>
      <c r="O13" s="1117"/>
      <c r="P13" s="1117"/>
      <c r="Q13" s="1117"/>
      <c r="R13" s="1210">
        <v>12</v>
      </c>
      <c r="S13" s="1211"/>
      <c r="T13" s="3359" t="e">
        <f t="shared" si="0"/>
        <v>#DIV/0!</v>
      </c>
      <c r="U13" s="1211"/>
      <c r="V13" s="3359" t="e">
        <f t="shared" si="1"/>
        <v>#DIV/0!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3246</v>
      </c>
      <c r="G14" s="3310" t="s">
        <v>3246</v>
      </c>
      <c r="H14" s="3310" t="s">
        <v>3246</v>
      </c>
      <c r="I14" s="3310" t="s">
        <v>3246</v>
      </c>
      <c r="J14" s="3310" t="s">
        <v>3246</v>
      </c>
      <c r="K14" s="1117"/>
      <c r="L14" s="1117"/>
      <c r="M14" s="1117"/>
      <c r="N14" s="1117"/>
      <c r="O14" s="1117"/>
      <c r="P14" s="1117"/>
      <c r="Q14" s="1117"/>
      <c r="R14" s="1210">
        <v>13</v>
      </c>
      <c r="S14" s="1211"/>
      <c r="T14" s="3359" t="e">
        <f t="shared" si="0"/>
        <v>#DIV/0!</v>
      </c>
      <c r="U14" s="1211"/>
      <c r="V14" s="3359" t="e">
        <f t="shared" si="1"/>
        <v>#DIV/0!</v>
      </c>
      <c r="W14" s="1214"/>
      <c r="X14" s="1214"/>
      <c r="Y14" s="1214"/>
      <c r="Z14" s="1214"/>
      <c r="AA14" s="1214"/>
      <c r="AB14" s="1214"/>
      <c r="AC14" s="1215"/>
      <c r="AD14" s="2787"/>
      <c r="AE14" s="2787"/>
      <c r="AF14" s="2787"/>
      <c r="AG14" s="2787"/>
      <c r="AH14" s="2787"/>
      <c r="AI14" s="2787"/>
      <c r="AJ14" s="2788"/>
    </row>
    <row r="15" spans="1:36" ht="15">
      <c r="A15" s="3296"/>
      <c r="B15" s="2040"/>
      <c r="C15" s="2041"/>
      <c r="D15" s="2042"/>
      <c r="E15" s="2043"/>
      <c r="F15" s="3311" t="s">
        <v>3247</v>
      </c>
      <c r="G15" s="3312"/>
      <c r="H15" s="3313"/>
      <c r="I15" s="3314"/>
      <c r="J15" s="3315"/>
      <c r="K15" s="1117"/>
      <c r="L15" s="1117"/>
      <c r="M15" s="1117"/>
      <c r="N15" s="1117"/>
      <c r="O15" s="1117"/>
      <c r="P15" s="1117"/>
      <c r="Q15" s="1117"/>
      <c r="R15" s="1210">
        <v>14</v>
      </c>
      <c r="S15" s="1211"/>
      <c r="T15" s="3359" t="e">
        <f t="shared" si="0"/>
        <v>#DIV/0!</v>
      </c>
      <c r="U15" s="1211"/>
      <c r="V15" s="3359" t="e">
        <f t="shared" si="1"/>
        <v>#DIV/0!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7"/>
      <c r="L16" s="1995"/>
      <c r="M16" s="1995"/>
      <c r="N16" s="1995"/>
      <c r="O16" s="1995"/>
      <c r="P16" s="1995"/>
      <c r="Q16" s="1117"/>
      <c r="R16" s="1210">
        <v>15</v>
      </c>
      <c r="S16" s="1211"/>
      <c r="T16" s="3359" t="e">
        <f t="shared" si="0"/>
        <v>#DIV/0!</v>
      </c>
      <c r="U16" s="1211"/>
      <c r="V16" s="3359" t="e">
        <f t="shared" si="1"/>
        <v>#DIV/0!</v>
      </c>
      <c r="W16" s="1214"/>
      <c r="X16" s="1214"/>
      <c r="Y16" s="1214"/>
      <c r="Z16" s="1214"/>
      <c r="AA16" s="1214"/>
      <c r="AB16" s="1214"/>
      <c r="AC16" s="1215"/>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1"/>
      <c r="B18" s="3008"/>
      <c r="C18" s="3326"/>
      <c r="D18" s="3321" t="s">
        <v>3251</v>
      </c>
      <c r="E18" s="3327"/>
      <c r="F18" s="3322" t="s">
        <v>3254</v>
      </c>
      <c r="G18" s="3326">
        <f>ROUND(1-(1/(POWER(1+G24,E18))),4)</f>
        <v>0</v>
      </c>
      <c r="H18" s="3322" t="s">
        <v>3256</v>
      </c>
      <c r="I18" s="3326">
        <f>ROUND(1-(1/(POWER(1+G24,J24))),4)</f>
        <v>0</v>
      </c>
      <c r="J18" s="3332"/>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6"/>
    </row>
    <row r="19" spans="1:37" s="2012" customFormat="1" ht="15" thickBot="1">
      <c r="A19" s="3333"/>
      <c r="B19" s="3334"/>
      <c r="C19" s="3335"/>
      <c r="D19" s="3335" t="s">
        <v>3252</v>
      </c>
      <c r="E19" s="3336"/>
      <c r="F19" s="3337" t="s">
        <v>3255</v>
      </c>
      <c r="G19" s="3336"/>
      <c r="H19" s="3335"/>
      <c r="I19" s="3335"/>
      <c r="J19" s="3338"/>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9"/>
      <c r="AH19" s="2139"/>
      <c r="AI19" s="2790"/>
      <c r="AJ19" s="2790"/>
      <c r="AK19" s="2055"/>
    </row>
    <row r="20" spans="1:37" s="2012" customFormat="1" ht="14.25">
      <c r="A20" s="3750" t="s">
        <v>3257</v>
      </c>
      <c r="B20" s="167" t="s">
        <v>1994</v>
      </c>
      <c r="C20" s="3323" t="e">
        <f>ROUND(IF(F21="与级别开发程度一致",0,(G21-E21)/C21),0)</f>
        <v>#DIV/0!</v>
      </c>
      <c r="D20" s="3339" t="s">
        <v>1998</v>
      </c>
      <c r="E20" s="3340"/>
      <c r="F20" s="3756" t="s">
        <v>1995</v>
      </c>
      <c r="G20" s="3757"/>
      <c r="H20" s="3324"/>
      <c r="I20" s="3324"/>
      <c r="J20" s="3325"/>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6"/>
      <c r="AH20" s="2786"/>
      <c r="AI20" s="2786"/>
      <c r="AJ20" s="2786"/>
    </row>
    <row r="21" spans="1:37" s="2012" customFormat="1" ht="15" thickBot="1">
      <c r="A21" s="3751"/>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2"/>
      <c r="S21" s="1122"/>
      <c r="T21" s="1118"/>
      <c r="U21" s="1118"/>
      <c r="V21" s="1118"/>
      <c r="W21" s="1117"/>
      <c r="X21" s="1117"/>
      <c r="Y21" s="1117"/>
      <c r="Z21" s="1123"/>
      <c r="AA21" s="1123"/>
      <c r="AB21" s="1123"/>
      <c r="AC21" s="1123"/>
      <c r="AD21" s="1123"/>
      <c r="AE21" s="1123"/>
      <c r="AF21" s="1123"/>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3"/>
      <c r="L22" s="2786"/>
      <c r="M22" s="2786"/>
      <c r="N22" s="2786"/>
      <c r="O22" s="1121"/>
      <c r="P22" s="1121"/>
      <c r="Q22" s="2786"/>
      <c r="R22" s="1122"/>
      <c r="S22" s="1122"/>
      <c r="T22" s="1118"/>
      <c r="U22" s="1118"/>
      <c r="V22" s="1118"/>
      <c r="W22" s="1117"/>
      <c r="X22" s="1117"/>
      <c r="Y22" s="1117"/>
      <c r="Z22" s="1123"/>
      <c r="AA22" s="1123"/>
      <c r="AB22" s="1123"/>
      <c r="AC22" s="1123"/>
      <c r="AD22" s="1123"/>
      <c r="AE22" s="1123"/>
      <c r="AF22" s="1123"/>
      <c r="AG22" s="2786"/>
      <c r="AH22" s="2786"/>
      <c r="AI22" s="2786"/>
      <c r="AJ22" s="2786"/>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2" t="s">
        <v>2002</v>
      </c>
      <c r="E23" s="759">
        <v>44197</v>
      </c>
      <c r="F23" s="2052" t="s">
        <v>2003</v>
      </c>
      <c r="G23" s="760">
        <f>'数据-取费表'!B2</f>
        <v>45595</v>
      </c>
      <c r="H23" s="3341" t="s">
        <v>3259</v>
      </c>
      <c r="I23" s="3342" t="str">
        <f>IF(H23="季度增幅（自定义）",SUMIF(N25:N28,E2,O25:O28),"")</f>
        <v/>
      </c>
      <c r="J23" s="3444" t="s">
        <v>3258</v>
      </c>
      <c r="K23" s="1123"/>
      <c r="L23" s="2053" t="s">
        <v>2004</v>
      </c>
      <c r="M23" s="1326">
        <f>ROUND(SUMIF(地价!B2:G2,E2,地价!B16:G16),0)</f>
        <v>0</v>
      </c>
      <c r="N23" s="2054" t="s">
        <v>2005</v>
      </c>
      <c r="O23" s="761">
        <f>ROUNDDOWN(DATEDIF(E23,G23,"M")/3,0)</f>
        <v>15</v>
      </c>
      <c r="P23" s="1120"/>
      <c r="Q23" s="2786"/>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t="e">
        <f>ROUND(POWER(1+G24,J24-I24)*(POWER(1+G24,I24)-1)/(POWER(1+G24,J24)-1),4)</f>
        <v>#DIV/0!</v>
      </c>
      <c r="D24" s="2058" t="s">
        <v>2007</v>
      </c>
      <c r="E24" s="1333">
        <f>存贷款利率!E24/100</f>
        <v>4.3499999999999997E-2</v>
      </c>
      <c r="F24" s="2058" t="s">
        <v>1999</v>
      </c>
      <c r="G24" s="766">
        <f>SUMIF(M30:Q30,E2,M33:Q33)</f>
        <v>0</v>
      </c>
      <c r="H24" s="2058" t="s">
        <v>2008</v>
      </c>
      <c r="I24" s="767" t="e">
        <f>SUMIF('数据-取费表'!C6:C15,E2,'数据-取费表'!F6:F15)/COUNTIF('数据-取费表'!C6:C15,E2)</f>
        <v>#DIV/0!</v>
      </c>
      <c r="J24" s="768">
        <f>IF(E2="住宅",70,IF(E2="商业",40,50))</f>
        <v>50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6"/>
      <c r="AH24" s="2786"/>
      <c r="AI24" s="2786"/>
      <c r="AJ24" s="2786"/>
    </row>
    <row r="25" spans="1:37" ht="15">
      <c r="A25" s="2063" t="s">
        <v>366</v>
      </c>
      <c r="B25" s="2064" t="s">
        <v>3338</v>
      </c>
      <c r="C25" s="769">
        <f>IF(B25="容积率修正",IF(G3&lt;10,D26,J26),C27)</f>
        <v>0</v>
      </c>
      <c r="D25" s="2065"/>
      <c r="E25" s="2065"/>
      <c r="F25" s="2065"/>
      <c r="G25" s="2065"/>
      <c r="H25" s="2065"/>
      <c r="I25" s="2065"/>
      <c r="J25" s="2066"/>
      <c r="K25" s="1123"/>
      <c r="L25" s="2786"/>
      <c r="M25" s="2786"/>
      <c r="N25" s="2067" t="s">
        <v>2013</v>
      </c>
      <c r="O25" s="1171"/>
      <c r="P25" s="1172">
        <f>SUMPRODUCT((地价!A3:A40=YEAR(G23)&amp;"-"&amp;ROUNDUP(MONTH(G23)/3,0))*(地价!AD2:AH2=N25)*(地价!AD3:AH40))</f>
        <v>0</v>
      </c>
      <c r="Q25" s="2786"/>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3" t="s">
        <v>3260</v>
      </c>
      <c r="D26" s="1350">
        <f>IF(E26=G26,F26,IF(G3&lt;10,ROUND(F26+(H26-F26)*(G3-E26)/(G26-E26),4),"——"))</f>
        <v>0</v>
      </c>
      <c r="E26" s="750">
        <f>ROUNDDOWN(G3,1)</f>
        <v>0</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0" t="str">
        <f>IF(G3&gt;=10,D115,"——")</f>
        <v>——</v>
      </c>
      <c r="K26" s="1123"/>
      <c r="L26" s="2786"/>
      <c r="M26" s="2786"/>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0</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v>
      </c>
      <c r="D28" s="2050"/>
      <c r="E28" s="2075"/>
      <c r="F28" s="2075"/>
      <c r="G28" s="2075"/>
      <c r="H28" s="2075"/>
      <c r="I28" s="2075"/>
      <c r="J28" s="2076"/>
      <c r="K28" s="1123"/>
      <c r="L28" s="2786"/>
      <c r="M28" s="2786"/>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3" t="s">
        <v>2023</v>
      </c>
      <c r="O29" s="2784"/>
      <c r="P29" s="2785">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7"/>
      <c r="L30" s="3349" t="s">
        <v>1936</v>
      </c>
      <c r="M30" s="3350" t="s">
        <v>1990</v>
      </c>
      <c r="N30" s="3350" t="s">
        <v>1991</v>
      </c>
      <c r="O30" s="3350" t="s">
        <v>1992</v>
      </c>
      <c r="P30" s="3350" t="s">
        <v>1993</v>
      </c>
      <c r="Q30" s="3353" t="s">
        <v>3265</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t="e">
        <f>E34+SUM(I37:I42)</f>
        <v>#DIV/0!</v>
      </c>
      <c r="D31" s="2085"/>
      <c r="E31" s="2086"/>
      <c r="F31" s="2087"/>
      <c r="G31" s="2086"/>
      <c r="H31" s="2086"/>
      <c r="I31" s="2086"/>
      <c r="J31" s="2088"/>
      <c r="K31" s="1117"/>
      <c r="L31" s="3351" t="s">
        <v>1996</v>
      </c>
      <c r="M31" s="1998">
        <v>0.25</v>
      </c>
      <c r="N31" s="1998">
        <v>0.2</v>
      </c>
      <c r="O31" s="1998">
        <v>0.15</v>
      </c>
      <c r="P31" s="1998">
        <v>0.1</v>
      </c>
      <c r="Q31" s="3346">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2" t="s">
        <v>1999</v>
      </c>
      <c r="M32" s="2568">
        <f>ROUND($E$24*(1+M31),3)</f>
        <v>5.3999999999999999E-2</v>
      </c>
      <c r="N32" s="2568">
        <f>ROUND($E$24*(1+N31),3)</f>
        <v>5.1999999999999998E-2</v>
      </c>
      <c r="O32" s="2568">
        <f>ROUND($E$24*(1+O31),3)</f>
        <v>0.05</v>
      </c>
      <c r="P32" s="2568">
        <f>ROUND($E$24*(1+P31),3)</f>
        <v>4.8000000000000001E-2</v>
      </c>
      <c r="Q32" s="3354">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t="e">
        <f>ROUND(C5*C22*C23*C24*C25*C28,0)</f>
        <v>#DIV/0!</v>
      </c>
      <c r="D33" s="2096"/>
      <c r="E33" s="771" t="e">
        <f>ROUND(C33*D33/10000,0)</f>
        <v>#DIV/0!</v>
      </c>
      <c r="F33" s="3344" t="s">
        <v>3263</v>
      </c>
      <c r="G33" s="2097"/>
      <c r="H33" s="2097"/>
      <c r="I33" s="2097"/>
      <c r="J33" s="2098"/>
      <c r="K33" s="1117"/>
      <c r="L33" s="3347" t="s">
        <v>3266</v>
      </c>
      <c r="M33" s="3348">
        <v>5.5E-2</v>
      </c>
      <c r="N33" s="3348">
        <v>5.5E-2</v>
      </c>
      <c r="O33" s="3348">
        <v>0.05</v>
      </c>
      <c r="P33" s="3348">
        <v>0.05</v>
      </c>
      <c r="Q33" s="3348">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t="e">
        <f>ROUND(IF(B25="楼层修正",SUM(V2:V16)*M40,C34*D34/10000),0)</f>
        <v>#DIV/0!</v>
      </c>
      <c r="F34" s="2102" t="s">
        <v>2032</v>
      </c>
      <c r="G34" s="2103"/>
      <c r="H34" s="2103"/>
      <c r="I34" s="2103"/>
      <c r="J34" s="2104"/>
      <c r="K34" s="1117"/>
      <c r="L34" s="3347" t="s">
        <v>3267</v>
      </c>
      <c r="M34" s="3348">
        <v>6.5000000000000002E-2</v>
      </c>
      <c r="N34" s="3348">
        <v>6.5000000000000002E-2</v>
      </c>
      <c r="O34" s="3348">
        <v>0.06</v>
      </c>
      <c r="P34" s="3348">
        <v>0.06</v>
      </c>
      <c r="Q34" s="3348">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5" t="s">
        <v>3264</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3268</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754"/>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755"/>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7"/>
      <c r="S38" s="1117"/>
      <c r="T38" s="1117"/>
      <c r="U38" s="1117"/>
      <c r="V38" s="1117"/>
      <c r="W38" s="1117"/>
      <c r="X38" s="1117"/>
      <c r="Y38" s="1117"/>
      <c r="Z38" s="1118"/>
      <c r="AA38" s="1118"/>
      <c r="AB38" s="1118"/>
      <c r="AC38" s="1118"/>
      <c r="AD38" s="1118"/>
    </row>
    <row r="39" spans="1:37" ht="13.5" thickBot="1">
      <c r="A39" s="3755"/>
      <c r="B39" s="2039" t="s">
        <v>3262</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58" t="s">
        <v>3270</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t="e">
        <f>ROUND(D5*C22*C23*C44*C28*F42,0)</f>
        <v>#DIV/0!</v>
      </c>
      <c r="D42" s="2101"/>
      <c r="E42" s="187" t="e">
        <f t="shared" si="4"/>
        <v>#DIV/0!</v>
      </c>
      <c r="F42" s="765">
        <f>SUMIF(修正!A57:A68,G2,修正!G57:G68)</f>
        <v>0</v>
      </c>
      <c r="G42" s="187" t="e">
        <f>ROUND(IF(E2="工业",C42*$M$42,C42*$M$41),0)</f>
        <v>#DIV/0!</v>
      </c>
      <c r="H42" s="187">
        <f t="shared" si="5"/>
        <v>0</v>
      </c>
      <c r="I42" s="187" t="e">
        <f t="shared" si="6"/>
        <v>#DIV/0!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2121</v>
      </c>
      <c r="C44" s="342" t="e">
        <f>ROUND(POWER(1+E44,H44-G44)*(POWER(1+E44,G44)-1)/(POWER(1+E44,H44)-1),4)</f>
        <v>#DIV/0!</v>
      </c>
      <c r="D44" s="171" t="s">
        <v>1999</v>
      </c>
      <c r="E44" s="2151">
        <f>G24</f>
        <v>0</v>
      </c>
      <c r="F44" s="171" t="s">
        <v>2008</v>
      </c>
      <c r="G44" s="183"/>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c r="D50" s="1063">
        <f t="shared" ref="D50:D58" si="7">SUMIF($J$49:$N$49,C50,J50:N50)</f>
        <v>0</v>
      </c>
      <c r="E50" s="742">
        <f>ROUND(SUM(D50:D58),4)</f>
        <v>0</v>
      </c>
      <c r="F50" s="1812" t="str">
        <f>IF(E2="商业",SUMIF(L1:L12,G2,N1:N12),"——")</f>
        <v>——</v>
      </c>
      <c r="G50" s="1061"/>
      <c r="H50" s="1064" t="str">
        <f t="shared" ref="H50:H58" si="8">IFERROR(ROUNDDOWN($F$50*I50/2,4),"——")</f>
        <v>——</v>
      </c>
      <c r="I50" s="3365">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c r="D51" s="1063">
        <f t="shared" si="7"/>
        <v>0</v>
      </c>
      <c r="E51" s="743"/>
      <c r="F51" s="1812"/>
      <c r="G51" s="1061"/>
      <c r="H51" s="1064" t="str">
        <f t="shared" si="8"/>
        <v>——</v>
      </c>
      <c r="I51" s="3365">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7" t="s">
        <v>3272</v>
      </c>
      <c r="B52" s="2132">
        <f>估价对象房地状况!C19</f>
        <v>0</v>
      </c>
      <c r="C52" s="2042"/>
      <c r="D52" s="1063">
        <f t="shared" si="7"/>
        <v>0</v>
      </c>
      <c r="E52" s="743"/>
      <c r="F52" s="1812"/>
      <c r="G52" s="1061"/>
      <c r="H52" s="1064" t="str">
        <f t="shared" si="8"/>
        <v>——</v>
      </c>
      <c r="I52" s="3365">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8" t="s">
        <v>2054</v>
      </c>
      <c r="B53" s="2133" t="s">
        <v>2055</v>
      </c>
      <c r="C53" s="2042"/>
      <c r="D53" s="1063">
        <f t="shared" si="7"/>
        <v>0</v>
      </c>
      <c r="E53" s="743"/>
      <c r="F53" s="1812"/>
      <c r="G53" s="1061"/>
      <c r="H53" s="1064" t="str">
        <f t="shared" si="8"/>
        <v>——</v>
      </c>
      <c r="I53" s="3365">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c r="D54" s="1063">
        <f t="shared" si="7"/>
        <v>0</v>
      </c>
      <c r="E54" s="743"/>
      <c r="F54" s="1812"/>
      <c r="G54" s="1061"/>
      <c r="H54" s="1064" t="str">
        <f t="shared" si="8"/>
        <v>——</v>
      </c>
      <c r="I54" s="3365">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8" t="s">
        <v>2057</v>
      </c>
      <c r="B55" s="2134" t="s">
        <v>2058</v>
      </c>
      <c r="C55" s="2042"/>
      <c r="D55" s="1063">
        <f t="shared" si="7"/>
        <v>0</v>
      </c>
      <c r="E55" s="743"/>
      <c r="F55" s="1812"/>
      <c r="G55" s="1061"/>
      <c r="H55" s="1064" t="str">
        <f t="shared" si="8"/>
        <v>——</v>
      </c>
      <c r="I55" s="3365">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c r="D56" s="1063">
        <f t="shared" si="7"/>
        <v>0</v>
      </c>
      <c r="E56" s="743"/>
      <c r="F56" s="1812"/>
      <c r="G56" s="1061"/>
      <c r="H56" s="1064" t="str">
        <f t="shared" si="8"/>
        <v>——</v>
      </c>
      <c r="I56" s="3365">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c r="D57" s="1063">
        <f t="shared" si="7"/>
        <v>0</v>
      </c>
      <c r="E57" s="743"/>
      <c r="F57" s="1812"/>
      <c r="G57" s="1061"/>
      <c r="H57" s="1064" t="str">
        <f t="shared" si="8"/>
        <v>——</v>
      </c>
      <c r="I57" s="3365">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c r="D58" s="1063">
        <f t="shared" si="7"/>
        <v>0</v>
      </c>
      <c r="E58" s="744"/>
      <c r="F58" s="1812"/>
      <c r="G58" s="1061"/>
      <c r="H58" s="1064" t="str">
        <f t="shared" si="8"/>
        <v>——</v>
      </c>
      <c r="I58" s="3366">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5">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5">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7" t="s">
        <v>3272</v>
      </c>
      <c r="B63" s="2132">
        <f>估价对象房地状况!C19</f>
        <v>0</v>
      </c>
      <c r="C63" s="2042"/>
      <c r="D63" s="1063">
        <f t="shared" si="12"/>
        <v>0</v>
      </c>
      <c r="E63" s="743"/>
      <c r="F63" s="1812"/>
      <c r="G63" s="1061"/>
      <c r="H63" s="1064" t="str">
        <f t="shared" si="13"/>
        <v>——</v>
      </c>
      <c r="I63" s="3365">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5">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5">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5">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5">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5">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6">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5">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5">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7" t="s">
        <v>3272</v>
      </c>
      <c r="B74" s="2132">
        <f>估价对象房地状况!C19</f>
        <v>0</v>
      </c>
      <c r="C74" s="2042"/>
      <c r="D74" s="1063">
        <f t="shared" si="17"/>
        <v>0</v>
      </c>
      <c r="E74" s="745"/>
      <c r="F74" s="1812"/>
      <c r="G74" s="1061"/>
      <c r="H74" s="1064" t="str">
        <f t="shared" si="18"/>
        <v>——</v>
      </c>
      <c r="I74" s="3365">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5">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5">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5">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5">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5">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6">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5">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5">
        <v>0.3</v>
      </c>
      <c r="J84" s="1062">
        <f t="shared" si="24"/>
        <v>0</v>
      </c>
      <c r="K84" s="1062">
        <f t="shared" si="25"/>
        <v>0</v>
      </c>
      <c r="L84" s="1062">
        <v>0</v>
      </c>
      <c r="M84" s="1062">
        <f t="shared" si="26"/>
        <v>0</v>
      </c>
      <c r="N84" s="1062">
        <f t="shared" si="26"/>
        <v>0</v>
      </c>
      <c r="Z84" s="1996"/>
      <c r="AA84" s="2051"/>
      <c r="AG84" s="1119"/>
      <c r="AK84" s="2051"/>
    </row>
    <row r="85" spans="1:37" ht="36">
      <c r="A85" s="3367" t="s">
        <v>3273</v>
      </c>
      <c r="B85" s="2132">
        <f>估价对象房地状况!G17</f>
        <v>0</v>
      </c>
      <c r="C85" s="2042"/>
      <c r="D85" s="1063">
        <f t="shared" si="22"/>
        <v>0</v>
      </c>
      <c r="E85" s="745"/>
      <c r="F85" s="1812"/>
      <c r="G85" s="1061"/>
      <c r="H85" s="1064" t="str">
        <f t="shared" si="23"/>
        <v>——</v>
      </c>
      <c r="I85" s="3365">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5">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5">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5">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5">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6">
        <v>0.05</v>
      </c>
      <c r="J90" s="1062">
        <f t="shared" si="24"/>
        <v>0</v>
      </c>
      <c r="K90" s="1062">
        <f t="shared" si="25"/>
        <v>0</v>
      </c>
      <c r="L90" s="1062">
        <v>0</v>
      </c>
      <c r="M90" s="1062">
        <f t="shared" si="26"/>
        <v>0</v>
      </c>
      <c r="N90" s="1062">
        <f t="shared" si="26"/>
        <v>0</v>
      </c>
    </row>
    <row r="91" spans="1:37" ht="15">
      <c r="A91" s="3375" t="s">
        <v>2615</v>
      </c>
      <c r="B91" s="3376">
        <f>1+E93</f>
        <v>1</v>
      </c>
      <c r="C91" s="3369"/>
      <c r="D91" s="3370"/>
      <c r="E91" s="1812"/>
      <c r="F91" s="1812"/>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38.25">
      <c r="A94" s="3377" t="s">
        <v>3276</v>
      </c>
      <c r="B94" s="3368" t="str">
        <f>估价对象房地状况!C18</f>
        <v>估价对象周边道路状况、公共交通通达情况、停车便捷程度，综合评价交通便捷度较好</v>
      </c>
      <c r="C94" s="2042"/>
      <c r="D94" s="3364">
        <f t="shared" ref="D94:D101" si="30">SUMIF($J$60:$N$60,C94,J94:N94)</f>
        <v>0</v>
      </c>
      <c r="E94" s="3381"/>
      <c r="F94" s="1812"/>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2"/>
      <c r="D95" s="3364">
        <f t="shared" si="30"/>
        <v>0</v>
      </c>
      <c r="E95" s="3381"/>
      <c r="F95" s="1812"/>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2"/>
      <c r="D96" s="3364">
        <f t="shared" si="30"/>
        <v>0</v>
      </c>
      <c r="E96" s="3381"/>
      <c r="F96" s="1812"/>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f>估价对象房地状况!C24</f>
        <v>0</v>
      </c>
      <c r="C97" s="2042"/>
      <c r="D97" s="3364">
        <f t="shared" si="30"/>
        <v>0</v>
      </c>
      <c r="E97" s="3381"/>
      <c r="F97" s="1812"/>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2"/>
      <c r="D98" s="3364">
        <f t="shared" si="30"/>
        <v>0</v>
      </c>
      <c r="E98" s="3381"/>
      <c r="F98" s="1812"/>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v>
      </c>
      <c r="C99" s="2042"/>
      <c r="D99" s="3364">
        <f t="shared" si="30"/>
        <v>0</v>
      </c>
      <c r="E99" s="3381"/>
      <c r="F99" s="1812"/>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v>
      </c>
      <c r="C100" s="2042"/>
      <c r="D100" s="3364">
        <f t="shared" si="30"/>
        <v>0</v>
      </c>
      <c r="E100" s="3381"/>
      <c r="F100" s="1812"/>
      <c r="G100" s="3371"/>
      <c r="H100" s="3419" t="str">
        <f t="shared" si="31"/>
        <v>——</v>
      </c>
      <c r="I100" s="3365">
        <v>0.09</v>
      </c>
      <c r="J100" s="3343">
        <f t="shared" si="27"/>
        <v>0</v>
      </c>
      <c r="K100" s="3343">
        <f t="shared" si="28"/>
        <v>0</v>
      </c>
      <c r="L100" s="3343">
        <v>0</v>
      </c>
      <c r="M100" s="3343">
        <f t="shared" si="29"/>
        <v>0</v>
      </c>
      <c r="N100" s="3343">
        <f t="shared" si="29"/>
        <v>0</v>
      </c>
    </row>
    <row r="101" spans="1:14" ht="26.25" thickBot="1">
      <c r="A101" s="3378" t="s">
        <v>3282</v>
      </c>
      <c r="B101" s="3385" t="str">
        <f>估价对象房地状况!C20</f>
        <v>区域自然环境：；人文环境；综合评价环境状况一般</v>
      </c>
      <c r="C101" s="2042"/>
      <c r="D101" s="3364">
        <f t="shared" si="30"/>
        <v>0</v>
      </c>
      <c r="E101" s="3382"/>
      <c r="F101" s="1812"/>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52" t="s">
        <v>3297</v>
      </c>
      <c r="B103" s="3752"/>
      <c r="C103" s="3752"/>
      <c r="D103" s="3752"/>
      <c r="E103" s="3752"/>
      <c r="F103" s="3752"/>
      <c r="G103" s="3752"/>
      <c r="H103" s="3752"/>
      <c r="I103" s="3752"/>
      <c r="J103" s="3752"/>
      <c r="K103" s="3388"/>
      <c r="L103" s="3388"/>
      <c r="M103" s="3388"/>
      <c r="N103" s="3388"/>
    </row>
    <row r="104" spans="1:14">
      <c r="A104" s="3753" t="s">
        <v>3298</v>
      </c>
      <c r="B104" s="3753" t="s">
        <v>3299</v>
      </c>
      <c r="C104" s="3389" t="s">
        <v>3300</v>
      </c>
      <c r="D104" s="3390"/>
      <c r="E104" s="3390"/>
      <c r="F104" s="3390"/>
      <c r="G104" s="3390"/>
      <c r="H104" s="3390"/>
      <c r="I104" s="3390"/>
      <c r="J104" s="3391"/>
      <c r="K104" s="3392"/>
      <c r="L104" s="3392"/>
      <c r="M104" s="3392"/>
      <c r="N104" s="3392"/>
    </row>
    <row r="105" spans="1:14">
      <c r="A105" s="3753"/>
      <c r="B105" s="3753"/>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39"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42" t="s">
        <v>3314</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1998" t="s">
        <v>3317</v>
      </c>
      <c r="F116" s="3400">
        <f>E2</f>
        <v>0</v>
      </c>
      <c r="G116" s="1998" t="s">
        <v>3318</v>
      </c>
      <c r="H116" s="3400">
        <f>G2</f>
        <v>0</v>
      </c>
      <c r="I116" s="1998"/>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2615</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2597</v>
      </c>
      <c r="B1" s="3070" t="s">
        <v>2598</v>
      </c>
      <c r="C1" s="3070" t="s">
        <v>2599</v>
      </c>
      <c r="D1" s="3070" t="s">
        <v>2600</v>
      </c>
      <c r="E1" s="3070" t="s">
        <v>2601</v>
      </c>
      <c r="F1" s="3070" t="s">
        <v>2602</v>
      </c>
      <c r="G1" s="3070" t="s">
        <v>2603</v>
      </c>
      <c r="H1" s="3070" t="s">
        <v>2604</v>
      </c>
      <c r="I1" s="3070" t="s">
        <v>2605</v>
      </c>
      <c r="J1" s="3070" t="s">
        <v>2606</v>
      </c>
      <c r="K1" s="3070" t="s">
        <v>2607</v>
      </c>
      <c r="L1" s="3070" t="s">
        <v>2608</v>
      </c>
      <c r="M1" s="3071" t="s">
        <v>2609</v>
      </c>
    </row>
    <row r="2" spans="1:13" ht="19.5" customHeight="1">
      <c r="A2" s="3073" t="s">
        <v>2610</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2611</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2612</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2613</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2614</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2615</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2616</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2617</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2618</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2619</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2620</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2621</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2622</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2623</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2624</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2625</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2626</v>
      </c>
      <c r="B18" s="3095"/>
      <c r="C18" s="3096"/>
      <c r="D18" s="3096"/>
      <c r="E18" s="3095"/>
      <c r="F18" s="3096"/>
      <c r="G18" s="3096"/>
    </row>
    <row r="19" spans="1:13" ht="19.5" customHeight="1" thickBot="1">
      <c r="A19" s="3093" t="s">
        <v>2627</v>
      </c>
      <c r="B19" s="3098" t="s">
        <v>2628</v>
      </c>
      <c r="C19" s="3098" t="s">
        <v>2629</v>
      </c>
      <c r="D19" s="3099"/>
      <c r="E19" s="3093" t="s">
        <v>2630</v>
      </c>
      <c r="F19" s="3100"/>
      <c r="G19" s="3100"/>
    </row>
    <row r="20" spans="1:13" ht="19.5" customHeight="1">
      <c r="A20" s="3767" t="s">
        <v>2610</v>
      </c>
      <c r="B20" s="3762" t="s">
        <v>2631</v>
      </c>
      <c r="C20" s="3101" t="s">
        <v>2442</v>
      </c>
      <c r="D20" s="3102"/>
      <c r="E20" s="3103">
        <v>1</v>
      </c>
      <c r="F20" s="3104" t="s">
        <v>2443</v>
      </c>
      <c r="G20" s="3104"/>
    </row>
    <row r="21" spans="1:13" ht="19.5" customHeight="1">
      <c r="A21" s="3768"/>
      <c r="B21" s="3761"/>
      <c r="C21" s="3105" t="s">
        <v>2444</v>
      </c>
      <c r="D21" s="3106"/>
      <c r="E21" s="3107">
        <v>1</v>
      </c>
      <c r="F21" s="3104" t="s">
        <v>2445</v>
      </c>
      <c r="G21" s="3104"/>
    </row>
    <row r="22" spans="1:13" ht="19.5" customHeight="1">
      <c r="A22" s="3768"/>
      <c r="B22" s="3761"/>
      <c r="C22" s="3105" t="s">
        <v>2446</v>
      </c>
      <c r="D22" s="3106"/>
      <c r="E22" s="3107">
        <v>0.9</v>
      </c>
      <c r="F22" s="3104" t="s">
        <v>2447</v>
      </c>
      <c r="G22" s="3104"/>
    </row>
    <row r="23" spans="1:13" ht="19.5" customHeight="1">
      <c r="A23" s="3768"/>
      <c r="B23" s="3761"/>
      <c r="C23" s="3105" t="s">
        <v>2448</v>
      </c>
      <c r="D23" s="3106"/>
      <c r="E23" s="3107">
        <v>0.9</v>
      </c>
      <c r="F23" s="3104" t="s">
        <v>2449</v>
      </c>
      <c r="G23" s="3104"/>
    </row>
    <row r="24" spans="1:13" ht="19.5" customHeight="1">
      <c r="A24" s="3768"/>
      <c r="B24" s="3761"/>
      <c r="C24" s="3105" t="s">
        <v>2450</v>
      </c>
      <c r="D24" s="3106"/>
      <c r="E24" s="3107">
        <v>0.8</v>
      </c>
      <c r="F24" s="3104" t="s">
        <v>2451</v>
      </c>
      <c r="G24" s="3104"/>
    </row>
    <row r="25" spans="1:13" ht="19.5" customHeight="1" thickBot="1">
      <c r="A25" s="3769"/>
      <c r="B25" s="3763"/>
      <c r="C25" s="3108" t="s">
        <v>2452</v>
      </c>
      <c r="D25" s="3109"/>
      <c r="E25" s="3110">
        <v>0.8</v>
      </c>
      <c r="F25" s="3104" t="s">
        <v>2453</v>
      </c>
      <c r="G25" s="3104"/>
    </row>
    <row r="26" spans="1:13" ht="19.5" customHeight="1" thickBot="1">
      <c r="A26" s="3111" t="s">
        <v>2632</v>
      </c>
      <c r="B26" s="3112" t="s">
        <v>2631</v>
      </c>
      <c r="C26" s="3113" t="s">
        <v>2633</v>
      </c>
      <c r="D26" s="3114"/>
      <c r="E26" s="3115">
        <v>1</v>
      </c>
      <c r="F26" s="3104" t="s">
        <v>2454</v>
      </c>
      <c r="G26" s="3104"/>
    </row>
    <row r="27" spans="1:13" ht="19.5" customHeight="1">
      <c r="A27" s="3764" t="s">
        <v>2634</v>
      </c>
      <c r="B27" s="3762" t="s">
        <v>2615</v>
      </c>
      <c r="C27" s="3101" t="s">
        <v>2455</v>
      </c>
      <c r="D27" s="3102"/>
      <c r="E27" s="3103">
        <v>1</v>
      </c>
      <c r="F27" s="3104" t="s">
        <v>2456</v>
      </c>
      <c r="G27" s="3104"/>
    </row>
    <row r="28" spans="1:13" ht="19.5" customHeight="1">
      <c r="A28" s="3765"/>
      <c r="B28" s="3761"/>
      <c r="C28" s="3105" t="s">
        <v>2457</v>
      </c>
      <c r="D28" s="3106"/>
      <c r="E28" s="3107">
        <v>1</v>
      </c>
      <c r="F28" s="3104" t="s">
        <v>2458</v>
      </c>
      <c r="G28" s="3104"/>
    </row>
    <row r="29" spans="1:13" ht="19.5" customHeight="1">
      <c r="A29" s="3765"/>
      <c r="B29" s="3761"/>
      <c r="C29" s="3105" t="s">
        <v>2459</v>
      </c>
      <c r="D29" s="3106"/>
      <c r="E29" s="3107">
        <v>0.8</v>
      </c>
      <c r="F29" s="3104" t="s">
        <v>2460</v>
      </c>
      <c r="G29" s="3104"/>
    </row>
    <row r="30" spans="1:13" ht="19.5" customHeight="1">
      <c r="A30" s="3765"/>
      <c r="B30" s="3761"/>
      <c r="C30" s="3105" t="s">
        <v>2461</v>
      </c>
      <c r="D30" s="3106"/>
      <c r="E30" s="3107">
        <v>0.8</v>
      </c>
      <c r="F30" s="3104" t="s">
        <v>2462</v>
      </c>
      <c r="G30" s="3104"/>
    </row>
    <row r="31" spans="1:13" ht="19.5" customHeight="1">
      <c r="A31" s="3765"/>
      <c r="B31" s="3761"/>
      <c r="C31" s="3105" t="s">
        <v>2463</v>
      </c>
      <c r="D31" s="3106"/>
      <c r="E31" s="3107">
        <v>0.8</v>
      </c>
      <c r="F31" s="3104" t="s">
        <v>2464</v>
      </c>
      <c r="G31" s="3104"/>
    </row>
    <row r="32" spans="1:13" ht="19.5" customHeight="1">
      <c r="A32" s="3765"/>
      <c r="B32" s="3761"/>
      <c r="C32" s="3105" t="s">
        <v>2465</v>
      </c>
      <c r="D32" s="3106"/>
      <c r="E32" s="3107">
        <v>0.7</v>
      </c>
      <c r="F32" s="3104" t="s">
        <v>2466</v>
      </c>
      <c r="G32" s="3104"/>
    </row>
    <row r="33" spans="1:7" ht="19.5" customHeight="1">
      <c r="A33" s="3765"/>
      <c r="B33" s="3761"/>
      <c r="C33" s="3105" t="s">
        <v>2467</v>
      </c>
      <c r="D33" s="3106"/>
      <c r="E33" s="3107">
        <v>0.8</v>
      </c>
      <c r="F33" s="3104" t="s">
        <v>2468</v>
      </c>
      <c r="G33" s="3104"/>
    </row>
    <row r="34" spans="1:7" ht="19.5" customHeight="1">
      <c r="A34" s="3765"/>
      <c r="B34" s="3761"/>
      <c r="C34" s="3105" t="s">
        <v>2469</v>
      </c>
      <c r="D34" s="3106"/>
      <c r="E34" s="3107">
        <v>0.6</v>
      </c>
      <c r="F34" s="3104" t="s">
        <v>2470</v>
      </c>
      <c r="G34" s="3104"/>
    </row>
    <row r="35" spans="1:7" ht="19.5" customHeight="1">
      <c r="A35" s="3765"/>
      <c r="B35" s="3761"/>
      <c r="C35" s="3105" t="s">
        <v>2471</v>
      </c>
      <c r="D35" s="3106"/>
      <c r="E35" s="3107">
        <v>0.2</v>
      </c>
      <c r="F35" s="3104" t="s">
        <v>2472</v>
      </c>
      <c r="G35" s="3104"/>
    </row>
    <row r="36" spans="1:7" ht="19.5" customHeight="1">
      <c r="A36" s="3765"/>
      <c r="B36" s="3761"/>
      <c r="C36" s="3105" t="s">
        <v>2473</v>
      </c>
      <c r="D36" s="3106"/>
      <c r="E36" s="3107">
        <v>0.2</v>
      </c>
      <c r="F36" s="3104" t="s">
        <v>2474</v>
      </c>
      <c r="G36" s="3104"/>
    </row>
    <row r="37" spans="1:7" ht="19.5" customHeight="1">
      <c r="A37" s="3765"/>
      <c r="B37" s="3759" t="s">
        <v>2635</v>
      </c>
      <c r="C37" s="3105" t="s">
        <v>2475</v>
      </c>
      <c r="D37" s="3106"/>
      <c r="E37" s="3107">
        <v>0.6</v>
      </c>
      <c r="F37" s="3104" t="s">
        <v>2476</v>
      </c>
      <c r="G37" s="3104"/>
    </row>
    <row r="38" spans="1:7" ht="19.5" customHeight="1">
      <c r="A38" s="3765"/>
      <c r="B38" s="3761"/>
      <c r="C38" s="3105" t="s">
        <v>2477</v>
      </c>
      <c r="D38" s="3106"/>
      <c r="E38" s="3107">
        <v>0.6</v>
      </c>
      <c r="F38" s="3104" t="s">
        <v>2478</v>
      </c>
      <c r="G38" s="3104"/>
    </row>
    <row r="39" spans="1:7" ht="19.5" customHeight="1" thickBot="1">
      <c r="A39" s="3766"/>
      <c r="B39" s="3763"/>
      <c r="C39" s="3108" t="s">
        <v>2479</v>
      </c>
      <c r="D39" s="3109"/>
      <c r="E39" s="3110">
        <v>0.6</v>
      </c>
      <c r="F39" s="3104" t="s">
        <v>2480</v>
      </c>
      <c r="G39" s="3104"/>
    </row>
    <row r="40" spans="1:7" ht="19.5" customHeight="1" thickBot="1">
      <c r="A40" s="3111" t="s">
        <v>2612</v>
      </c>
      <c r="B40" s="3112" t="s">
        <v>2612</v>
      </c>
      <c r="C40" s="3113" t="s">
        <v>2636</v>
      </c>
      <c r="D40" s="3114"/>
      <c r="E40" s="3115">
        <v>1</v>
      </c>
      <c r="F40" s="3104" t="s">
        <v>2481</v>
      </c>
      <c r="G40" s="3104"/>
    </row>
    <row r="41" spans="1:7" ht="19.5" customHeight="1">
      <c r="A41" s="3767" t="s">
        <v>2613</v>
      </c>
      <c r="B41" s="3762" t="s">
        <v>2637</v>
      </c>
      <c r="C41" s="3101" t="s">
        <v>2482</v>
      </c>
      <c r="D41" s="3102"/>
      <c r="E41" s="3103">
        <v>1</v>
      </c>
      <c r="F41" s="3104" t="s">
        <v>2483</v>
      </c>
      <c r="G41" s="3104"/>
    </row>
    <row r="42" spans="1:7" ht="19.5" customHeight="1">
      <c r="A42" s="3768"/>
      <c r="B42" s="3761"/>
      <c r="C42" s="3105" t="s">
        <v>2484</v>
      </c>
      <c r="D42" s="3106"/>
      <c r="E42" s="3107">
        <v>1</v>
      </c>
      <c r="F42" s="3104" t="s">
        <v>2485</v>
      </c>
      <c r="G42" s="3104"/>
    </row>
    <row r="43" spans="1:7" ht="19.5" customHeight="1">
      <c r="A43" s="3768"/>
      <c r="B43" s="3760"/>
      <c r="C43" s="3105" t="s">
        <v>2486</v>
      </c>
      <c r="D43" s="3106"/>
      <c r="E43" s="3107">
        <v>1.5</v>
      </c>
      <c r="F43" s="3104" t="s">
        <v>2487</v>
      </c>
      <c r="G43" s="3104"/>
    </row>
    <row r="44" spans="1:7" ht="19.5" customHeight="1">
      <c r="A44" s="3768"/>
      <c r="B44" s="3116" t="s">
        <v>2638</v>
      </c>
      <c r="C44" s="3105" t="s">
        <v>2639</v>
      </c>
      <c r="D44" s="3106"/>
      <c r="E44" s="3107">
        <v>2</v>
      </c>
      <c r="F44" s="3104" t="s">
        <v>2488</v>
      </c>
      <c r="G44" s="3104"/>
    </row>
    <row r="45" spans="1:7" ht="19.5" customHeight="1">
      <c r="A45" s="3768"/>
      <c r="B45" s="3759" t="s">
        <v>2640</v>
      </c>
      <c r="C45" s="3105" t="s">
        <v>2489</v>
      </c>
      <c r="D45" s="3106"/>
      <c r="E45" s="3107">
        <v>1</v>
      </c>
      <c r="F45" s="3104" t="s">
        <v>2490</v>
      </c>
      <c r="G45" s="3104"/>
    </row>
    <row r="46" spans="1:7" ht="19.5" customHeight="1">
      <c r="A46" s="3768"/>
      <c r="B46" s="3761"/>
      <c r="C46" s="3105" t="s">
        <v>2491</v>
      </c>
      <c r="D46" s="3106"/>
      <c r="E46" s="3107">
        <v>1</v>
      </c>
      <c r="F46" s="3104" t="s">
        <v>2492</v>
      </c>
      <c r="G46" s="3104"/>
    </row>
    <row r="47" spans="1:7" ht="19.5" customHeight="1">
      <c r="A47" s="3768"/>
      <c r="B47" s="3761"/>
      <c r="C47" s="3105" t="s">
        <v>2493</v>
      </c>
      <c r="D47" s="3106"/>
      <c r="E47" s="3107">
        <v>1</v>
      </c>
      <c r="F47" s="3104" t="s">
        <v>2494</v>
      </c>
      <c r="G47" s="3104"/>
    </row>
    <row r="48" spans="1:7" ht="19.5" customHeight="1">
      <c r="A48" s="3768"/>
      <c r="B48" s="3761"/>
      <c r="C48" s="3105" t="s">
        <v>2495</v>
      </c>
      <c r="D48" s="3106"/>
      <c r="E48" s="3107">
        <v>1</v>
      </c>
      <c r="F48" s="3104" t="s">
        <v>2496</v>
      </c>
      <c r="G48" s="3104"/>
    </row>
    <row r="49" spans="1:7" ht="19.5" customHeight="1">
      <c r="A49" s="3768"/>
      <c r="B49" s="3761"/>
      <c r="C49" s="3105" t="s">
        <v>2497</v>
      </c>
      <c r="D49" s="3106"/>
      <c r="E49" s="3107">
        <v>1</v>
      </c>
      <c r="F49" s="3104" t="s">
        <v>2498</v>
      </c>
      <c r="G49" s="3104"/>
    </row>
    <row r="50" spans="1:7" ht="19.5" customHeight="1">
      <c r="A50" s="3768"/>
      <c r="B50" s="3761"/>
      <c r="C50" s="3105" t="s">
        <v>2499</v>
      </c>
      <c r="D50" s="3106"/>
      <c r="E50" s="3107">
        <v>1</v>
      </c>
      <c r="F50" s="3104" t="s">
        <v>2500</v>
      </c>
      <c r="G50" s="3104"/>
    </row>
    <row r="51" spans="1:7" ht="19.5" customHeight="1" thickBot="1">
      <c r="A51" s="3769"/>
      <c r="B51" s="3763"/>
      <c r="C51" s="3108" t="s">
        <v>2501</v>
      </c>
      <c r="D51" s="3109"/>
      <c r="E51" s="3110">
        <v>1</v>
      </c>
      <c r="F51" s="3104" t="s">
        <v>2502</v>
      </c>
      <c r="G51" s="3104"/>
    </row>
    <row r="52" spans="1:7" ht="19.5" customHeight="1">
      <c r="A52" s="3117"/>
      <c r="B52" s="3117"/>
      <c r="C52" s="3117"/>
      <c r="D52" s="3117"/>
      <c r="E52" s="3117"/>
      <c r="F52" s="3117"/>
      <c r="G52" s="3117"/>
    </row>
    <row r="54" spans="1:7" ht="19.5" customHeight="1">
      <c r="A54" s="3118"/>
      <c r="B54" s="3090" t="s">
        <v>2641</v>
      </c>
      <c r="C54" s="3090" t="s">
        <v>2641</v>
      </c>
      <c r="D54" s="3090" t="s">
        <v>2641</v>
      </c>
      <c r="E54" s="3093" t="s">
        <v>2641</v>
      </c>
      <c r="F54" s="3093" t="s">
        <v>2642</v>
      </c>
      <c r="G54" s="3093" t="s">
        <v>2643</v>
      </c>
    </row>
    <row r="55" spans="1:7" ht="19.5" customHeight="1">
      <c r="A55" s="3119"/>
      <c r="B55" s="3093" t="s">
        <v>2610</v>
      </c>
      <c r="C55" s="3093" t="s">
        <v>2610</v>
      </c>
      <c r="D55" s="3093" t="s">
        <v>2610</v>
      </c>
      <c r="E55" s="3090" t="s">
        <v>2611</v>
      </c>
      <c r="F55" s="3090" t="s">
        <v>2613</v>
      </c>
      <c r="G55" s="3090" t="s">
        <v>2644</v>
      </c>
    </row>
    <row r="56" spans="1:7" ht="19.5" customHeight="1">
      <c r="A56" s="3120"/>
      <c r="B56" s="3090">
        <v>1</v>
      </c>
      <c r="C56" s="3090">
        <v>2</v>
      </c>
      <c r="D56" s="3090">
        <v>3</v>
      </c>
      <c r="E56" s="3121" t="s">
        <v>2645</v>
      </c>
      <c r="F56" s="3121" t="s">
        <v>2645</v>
      </c>
      <c r="G56" s="3121" t="s">
        <v>2645</v>
      </c>
    </row>
    <row r="57" spans="1:7" ht="19.5" customHeight="1">
      <c r="A57" s="3122" t="s">
        <v>2598</v>
      </c>
      <c r="B57" s="3090">
        <v>0.7</v>
      </c>
      <c r="C57" s="3090">
        <v>0.4</v>
      </c>
      <c r="D57" s="3090">
        <v>0.3</v>
      </c>
      <c r="E57" s="3121">
        <v>0.3</v>
      </c>
      <c r="F57" s="3090">
        <v>0.3</v>
      </c>
      <c r="G57" s="3090">
        <v>0.2</v>
      </c>
    </row>
    <row r="58" spans="1:7" ht="19.5" customHeight="1">
      <c r="A58" s="3122" t="s">
        <v>2599</v>
      </c>
      <c r="B58" s="3090">
        <v>0.7</v>
      </c>
      <c r="C58" s="3090">
        <v>0.4</v>
      </c>
      <c r="D58" s="3090">
        <v>0.3</v>
      </c>
      <c r="E58" s="3090">
        <v>0.3</v>
      </c>
      <c r="F58" s="3090">
        <v>0.3</v>
      </c>
      <c r="G58" s="3090">
        <v>0.2</v>
      </c>
    </row>
    <row r="59" spans="1:7" ht="19.5" customHeight="1">
      <c r="A59" s="3122" t="s">
        <v>2600</v>
      </c>
      <c r="B59" s="3090">
        <v>0.6</v>
      </c>
      <c r="C59" s="3090">
        <v>0.3</v>
      </c>
      <c r="D59" s="3090">
        <v>0.25</v>
      </c>
      <c r="E59" s="3090">
        <v>0.25</v>
      </c>
      <c r="F59" s="3090">
        <v>0.25</v>
      </c>
      <c r="G59" s="3090">
        <v>0.15</v>
      </c>
    </row>
    <row r="60" spans="1:7" ht="19.5" customHeight="1">
      <c r="A60" s="3122" t="s">
        <v>2601</v>
      </c>
      <c r="B60" s="3090">
        <v>0.6</v>
      </c>
      <c r="C60" s="3090">
        <v>0.3</v>
      </c>
      <c r="D60" s="3090">
        <v>0.25</v>
      </c>
      <c r="E60" s="3090">
        <v>0.25</v>
      </c>
      <c r="F60" s="3090">
        <v>0.25</v>
      </c>
      <c r="G60" s="3090">
        <v>0.15</v>
      </c>
    </row>
    <row r="61" spans="1:7" ht="19.5" customHeight="1">
      <c r="A61" s="3122" t="s">
        <v>2602</v>
      </c>
      <c r="B61" s="3090">
        <v>0.6</v>
      </c>
      <c r="C61" s="3090">
        <v>0.3</v>
      </c>
      <c r="D61" s="3090">
        <v>0.25</v>
      </c>
      <c r="E61" s="3090">
        <v>0.25</v>
      </c>
      <c r="F61" s="3090">
        <v>0.25</v>
      </c>
      <c r="G61" s="3090">
        <v>0.15</v>
      </c>
    </row>
    <row r="62" spans="1:7" ht="19.5" customHeight="1">
      <c r="A62" s="3122" t="s">
        <v>2603</v>
      </c>
      <c r="B62" s="3090">
        <v>0.6</v>
      </c>
      <c r="C62" s="3090">
        <v>0.3</v>
      </c>
      <c r="D62" s="3090">
        <v>0.25</v>
      </c>
      <c r="E62" s="3090">
        <v>0.25</v>
      </c>
      <c r="F62" s="3090">
        <v>0.25</v>
      </c>
      <c r="G62" s="3090">
        <v>0.15</v>
      </c>
    </row>
    <row r="63" spans="1:7" ht="19.5" customHeight="1">
      <c r="A63" s="3122" t="s">
        <v>2604</v>
      </c>
      <c r="B63" s="3090">
        <v>0.6</v>
      </c>
      <c r="C63" s="3090">
        <v>0.3</v>
      </c>
      <c r="D63" s="3090">
        <v>0.25</v>
      </c>
      <c r="E63" s="3090">
        <v>0.25</v>
      </c>
      <c r="F63" s="3090">
        <v>0.25</v>
      </c>
      <c r="G63" s="3090">
        <v>0.15</v>
      </c>
    </row>
    <row r="64" spans="1:7" ht="19.5" customHeight="1">
      <c r="A64" s="3122" t="s">
        <v>2605</v>
      </c>
      <c r="B64" s="3090">
        <v>0.5</v>
      </c>
      <c r="C64" s="3090">
        <v>0.2</v>
      </c>
      <c r="D64" s="3090">
        <v>0.2</v>
      </c>
      <c r="E64" s="3090">
        <v>0.2</v>
      </c>
      <c r="F64" s="3090">
        <v>0.2</v>
      </c>
      <c r="G64" s="3090">
        <v>0.1</v>
      </c>
    </row>
    <row r="65" spans="1:7" ht="19.5" customHeight="1">
      <c r="A65" s="3122" t="s">
        <v>2606</v>
      </c>
      <c r="B65" s="3090">
        <v>0.5</v>
      </c>
      <c r="C65" s="3090">
        <v>0.2</v>
      </c>
      <c r="D65" s="3090">
        <v>0.2</v>
      </c>
      <c r="E65" s="3090">
        <v>0.2</v>
      </c>
      <c r="F65" s="3090">
        <v>0.2</v>
      </c>
      <c r="G65" s="3090">
        <v>0.1</v>
      </c>
    </row>
    <row r="66" spans="1:7" ht="19.5" customHeight="1">
      <c r="A66" s="3122" t="s">
        <v>2607</v>
      </c>
      <c r="B66" s="3090">
        <v>0.5</v>
      </c>
      <c r="C66" s="3090">
        <v>0.2</v>
      </c>
      <c r="D66" s="3090">
        <v>0.2</v>
      </c>
      <c r="E66" s="3090">
        <v>0.2</v>
      </c>
      <c r="F66" s="3090">
        <v>0.2</v>
      </c>
      <c r="G66" s="3090">
        <v>0.1</v>
      </c>
    </row>
    <row r="67" spans="1:7" ht="19.5" customHeight="1">
      <c r="A67" s="3122" t="s">
        <v>2608</v>
      </c>
      <c r="B67" s="3090">
        <v>0.5</v>
      </c>
      <c r="C67" s="3090">
        <v>0.2</v>
      </c>
      <c r="D67" s="3090">
        <v>0.2</v>
      </c>
      <c r="E67" s="3090">
        <v>0.2</v>
      </c>
      <c r="F67" s="3090">
        <v>0.2</v>
      </c>
      <c r="G67" s="3090">
        <v>0.1</v>
      </c>
    </row>
    <row r="68" spans="1:7" ht="19.5" customHeight="1">
      <c r="A68" s="3122" t="s">
        <v>2609</v>
      </c>
      <c r="B68" s="3090">
        <v>0.5</v>
      </c>
      <c r="C68" s="3090">
        <v>0.2</v>
      </c>
      <c r="D68" s="3090">
        <v>0.2</v>
      </c>
      <c r="E68" s="3090">
        <v>0.2</v>
      </c>
      <c r="F68" s="3090">
        <v>0.2</v>
      </c>
      <c r="G68" s="3090">
        <v>0.1</v>
      </c>
    </row>
    <row r="70" spans="1:7" ht="19.5" customHeight="1">
      <c r="A70" s="3123"/>
      <c r="B70" s="3124"/>
      <c r="C70" s="3124"/>
      <c r="D70" s="3124" t="s">
        <v>2646</v>
      </c>
      <c r="E70" s="3124"/>
      <c r="F70" s="3124"/>
    </row>
    <row r="71" spans="1:7" ht="19.5" customHeight="1">
      <c r="A71" s="3116" t="s">
        <v>2647</v>
      </c>
      <c r="B71" s="3116" t="s">
        <v>2648</v>
      </c>
      <c r="C71" s="3116" t="s">
        <v>2649</v>
      </c>
      <c r="D71" s="3116" t="s">
        <v>2650</v>
      </c>
      <c r="E71" s="3116" t="s">
        <v>2651</v>
      </c>
      <c r="F71" s="3116" t="s">
        <v>2652</v>
      </c>
    </row>
    <row r="72" spans="1:7" ht="13.5">
      <c r="A72" s="3116"/>
      <c r="B72" s="3116"/>
      <c r="C72" s="3116" t="s">
        <v>2653</v>
      </c>
      <c r="D72" s="3116"/>
      <c r="E72" s="3116" t="s">
        <v>2624</v>
      </c>
      <c r="F72" s="3116" t="s">
        <v>2624</v>
      </c>
    </row>
    <row r="73" spans="1:7" ht="13.5">
      <c r="A73" s="3116">
        <v>1</v>
      </c>
      <c r="B73" s="3759" t="s">
        <v>2654</v>
      </c>
      <c r="C73" s="3090" t="s">
        <v>2655</v>
      </c>
      <c r="D73" s="3090" t="s">
        <v>2656</v>
      </c>
      <c r="E73" s="3116">
        <v>0.2</v>
      </c>
      <c r="F73" s="3116">
        <v>25</v>
      </c>
    </row>
    <row r="74" spans="1:7" ht="24">
      <c r="A74" s="3116">
        <v>2</v>
      </c>
      <c r="B74" s="3761"/>
      <c r="C74" s="3090" t="s">
        <v>2657</v>
      </c>
      <c r="D74" s="3090" t="s">
        <v>2658</v>
      </c>
      <c r="E74" s="3116">
        <v>0.2</v>
      </c>
      <c r="F74" s="3116">
        <v>25</v>
      </c>
    </row>
    <row r="75" spans="1:7" ht="24">
      <c r="A75" s="3116">
        <v>3</v>
      </c>
      <c r="B75" s="3761"/>
      <c r="C75" s="3090" t="s">
        <v>2659</v>
      </c>
      <c r="D75" s="3090" t="s">
        <v>2660</v>
      </c>
      <c r="E75" s="3116">
        <v>0.2</v>
      </c>
      <c r="F75" s="3116">
        <v>25</v>
      </c>
    </row>
    <row r="76" spans="1:7" ht="13.5">
      <c r="A76" s="3116">
        <v>4</v>
      </c>
      <c r="B76" s="3761"/>
      <c r="C76" s="3090" t="s">
        <v>2661</v>
      </c>
      <c r="D76" s="3090" t="s">
        <v>2662</v>
      </c>
      <c r="E76" s="3116">
        <v>0.15</v>
      </c>
      <c r="F76" s="3116">
        <v>20</v>
      </c>
    </row>
    <row r="77" spans="1:7" ht="24">
      <c r="A77" s="3116">
        <v>5</v>
      </c>
      <c r="B77" s="3761"/>
      <c r="C77" s="3090" t="s">
        <v>2663</v>
      </c>
      <c r="D77" s="3090" t="s">
        <v>2664</v>
      </c>
      <c r="E77" s="3116">
        <v>0.15</v>
      </c>
      <c r="F77" s="3116">
        <v>20</v>
      </c>
    </row>
    <row r="78" spans="1:7" ht="24">
      <c r="A78" s="3116">
        <v>6</v>
      </c>
      <c r="B78" s="3761"/>
      <c r="C78" s="3090" t="s">
        <v>2665</v>
      </c>
      <c r="D78" s="3090" t="s">
        <v>2666</v>
      </c>
      <c r="E78" s="3116">
        <v>0.15</v>
      </c>
      <c r="F78" s="3116">
        <v>20</v>
      </c>
    </row>
    <row r="79" spans="1:7" ht="24">
      <c r="A79" s="3116">
        <v>7</v>
      </c>
      <c r="B79" s="3761"/>
      <c r="C79" s="3090" t="s">
        <v>2667</v>
      </c>
      <c r="D79" s="3090" t="s">
        <v>2668</v>
      </c>
      <c r="E79" s="3116">
        <v>0.15</v>
      </c>
      <c r="F79" s="3116">
        <v>20</v>
      </c>
    </row>
    <row r="80" spans="1:7" ht="24">
      <c r="A80" s="3116">
        <v>8</v>
      </c>
      <c r="B80" s="3761"/>
      <c r="C80" s="3090" t="s">
        <v>2669</v>
      </c>
      <c r="D80" s="3090" t="s">
        <v>2670</v>
      </c>
      <c r="E80" s="3116">
        <v>0.1</v>
      </c>
      <c r="F80" s="3116">
        <v>15</v>
      </c>
    </row>
    <row r="81" spans="1:6" ht="24">
      <c r="A81" s="3116">
        <v>9</v>
      </c>
      <c r="B81" s="3761"/>
      <c r="C81" s="3090" t="s">
        <v>2671</v>
      </c>
      <c r="D81" s="3090" t="s">
        <v>2672</v>
      </c>
      <c r="E81" s="3116">
        <v>0.1</v>
      </c>
      <c r="F81" s="3116">
        <v>15</v>
      </c>
    </row>
    <row r="82" spans="1:6" ht="24">
      <c r="A82" s="3116">
        <v>10</v>
      </c>
      <c r="B82" s="3761"/>
      <c r="C82" s="3090" t="s">
        <v>2673</v>
      </c>
      <c r="D82" s="3090" t="s">
        <v>2674</v>
      </c>
      <c r="E82" s="3116">
        <v>0.1</v>
      </c>
      <c r="F82" s="3116">
        <v>15</v>
      </c>
    </row>
    <row r="83" spans="1:6" ht="24">
      <c r="A83" s="3116">
        <v>11</v>
      </c>
      <c r="B83" s="3761"/>
      <c r="C83" s="3090" t="s">
        <v>2675</v>
      </c>
      <c r="D83" s="3090" t="s">
        <v>2676</v>
      </c>
      <c r="E83" s="3116">
        <v>0.1</v>
      </c>
      <c r="F83" s="3116">
        <v>15</v>
      </c>
    </row>
    <row r="84" spans="1:6" ht="24">
      <c r="A84" s="3116">
        <v>12</v>
      </c>
      <c r="B84" s="3761"/>
      <c r="C84" s="3090" t="s">
        <v>2677</v>
      </c>
      <c r="D84" s="3090" t="s">
        <v>2678</v>
      </c>
      <c r="E84" s="3116">
        <v>0.1</v>
      </c>
      <c r="F84" s="3116">
        <v>15</v>
      </c>
    </row>
    <row r="85" spans="1:6" ht="13.5">
      <c r="A85" s="3116">
        <v>13</v>
      </c>
      <c r="B85" s="3761"/>
      <c r="C85" s="3090" t="s">
        <v>2679</v>
      </c>
      <c r="D85" s="3090" t="s">
        <v>2680</v>
      </c>
      <c r="E85" s="3116">
        <v>0.1</v>
      </c>
      <c r="F85" s="3116">
        <v>15</v>
      </c>
    </row>
    <row r="86" spans="1:6" ht="13.5">
      <c r="A86" s="3116">
        <v>14</v>
      </c>
      <c r="B86" s="3761"/>
      <c r="C86" s="3090" t="s">
        <v>2681</v>
      </c>
      <c r="D86" s="3090" t="s">
        <v>2682</v>
      </c>
      <c r="E86" s="3116">
        <v>0.1</v>
      </c>
      <c r="F86" s="3116">
        <v>15</v>
      </c>
    </row>
    <row r="87" spans="1:6" ht="13.5">
      <c r="A87" s="3116">
        <v>15</v>
      </c>
      <c r="B87" s="3761"/>
      <c r="C87" s="3090" t="s">
        <v>2683</v>
      </c>
      <c r="D87" s="3090" t="s">
        <v>2684</v>
      </c>
      <c r="E87" s="3116">
        <v>0.1</v>
      </c>
      <c r="F87" s="3116">
        <v>15</v>
      </c>
    </row>
    <row r="88" spans="1:6" ht="24">
      <c r="A88" s="3116">
        <v>16</v>
      </c>
      <c r="B88" s="3761"/>
      <c r="C88" s="3090" t="s">
        <v>2685</v>
      </c>
      <c r="D88" s="3090" t="s">
        <v>2686</v>
      </c>
      <c r="E88" s="3116">
        <v>0.1</v>
      </c>
      <c r="F88" s="3116">
        <v>15</v>
      </c>
    </row>
    <row r="89" spans="1:6" ht="24">
      <c r="A89" s="3116">
        <v>17</v>
      </c>
      <c r="B89" s="3760"/>
      <c r="C89" s="3090" t="s">
        <v>2687</v>
      </c>
      <c r="D89" s="3090" t="s">
        <v>2688</v>
      </c>
      <c r="E89" s="3116">
        <v>0.1</v>
      </c>
      <c r="F89" s="3116">
        <v>15</v>
      </c>
    </row>
    <row r="90" spans="1:6" ht="13.5">
      <c r="A90" s="3116">
        <v>18</v>
      </c>
      <c r="B90" s="3759" t="s">
        <v>2689</v>
      </c>
      <c r="C90" s="3090" t="s">
        <v>2690</v>
      </c>
      <c r="D90" s="3090" t="s">
        <v>2691</v>
      </c>
      <c r="E90" s="3116">
        <v>0.2</v>
      </c>
      <c r="F90" s="3116">
        <v>25</v>
      </c>
    </row>
    <row r="91" spans="1:6" ht="24">
      <c r="A91" s="3116">
        <v>19</v>
      </c>
      <c r="B91" s="3761"/>
      <c r="C91" s="3090" t="s">
        <v>2692</v>
      </c>
      <c r="D91" s="3090" t="s">
        <v>2693</v>
      </c>
      <c r="E91" s="3116">
        <v>0.2</v>
      </c>
      <c r="F91" s="3116">
        <v>25</v>
      </c>
    </row>
    <row r="92" spans="1:6" ht="13.5">
      <c r="A92" s="3116">
        <v>20</v>
      </c>
      <c r="B92" s="3761"/>
      <c r="C92" s="3090" t="s">
        <v>2694</v>
      </c>
      <c r="D92" s="3090" t="s">
        <v>2695</v>
      </c>
      <c r="E92" s="3116">
        <v>0.15</v>
      </c>
      <c r="F92" s="3116">
        <v>20</v>
      </c>
    </row>
    <row r="93" spans="1:6" ht="13.5">
      <c r="A93" s="3116">
        <v>21</v>
      </c>
      <c r="B93" s="3761"/>
      <c r="C93" s="3090" t="s">
        <v>2696</v>
      </c>
      <c r="D93" s="3090" t="s">
        <v>2697</v>
      </c>
      <c r="E93" s="3116">
        <v>0.15</v>
      </c>
      <c r="F93" s="3116">
        <v>20</v>
      </c>
    </row>
    <row r="94" spans="1:6" ht="13.5">
      <c r="A94" s="3116">
        <v>22</v>
      </c>
      <c r="B94" s="3761"/>
      <c r="C94" s="3090" t="s">
        <v>2698</v>
      </c>
      <c r="D94" s="3090" t="s">
        <v>2699</v>
      </c>
      <c r="E94" s="3116">
        <v>0.15</v>
      </c>
      <c r="F94" s="3116">
        <v>20</v>
      </c>
    </row>
    <row r="95" spans="1:6" ht="36">
      <c r="A95" s="3116">
        <v>23</v>
      </c>
      <c r="B95" s="3761"/>
      <c r="C95" s="3090" t="s">
        <v>2700</v>
      </c>
      <c r="D95" s="3090" t="s">
        <v>2701</v>
      </c>
      <c r="E95" s="3116">
        <v>0.15</v>
      </c>
      <c r="F95" s="3116">
        <v>20</v>
      </c>
    </row>
    <row r="96" spans="1:6" ht="13.5">
      <c r="A96" s="3116">
        <v>24</v>
      </c>
      <c r="B96" s="3761"/>
      <c r="C96" s="3090" t="s">
        <v>2702</v>
      </c>
      <c r="D96" s="3090" t="s">
        <v>2703</v>
      </c>
      <c r="E96" s="3116">
        <v>0.1</v>
      </c>
      <c r="F96" s="3116">
        <v>15</v>
      </c>
    </row>
    <row r="97" spans="1:6" ht="13.5">
      <c r="A97" s="3116">
        <v>25</v>
      </c>
      <c r="B97" s="3761"/>
      <c r="C97" s="3090" t="s">
        <v>2704</v>
      </c>
      <c r="D97" s="3090" t="s">
        <v>2705</v>
      </c>
      <c r="E97" s="3116">
        <v>0.1</v>
      </c>
      <c r="F97" s="3116">
        <v>15</v>
      </c>
    </row>
    <row r="98" spans="1:6" ht="24">
      <c r="A98" s="3116">
        <v>26</v>
      </c>
      <c r="B98" s="3761"/>
      <c r="C98" s="3090" t="s">
        <v>2706</v>
      </c>
      <c r="D98" s="3090" t="s">
        <v>2707</v>
      </c>
      <c r="E98" s="3116">
        <v>0.1</v>
      </c>
      <c r="F98" s="3116">
        <v>15</v>
      </c>
    </row>
    <row r="99" spans="1:6" ht="24">
      <c r="A99" s="3116">
        <v>27</v>
      </c>
      <c r="B99" s="3761"/>
      <c r="C99" s="3090" t="s">
        <v>2708</v>
      </c>
      <c r="D99" s="3090" t="s">
        <v>2709</v>
      </c>
      <c r="E99" s="3116">
        <v>0.1</v>
      </c>
      <c r="F99" s="3116">
        <v>15</v>
      </c>
    </row>
    <row r="100" spans="1:6" ht="13.5">
      <c r="A100" s="3116">
        <v>28</v>
      </c>
      <c r="B100" s="3761"/>
      <c r="C100" s="3090" t="s">
        <v>2710</v>
      </c>
      <c r="D100" s="3090" t="s">
        <v>2711</v>
      </c>
      <c r="E100" s="3116">
        <v>0.1</v>
      </c>
      <c r="F100" s="3116">
        <v>15</v>
      </c>
    </row>
    <row r="101" spans="1:6" ht="13.5">
      <c r="A101" s="3116">
        <v>29</v>
      </c>
      <c r="B101" s="3761"/>
      <c r="C101" s="3090" t="s">
        <v>2712</v>
      </c>
      <c r="D101" s="3090" t="s">
        <v>2713</v>
      </c>
      <c r="E101" s="3116">
        <v>0.1</v>
      </c>
      <c r="F101" s="3116">
        <v>15</v>
      </c>
    </row>
    <row r="102" spans="1:6" ht="13.5">
      <c r="A102" s="3116">
        <v>30</v>
      </c>
      <c r="B102" s="3761"/>
      <c r="C102" s="3090" t="s">
        <v>2714</v>
      </c>
      <c r="D102" s="3090" t="s">
        <v>2715</v>
      </c>
      <c r="E102" s="3116">
        <v>0.1</v>
      </c>
      <c r="F102" s="3116">
        <v>15</v>
      </c>
    </row>
    <row r="103" spans="1:6" ht="24">
      <c r="A103" s="3116">
        <v>31</v>
      </c>
      <c r="B103" s="3761"/>
      <c r="C103" s="3090" t="s">
        <v>2716</v>
      </c>
      <c r="D103" s="3090" t="s">
        <v>2717</v>
      </c>
      <c r="E103" s="3116">
        <v>0.1</v>
      </c>
      <c r="F103" s="3116">
        <v>15</v>
      </c>
    </row>
    <row r="104" spans="1:6" ht="24">
      <c r="A104" s="3116">
        <v>32</v>
      </c>
      <c r="B104" s="3761"/>
      <c r="C104" s="3090" t="s">
        <v>2718</v>
      </c>
      <c r="D104" s="3090" t="s">
        <v>2719</v>
      </c>
      <c r="E104" s="3116">
        <v>0.1</v>
      </c>
      <c r="F104" s="3116">
        <v>15</v>
      </c>
    </row>
    <row r="105" spans="1:6" ht="24">
      <c r="A105" s="3116">
        <v>33</v>
      </c>
      <c r="B105" s="3761"/>
      <c r="C105" s="3090" t="s">
        <v>2720</v>
      </c>
      <c r="D105" s="3090" t="s">
        <v>2721</v>
      </c>
      <c r="E105" s="3116">
        <v>0.1</v>
      </c>
      <c r="F105" s="3116">
        <v>15</v>
      </c>
    </row>
    <row r="106" spans="1:6" ht="24">
      <c r="A106" s="3116">
        <v>34</v>
      </c>
      <c r="B106" s="3760"/>
      <c r="C106" s="3090" t="s">
        <v>2722</v>
      </c>
      <c r="D106" s="3090" t="s">
        <v>2723</v>
      </c>
      <c r="E106" s="3116">
        <v>0.1</v>
      </c>
      <c r="F106" s="3116">
        <v>15</v>
      </c>
    </row>
    <row r="107" spans="1:6" ht="24">
      <c r="A107" s="3116">
        <v>35</v>
      </c>
      <c r="B107" s="3759" t="s">
        <v>2724</v>
      </c>
      <c r="C107" s="3116" t="s">
        <v>2725</v>
      </c>
      <c r="D107" s="3090" t="s">
        <v>2726</v>
      </c>
      <c r="E107" s="3116">
        <v>0.15</v>
      </c>
      <c r="F107" s="3116">
        <v>20</v>
      </c>
    </row>
    <row r="108" spans="1:6" ht="13.5">
      <c r="A108" s="3116">
        <v>36</v>
      </c>
      <c r="B108" s="3761"/>
      <c r="C108" s="3116" t="s">
        <v>2727</v>
      </c>
      <c r="D108" s="3090" t="s">
        <v>2728</v>
      </c>
      <c r="E108" s="3116">
        <v>0.15</v>
      </c>
      <c r="F108" s="3116">
        <v>20</v>
      </c>
    </row>
    <row r="109" spans="1:6" ht="13.5">
      <c r="A109" s="3116">
        <v>37</v>
      </c>
      <c r="B109" s="3761"/>
      <c r="C109" s="3116" t="s">
        <v>2729</v>
      </c>
      <c r="D109" s="3090" t="s">
        <v>2730</v>
      </c>
      <c r="E109" s="3116">
        <v>0.15</v>
      </c>
      <c r="F109" s="3116">
        <v>20</v>
      </c>
    </row>
    <row r="110" spans="1:6" ht="13.5">
      <c r="A110" s="3116">
        <v>38</v>
      </c>
      <c r="B110" s="3761"/>
      <c r="C110" s="3116" t="s">
        <v>2731</v>
      </c>
      <c r="D110" s="3090" t="s">
        <v>2732</v>
      </c>
      <c r="E110" s="3116">
        <v>0.1</v>
      </c>
      <c r="F110" s="3116">
        <v>15</v>
      </c>
    </row>
    <row r="111" spans="1:6" ht="24">
      <c r="A111" s="3116">
        <v>39</v>
      </c>
      <c r="B111" s="3761"/>
      <c r="C111" s="3116" t="s">
        <v>2733</v>
      </c>
      <c r="D111" s="3090" t="s">
        <v>2734</v>
      </c>
      <c r="E111" s="3116">
        <v>0.1</v>
      </c>
      <c r="F111" s="3116">
        <v>15</v>
      </c>
    </row>
    <row r="112" spans="1:6" ht="24">
      <c r="A112" s="3116">
        <v>40</v>
      </c>
      <c r="B112" s="3760"/>
      <c r="C112" s="3116" t="s">
        <v>2735</v>
      </c>
      <c r="D112" s="3090" t="s">
        <v>2736</v>
      </c>
      <c r="E112" s="3116">
        <v>0.1</v>
      </c>
      <c r="F112" s="3116">
        <v>15</v>
      </c>
    </row>
    <row r="113" spans="1:6" ht="13.5">
      <c r="A113" s="3116">
        <v>41</v>
      </c>
      <c r="B113" s="3758" t="s">
        <v>2737</v>
      </c>
      <c r="C113" s="3116" t="s">
        <v>2738</v>
      </c>
      <c r="D113" s="3090" t="s">
        <v>2739</v>
      </c>
      <c r="E113" s="3116">
        <v>0.1</v>
      </c>
      <c r="F113" s="3116">
        <v>15</v>
      </c>
    </row>
    <row r="114" spans="1:6" ht="13.5">
      <c r="A114" s="3116">
        <v>42</v>
      </c>
      <c r="B114" s="3758"/>
      <c r="C114" s="3116" t="s">
        <v>2740</v>
      </c>
      <c r="D114" s="3090" t="s">
        <v>2741</v>
      </c>
      <c r="E114" s="3116">
        <v>0.1</v>
      </c>
      <c r="F114" s="3116">
        <v>15</v>
      </c>
    </row>
    <row r="115" spans="1:6" ht="24">
      <c r="A115" s="3116">
        <v>43</v>
      </c>
      <c r="B115" s="3758"/>
      <c r="C115" s="3116" t="s">
        <v>2742</v>
      </c>
      <c r="D115" s="3090" t="s">
        <v>2743</v>
      </c>
      <c r="E115" s="3116">
        <v>0.1</v>
      </c>
      <c r="F115" s="3116">
        <v>15</v>
      </c>
    </row>
    <row r="116" spans="1:6" ht="13.5">
      <c r="A116" s="3116">
        <v>44</v>
      </c>
      <c r="B116" s="3759" t="s">
        <v>2744</v>
      </c>
      <c r="C116" s="3116" t="s">
        <v>2745</v>
      </c>
      <c r="D116" s="3090" t="s">
        <v>2746</v>
      </c>
      <c r="E116" s="3116">
        <v>0.1</v>
      </c>
      <c r="F116" s="3116">
        <v>15</v>
      </c>
    </row>
    <row r="117" spans="1:6" ht="24">
      <c r="A117" s="3116">
        <v>45</v>
      </c>
      <c r="B117" s="3760"/>
      <c r="C117" s="3090" t="s">
        <v>2747</v>
      </c>
      <c r="D117" s="3090" t="s">
        <v>2748</v>
      </c>
      <c r="E117" s="3116">
        <v>0.1</v>
      </c>
      <c r="F117" s="3116">
        <v>15</v>
      </c>
    </row>
    <row r="118" spans="1:6" ht="24">
      <c r="A118" s="3116">
        <v>46</v>
      </c>
      <c r="B118" s="3759" t="s">
        <v>2749</v>
      </c>
      <c r="C118" s="3116" t="s">
        <v>2750</v>
      </c>
      <c r="D118" s="3090" t="s">
        <v>2751</v>
      </c>
      <c r="E118" s="3116">
        <v>0.1</v>
      </c>
      <c r="F118" s="3116">
        <v>15</v>
      </c>
    </row>
    <row r="119" spans="1:6" ht="24">
      <c r="A119" s="3116">
        <v>47</v>
      </c>
      <c r="B119" s="3760"/>
      <c r="C119" s="3116" t="s">
        <v>2752</v>
      </c>
      <c r="D119" s="3090" t="s">
        <v>2753</v>
      </c>
      <c r="E119" s="3116">
        <v>0.1</v>
      </c>
      <c r="F119" s="3116">
        <v>15</v>
      </c>
    </row>
    <row r="120" spans="1:6" ht="13.5">
      <c r="A120" s="3116">
        <v>48</v>
      </c>
      <c r="B120" s="3759" t="s">
        <v>2754</v>
      </c>
      <c r="C120" s="3116" t="s">
        <v>2755</v>
      </c>
      <c r="D120" s="3090" t="s">
        <v>2756</v>
      </c>
      <c r="E120" s="3116">
        <v>0.1</v>
      </c>
      <c r="F120" s="3116">
        <v>15</v>
      </c>
    </row>
    <row r="121" spans="1:6" ht="13.5">
      <c r="A121" s="3116">
        <v>49</v>
      </c>
      <c r="B121" s="3760"/>
      <c r="C121" s="3116" t="s">
        <v>2757</v>
      </c>
      <c r="D121" s="3090" t="s">
        <v>2758</v>
      </c>
      <c r="E121" s="3116">
        <v>0.1</v>
      </c>
      <c r="F121" s="3116">
        <v>15</v>
      </c>
    </row>
    <row r="122" spans="1:6" ht="24">
      <c r="A122" s="3116">
        <v>50</v>
      </c>
      <c r="B122" s="3758" t="s">
        <v>2759</v>
      </c>
      <c r="C122" s="3116" t="s">
        <v>2760</v>
      </c>
      <c r="D122" s="3090" t="s">
        <v>2761</v>
      </c>
      <c r="E122" s="3116">
        <v>0.1</v>
      </c>
      <c r="F122" s="3116">
        <v>15</v>
      </c>
    </row>
    <row r="123" spans="1:6" ht="24">
      <c r="A123" s="3116">
        <v>51</v>
      </c>
      <c r="B123" s="3758"/>
      <c r="C123" s="3116" t="s">
        <v>2762</v>
      </c>
      <c r="D123" s="3090" t="s">
        <v>2763</v>
      </c>
      <c r="E123" s="3116">
        <v>0.1</v>
      </c>
      <c r="F123" s="3116">
        <v>15</v>
      </c>
    </row>
    <row r="124" spans="1:6" ht="24">
      <c r="A124" s="3116">
        <v>52</v>
      </c>
      <c r="B124" s="3758" t="s">
        <v>2764</v>
      </c>
      <c r="C124" s="3116" t="s">
        <v>2765</v>
      </c>
      <c r="D124" s="3090" t="s">
        <v>2766</v>
      </c>
      <c r="E124" s="3116">
        <v>0.1</v>
      </c>
      <c r="F124" s="3116">
        <v>15</v>
      </c>
    </row>
    <row r="125" spans="1:6" ht="24">
      <c r="A125" s="3116">
        <v>53</v>
      </c>
      <c r="B125" s="3758"/>
      <c r="C125" s="3116" t="s">
        <v>2767</v>
      </c>
      <c r="D125" s="3090" t="s">
        <v>2768</v>
      </c>
      <c r="E125" s="3116">
        <v>0.1</v>
      </c>
      <c r="F125" s="3116">
        <v>15</v>
      </c>
    </row>
    <row r="126" spans="1:6" ht="13.5">
      <c r="A126" s="3116">
        <v>54</v>
      </c>
      <c r="B126" s="3116" t="s">
        <v>2769</v>
      </c>
      <c r="C126" s="3116" t="s">
        <v>2770</v>
      </c>
      <c r="D126" s="3090" t="s">
        <v>2771</v>
      </c>
      <c r="E126" s="3116">
        <v>0.1</v>
      </c>
      <c r="F126" s="3116">
        <v>15</v>
      </c>
    </row>
    <row r="127" spans="1:6" ht="13.5">
      <c r="A127" s="3116">
        <v>55</v>
      </c>
      <c r="B127" s="3758" t="s">
        <v>2772</v>
      </c>
      <c r="C127" s="3116" t="s">
        <v>2773</v>
      </c>
      <c r="D127" s="3090" t="s">
        <v>2774</v>
      </c>
      <c r="E127" s="3116">
        <v>0.1</v>
      </c>
      <c r="F127" s="3116">
        <v>15</v>
      </c>
    </row>
    <row r="128" spans="1:6" ht="13.5">
      <c r="A128" s="3116">
        <v>56</v>
      </c>
      <c r="B128" s="3758"/>
      <c r="C128" s="3116" t="s">
        <v>2775</v>
      </c>
      <c r="D128" s="3090" t="s">
        <v>2776</v>
      </c>
      <c r="E128" s="3116">
        <v>0.1</v>
      </c>
      <c r="F128" s="3116">
        <v>15</v>
      </c>
    </row>
    <row r="129" spans="1:6" ht="24">
      <c r="A129" s="3116">
        <v>57</v>
      </c>
      <c r="B129" s="3758"/>
      <c r="C129" s="3116" t="s">
        <v>2777</v>
      </c>
      <c r="D129" s="3090" t="s">
        <v>2778</v>
      </c>
      <c r="E129" s="3116">
        <v>0.1</v>
      </c>
      <c r="F129" s="3116">
        <v>15</v>
      </c>
    </row>
    <row r="130" spans="1:6" ht="24">
      <c r="A130" s="3116">
        <v>58</v>
      </c>
      <c r="B130" s="3758" t="s">
        <v>2779</v>
      </c>
      <c r="C130" s="3116" t="s">
        <v>2780</v>
      </c>
      <c r="D130" s="3090" t="s">
        <v>2781</v>
      </c>
      <c r="E130" s="3116">
        <v>0.1</v>
      </c>
      <c r="F130" s="3116">
        <v>15</v>
      </c>
    </row>
    <row r="131" spans="1:6" ht="13.5">
      <c r="A131" s="3116">
        <v>59</v>
      </c>
      <c r="B131" s="3758"/>
      <c r="C131" s="3116" t="s">
        <v>2782</v>
      </c>
      <c r="D131" s="3090" t="s">
        <v>2783</v>
      </c>
      <c r="E131" s="3116">
        <v>0.1</v>
      </c>
      <c r="F131" s="3116">
        <v>15</v>
      </c>
    </row>
    <row r="132" spans="1:6" ht="13.5">
      <c r="A132" s="3116">
        <v>60</v>
      </c>
      <c r="B132" s="3759" t="s">
        <v>2784</v>
      </c>
      <c r="C132" s="3116" t="s">
        <v>2785</v>
      </c>
      <c r="D132" s="3090" t="s">
        <v>2786</v>
      </c>
      <c r="E132" s="3116">
        <v>0.1</v>
      </c>
      <c r="F132" s="3116">
        <v>15</v>
      </c>
    </row>
    <row r="133" spans="1:6" ht="13.5">
      <c r="A133" s="3116">
        <v>61</v>
      </c>
      <c r="B133" s="3760"/>
      <c r="C133" s="3116" t="s">
        <v>2787</v>
      </c>
      <c r="D133" s="3090" t="s">
        <v>2788</v>
      </c>
      <c r="E133" s="3116">
        <v>0.1</v>
      </c>
      <c r="F133" s="3116">
        <v>15</v>
      </c>
    </row>
    <row r="134" spans="1:6" ht="24">
      <c r="A134" s="3116">
        <v>62</v>
      </c>
      <c r="B134" s="3116" t="s">
        <v>2789</v>
      </c>
      <c r="C134" s="3116" t="s">
        <v>2790</v>
      </c>
      <c r="D134" s="3090" t="s">
        <v>2791</v>
      </c>
      <c r="E134" s="3116">
        <v>0.1</v>
      </c>
      <c r="F134" s="3116">
        <v>15</v>
      </c>
    </row>
    <row r="135" spans="1:6" ht="13.5">
      <c r="A135" s="3116">
        <v>63</v>
      </c>
      <c r="B135" s="3758" t="s">
        <v>2792</v>
      </c>
      <c r="C135" s="3116" t="s">
        <v>2793</v>
      </c>
      <c r="D135" s="3090" t="s">
        <v>2794</v>
      </c>
      <c r="E135" s="3116">
        <v>0.1</v>
      </c>
      <c r="F135" s="3116">
        <v>15</v>
      </c>
    </row>
    <row r="136" spans="1:6" ht="13.5">
      <c r="A136" s="3116">
        <v>64</v>
      </c>
      <c r="B136" s="3758"/>
      <c r="C136" s="3116" t="s">
        <v>2795</v>
      </c>
      <c r="D136" s="3090" t="s">
        <v>2796</v>
      </c>
      <c r="E136" s="3116">
        <v>0.1</v>
      </c>
      <c r="F136" s="3116">
        <v>15</v>
      </c>
    </row>
    <row r="137" spans="1:6" ht="13.5">
      <c r="A137" s="3116">
        <v>65</v>
      </c>
      <c r="B137" s="3116" t="s">
        <v>2797</v>
      </c>
      <c r="C137" s="3116" t="s">
        <v>2798</v>
      </c>
      <c r="D137" s="3090" t="s">
        <v>2799</v>
      </c>
      <c r="E137" s="3116">
        <v>0.1</v>
      </c>
      <c r="F137" s="3116">
        <v>15</v>
      </c>
    </row>
    <row r="138" spans="1:6" ht="13.5">
      <c r="A138" s="3116"/>
      <c r="B138" s="3116"/>
      <c r="C138" s="3116"/>
      <c r="D138" s="3116"/>
      <c r="E138" s="3116" t="s">
        <v>2800</v>
      </c>
      <c r="F138" s="3116"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U460"/>
  <sheetViews>
    <sheetView zoomScale="70" zoomScaleNormal="70" workbookViewId="0">
      <selection sqref="A1:XFD1048576"/>
    </sheetView>
  </sheetViews>
  <sheetFormatPr defaultColWidth="9" defaultRowHeight="13.5"/>
  <cols>
    <col min="1" max="13" width="9" style="3139"/>
    <col min="14" max="16384" width="9" style="748"/>
  </cols>
  <sheetData>
    <row r="1" spans="1:20" ht="15" thickBot="1">
      <c r="A1" s="3125" t="s">
        <v>2801</v>
      </c>
      <c r="B1" s="3125"/>
      <c r="C1" s="3125"/>
      <c r="D1" s="3125"/>
      <c r="E1" s="3125"/>
      <c r="F1" s="3125"/>
      <c r="G1" s="3125"/>
      <c r="H1" s="3125"/>
      <c r="I1" s="3125"/>
      <c r="J1" s="3125"/>
      <c r="K1" s="3125"/>
      <c r="L1" s="3125"/>
      <c r="M1" s="3125"/>
      <c r="N1" s="747"/>
    </row>
    <row r="2" spans="1:20">
      <c r="A2" s="3126" t="s">
        <v>2802</v>
      </c>
      <c r="B2" s="3127" t="s">
        <v>2598</v>
      </c>
      <c r="C2" s="3127" t="s">
        <v>2599</v>
      </c>
      <c r="D2" s="3127" t="s">
        <v>2600</v>
      </c>
      <c r="E2" s="3127" t="s">
        <v>2601</v>
      </c>
      <c r="F2" s="3127" t="s">
        <v>2602</v>
      </c>
      <c r="G2" s="3127" t="s">
        <v>2603</v>
      </c>
      <c r="H2" s="3128" t="s">
        <v>2604</v>
      </c>
      <c r="I2" s="3128" t="s">
        <v>2605</v>
      </c>
      <c r="J2" s="3129" t="s">
        <v>2606</v>
      </c>
      <c r="K2" s="3129" t="s">
        <v>2607</v>
      </c>
      <c r="L2" s="3129" t="s">
        <v>2608</v>
      </c>
      <c r="M2" s="3130" t="s">
        <v>2609</v>
      </c>
      <c r="Q2" s="3140" t="s">
        <v>2807</v>
      </c>
      <c r="R2" s="3140" t="s">
        <v>2808</v>
      </c>
      <c r="S2" s="3140" t="s">
        <v>2809</v>
      </c>
      <c r="T2" s="3140" t="s">
        <v>2810</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49"/>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49"/>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49"/>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2803</v>
      </c>
      <c r="B93" s="3125"/>
      <c r="C93" s="3125"/>
      <c r="D93" s="3125"/>
      <c r="E93" s="3125"/>
      <c r="F93" s="3125"/>
      <c r="G93" s="3125"/>
      <c r="H93" s="3125"/>
      <c r="I93" s="3125"/>
      <c r="J93" s="3125"/>
      <c r="K93" s="3125"/>
      <c r="L93" s="3125"/>
      <c r="M93" s="3125"/>
    </row>
    <row r="94" spans="1:20">
      <c r="A94" s="3126" t="s">
        <v>2802</v>
      </c>
      <c r="B94" s="3127" t="s">
        <v>2598</v>
      </c>
      <c r="C94" s="3127" t="s">
        <v>2599</v>
      </c>
      <c r="D94" s="3127" t="s">
        <v>2600</v>
      </c>
      <c r="E94" s="3127" t="s">
        <v>2601</v>
      </c>
      <c r="F94" s="3127" t="s">
        <v>2602</v>
      </c>
      <c r="G94" s="3127" t="s">
        <v>2603</v>
      </c>
      <c r="H94" s="3128" t="s">
        <v>2604</v>
      </c>
      <c r="I94" s="3128" t="s">
        <v>2605</v>
      </c>
      <c r="J94" s="3129" t="s">
        <v>2606</v>
      </c>
      <c r="K94" s="3129" t="s">
        <v>2607</v>
      </c>
      <c r="L94" s="3129" t="s">
        <v>2608</v>
      </c>
      <c r="M94" s="3130" t="s">
        <v>2609</v>
      </c>
      <c r="N94" s="748">
        <f>SUMPRODUCT((A95:A184=ROUNDDOWN(基准地价修正!G3,1))*(B94:M94=基准地价修正!G2)*(B95:M184))</f>
        <v>0</v>
      </c>
      <c r="Q94" s="3140" t="s">
        <v>2807</v>
      </c>
      <c r="R94" s="3140" t="s">
        <v>2808</v>
      </c>
      <c r="S94" s="3140" t="s">
        <v>2809</v>
      </c>
      <c r="T94" s="3140" t="s">
        <v>2810</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7"/>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7"/>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2804</v>
      </c>
      <c r="B185" s="3125"/>
      <c r="C185" s="3125"/>
      <c r="D185" s="3125"/>
      <c r="E185" s="3125"/>
      <c r="F185" s="3125"/>
      <c r="G185" s="3125"/>
      <c r="H185" s="3125"/>
      <c r="I185" s="3125"/>
      <c r="J185" s="3125"/>
      <c r="K185" s="3125"/>
      <c r="L185" s="3125"/>
      <c r="M185" s="3125"/>
    </row>
    <row r="186" spans="1:20">
      <c r="A186" s="3126" t="s">
        <v>2802</v>
      </c>
      <c r="B186" s="3127" t="s">
        <v>2598</v>
      </c>
      <c r="C186" s="3127" t="s">
        <v>2599</v>
      </c>
      <c r="D186" s="3127" t="s">
        <v>2600</v>
      </c>
      <c r="E186" s="3127" t="s">
        <v>2601</v>
      </c>
      <c r="F186" s="3127" t="s">
        <v>2602</v>
      </c>
      <c r="G186" s="3127" t="s">
        <v>2603</v>
      </c>
      <c r="H186" s="3128" t="s">
        <v>2604</v>
      </c>
      <c r="I186" s="3128" t="s">
        <v>2605</v>
      </c>
      <c r="J186" s="3129" t="s">
        <v>2606</v>
      </c>
      <c r="K186" s="3129" t="s">
        <v>2607</v>
      </c>
      <c r="L186" s="3129" t="s">
        <v>2608</v>
      </c>
      <c r="M186" s="3130" t="s">
        <v>2609</v>
      </c>
      <c r="Q186" s="3140" t="s">
        <v>2807</v>
      </c>
      <c r="R186" s="3140" t="s">
        <v>2808</v>
      </c>
      <c r="S186" s="3140" t="s">
        <v>2809</v>
      </c>
      <c r="T186" s="3140" t="s">
        <v>2810</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2805</v>
      </c>
      <c r="B277" s="3125"/>
      <c r="C277" s="3125"/>
      <c r="D277" s="3125"/>
      <c r="E277" s="3125"/>
      <c r="F277" s="3125"/>
      <c r="G277" s="3125"/>
      <c r="H277" s="3125"/>
      <c r="I277" s="3125"/>
      <c r="J277" s="3125"/>
      <c r="K277" s="3125"/>
      <c r="L277" s="3125"/>
      <c r="M277" s="3125"/>
    </row>
    <row r="278" spans="1:21">
      <c r="A278" s="3126" t="s">
        <v>2802</v>
      </c>
      <c r="B278" s="3127" t="s">
        <v>2598</v>
      </c>
      <c r="C278" s="3127" t="s">
        <v>2599</v>
      </c>
      <c r="D278" s="3127" t="s">
        <v>2600</v>
      </c>
      <c r="E278" s="3127" t="s">
        <v>2601</v>
      </c>
      <c r="F278" s="3127" t="s">
        <v>2602</v>
      </c>
      <c r="G278" s="3127" t="s">
        <v>2603</v>
      </c>
      <c r="H278" s="3128" t="s">
        <v>2604</v>
      </c>
      <c r="I278" s="3128" t="s">
        <v>2605</v>
      </c>
      <c r="J278" s="3129" t="s">
        <v>2606</v>
      </c>
      <c r="K278" s="3129" t="s">
        <v>2607</v>
      </c>
      <c r="L278" s="3129" t="s">
        <v>2608</v>
      </c>
      <c r="M278" s="3130" t="s">
        <v>2609</v>
      </c>
      <c r="Q278" s="3140" t="s">
        <v>2807</v>
      </c>
      <c r="R278" s="3140" t="s">
        <v>2808</v>
      </c>
      <c r="S278" s="3140" t="s">
        <v>2811</v>
      </c>
      <c r="T278" s="3140" t="s">
        <v>2812</v>
      </c>
      <c r="U278" s="3140" t="s">
        <v>2810</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2806</v>
      </c>
      <c r="B369" s="3138"/>
      <c r="C369" s="3138"/>
      <c r="D369" s="3138"/>
      <c r="E369" s="3138"/>
      <c r="F369" s="3138"/>
      <c r="G369" s="3138"/>
      <c r="H369" s="3138"/>
      <c r="I369" s="3138"/>
      <c r="J369" s="3138"/>
      <c r="K369" s="3138"/>
      <c r="L369" s="3138"/>
      <c r="M369" s="3138"/>
    </row>
    <row r="370" spans="1:20">
      <c r="A370" s="3126" t="s">
        <v>2802</v>
      </c>
      <c r="B370" s="3127" t="s">
        <v>2598</v>
      </c>
      <c r="C370" s="3127" t="s">
        <v>2599</v>
      </c>
      <c r="D370" s="3127" t="s">
        <v>2600</v>
      </c>
      <c r="E370" s="3127" t="s">
        <v>2601</v>
      </c>
      <c r="F370" s="3127" t="s">
        <v>2602</v>
      </c>
      <c r="G370" s="3127" t="s">
        <v>2603</v>
      </c>
      <c r="H370" s="3128" t="s">
        <v>2604</v>
      </c>
      <c r="I370" s="3128" t="s">
        <v>2605</v>
      </c>
      <c r="J370" s="3129" t="s">
        <v>2606</v>
      </c>
      <c r="K370" s="3129" t="s">
        <v>2607</v>
      </c>
      <c r="L370" s="3129" t="s">
        <v>2608</v>
      </c>
      <c r="M370" s="3130" t="s">
        <v>2609</v>
      </c>
      <c r="N370" s="748">
        <f>SUMPRODUCT((A371:A460=ROUNDDOWN(基准地价修正!G3,1))*(B370:M370=基准地价修正!G2)*(B371:M460))</f>
        <v>0</v>
      </c>
      <c r="Q370" s="3140" t="s">
        <v>2807</v>
      </c>
      <c r="R370" s="3140" t="s">
        <v>2808</v>
      </c>
      <c r="S370" s="3140" t="s">
        <v>2809</v>
      </c>
      <c r="T370" s="3140" t="s">
        <v>2810</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27774</v>
      </c>
      <c r="C2" s="2" t="s">
        <v>106</v>
      </c>
      <c r="D2" s="199"/>
      <c r="E2" s="199"/>
      <c r="F2" s="199"/>
      <c r="G2" s="199"/>
    </row>
    <row r="3" spans="1:7" s="200" customFormat="1" ht="18" customHeight="1" thickBot="1">
      <c r="A3" s="203" t="s">
        <v>58</v>
      </c>
      <c r="B3" s="204">
        <f ca="1">ROUND(B2*10000/'数据-汇总表'!E3,0)</f>
        <v>5098954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1</v>
      </c>
      <c r="D10" s="843">
        <f>'数据-汇总表'!E6</f>
        <v>54.47</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v>
      </c>
      <c r="D19" s="847">
        <f>'数据-汇总表'!E3</f>
        <v>54.47</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1461</v>
      </c>
      <c r="D22" s="235">
        <f ca="1">C26</f>
        <v>6.9999999999999999E-4</v>
      </c>
      <c r="E22" s="236" t="s">
        <v>99</v>
      </c>
      <c r="F22" s="237">
        <f ca="1">'数据-取费表'!B40</f>
        <v>3.4500000000000003E-2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1447</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3153</v>
      </c>
      <c r="D27" s="235">
        <f>C29</f>
        <v>3.0000000000000001E-3</v>
      </c>
      <c r="E27" s="236" t="s">
        <v>99</v>
      </c>
      <c r="F27" s="246">
        <f>'数据-取费表'!Q16</f>
        <v>0.15</v>
      </c>
      <c r="G27" s="247" t="s">
        <v>431</v>
      </c>
    </row>
    <row r="28" spans="1:7" s="214" customFormat="1" ht="13.5" customHeight="1">
      <c r="A28" s="778" t="s">
        <v>349</v>
      </c>
      <c r="B28" s="248" t="s">
        <v>424</v>
      </c>
      <c r="C28" s="249">
        <f>ROUND((C5+C19+C20)*F27*'数据-取费表'!B21/'数据-取费表'!B20,0)</f>
        <v>3153</v>
      </c>
      <c r="D28" s="235"/>
      <c r="E28" s="236"/>
      <c r="F28" s="246"/>
      <c r="G28" s="247"/>
    </row>
    <row r="29" spans="1:7" s="214" customFormat="1" ht="13.5" customHeight="1">
      <c r="A29" s="778" t="s">
        <v>347</v>
      </c>
      <c r="B29" s="248" t="s">
        <v>425</v>
      </c>
      <c r="C29" s="238">
        <f>ROUND(C21*F27*'数据-取费表'!B21/'数据-取费表'!B20,4)</f>
        <v>3.0000000000000001E-3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27748</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21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19</v>
      </c>
      <c r="D34" s="217"/>
      <c r="E34" s="220"/>
      <c r="F34" s="257">
        <f>IF('数据-取费表'!B24=0,1,'数据-取费表'!N16)</f>
        <v>1</v>
      </c>
      <c r="G34" s="219" t="s">
        <v>89</v>
      </c>
    </row>
    <row r="35" spans="1:7" ht="13.5" customHeight="1">
      <c r="A35" s="778" t="s">
        <v>351</v>
      </c>
      <c r="B35" s="215" t="s">
        <v>33</v>
      </c>
      <c r="C35" s="220">
        <f>ROUND(C34*F35,0)</f>
        <v>1</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78" t="s">
        <v>353</v>
      </c>
      <c r="B37" s="215" t="s">
        <v>91</v>
      </c>
      <c r="C37" s="249">
        <f>ROUND(E37*D37*F34/10000,0)</f>
        <v>1</v>
      </c>
      <c r="D37" s="217">
        <f>'数据-汇总表'!E3</f>
        <v>54.47</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1</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1</v>
      </c>
      <c r="D42" s="238"/>
      <c r="E42" s="238"/>
      <c r="F42" s="239"/>
      <c r="G42" s="3634" t="s">
        <v>94</v>
      </c>
    </row>
    <row r="43" spans="1:7" ht="13.5" customHeight="1">
      <c r="A43" s="778" t="s">
        <v>347</v>
      </c>
      <c r="B43" s="215" t="s">
        <v>426</v>
      </c>
      <c r="C43" s="238">
        <f ca="1">ROUND(IF('数据-取费表'!B22&lt;=1,C39*F22*'数据-取费表'!B21/2,C39*(POWER((1+F22),'数据-取费表'!B21/2)-1)),0)</f>
        <v>0</v>
      </c>
      <c r="D43" s="238"/>
      <c r="E43" s="238"/>
      <c r="F43" s="239"/>
      <c r="G43" s="3635"/>
    </row>
    <row r="44" spans="1:7" ht="13.5" customHeight="1">
      <c r="A44" s="778"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5" t="s">
        <v>341</v>
      </c>
      <c r="B45" s="244" t="s">
        <v>85</v>
      </c>
      <c r="C45" s="245">
        <f>C46</f>
        <v>3</v>
      </c>
      <c r="D45" s="235">
        <f>C47</f>
        <v>3.0000000000000001E-3</v>
      </c>
      <c r="E45" s="236" t="s">
        <v>102</v>
      </c>
      <c r="F45" s="246"/>
      <c r="G45" s="247" t="s">
        <v>434</v>
      </c>
    </row>
    <row r="46" spans="1:7" s="214" customFormat="1" ht="13.5" customHeight="1">
      <c r="A46" s="778" t="s">
        <v>349</v>
      </c>
      <c r="B46" s="248" t="s">
        <v>427</v>
      </c>
      <c r="C46" s="249">
        <f>ROUND((C33+C39)*F27,0)</f>
        <v>3</v>
      </c>
      <c r="D46" s="263"/>
      <c r="E46" s="236"/>
      <c r="F46" s="246"/>
      <c r="G46" s="247"/>
    </row>
    <row r="47" spans="1:7" s="214" customFormat="1" ht="13.5" customHeight="1">
      <c r="A47" s="778" t="s">
        <v>347</v>
      </c>
      <c r="B47" s="248" t="s">
        <v>429</v>
      </c>
      <c r="C47" s="238">
        <f>ROUND(C40*F27,4)</f>
        <v>3.0000000000000001E-3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27</v>
      </c>
      <c r="D49" s="232"/>
      <c r="E49" s="232"/>
      <c r="F49" s="264"/>
      <c r="G49" s="234" t="s">
        <v>435</v>
      </c>
    </row>
    <row r="50" spans="1:7" s="258" customFormat="1" ht="24">
      <c r="A50" s="775" t="s">
        <v>344</v>
      </c>
      <c r="B50" s="210" t="s">
        <v>97</v>
      </c>
      <c r="C50" s="232"/>
      <c r="D50" s="232"/>
      <c r="E50" s="232"/>
      <c r="F50" s="264">
        <f>IF('数据-取费表'!B24=0,'数据-取费表'!N16,1)</f>
        <v>0.97</v>
      </c>
      <c r="G50" s="247" t="s">
        <v>98</v>
      </c>
    </row>
    <row r="51" spans="1:7" ht="16.5" customHeight="1">
      <c r="A51" s="775" t="s">
        <v>345</v>
      </c>
      <c r="B51" s="210" t="s">
        <v>105</v>
      </c>
      <c r="C51" s="232">
        <f ca="1">ROUND(C49*F50,0)</f>
        <v>26</v>
      </c>
      <c r="D51" s="232"/>
      <c r="E51" s="232"/>
      <c r="F51" s="264"/>
      <c r="G51" s="234" t="s">
        <v>37</v>
      </c>
    </row>
    <row r="52" spans="1:7" s="208" customFormat="1" ht="16.5" thickBot="1">
      <c r="A52" s="265" t="s">
        <v>38</v>
      </c>
      <c r="B52" s="266"/>
      <c r="C52" s="267">
        <f ca="1">C31+C51</f>
        <v>27774</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1"/>
      <c r="B4" s="3455" t="s">
        <v>917</v>
      </c>
      <c r="C4" s="3455"/>
      <c r="D4" s="3455"/>
      <c r="E4" s="1491"/>
    </row>
    <row r="5" spans="1:5" ht="16.5" thickTop="1">
      <c r="A5" s="1489"/>
      <c r="B5" s="3453" t="s">
        <v>909</v>
      </c>
      <c r="C5" s="1492" t="s">
        <v>910</v>
      </c>
      <c r="D5" s="848" t="e">
        <f ca="1">结果表!H101</f>
        <v>#DIV/0!</v>
      </c>
      <c r="E5" s="1489"/>
    </row>
    <row r="6" spans="1:5" ht="15.75">
      <c r="A6" s="1489"/>
      <c r="B6" s="3453"/>
      <c r="C6" s="1492" t="s">
        <v>911</v>
      </c>
      <c r="D6" s="848" t="e">
        <f ca="1">NUMBERSTRING(INT(D5*10000),2)&amp;"元整"</f>
        <v>#DIV/0!</v>
      </c>
      <c r="E6" s="1489"/>
    </row>
    <row r="7" spans="1:5" ht="15.75">
      <c r="A7" s="1489"/>
      <c r="B7" s="3458"/>
      <c r="C7" s="1493" t="s">
        <v>912</v>
      </c>
      <c r="D7" s="849" t="e">
        <f ca="1">结果表!H102</f>
        <v>#DIV/0!</v>
      </c>
      <c r="E7" s="1489"/>
    </row>
    <row r="8" spans="1:5" ht="15.75">
      <c r="A8" s="1489"/>
      <c r="B8" s="3459" t="str">
        <f>结果表!E103</f>
        <v>2.估价师知悉的法定优先受偿款</v>
      </c>
      <c r="C8" s="1494" t="s">
        <v>913</v>
      </c>
      <c r="D8" s="849">
        <f>结果表!H103</f>
        <v>0</v>
      </c>
      <c r="E8" s="1489"/>
    </row>
    <row r="9" spans="1:5" ht="15.75">
      <c r="A9" s="1489"/>
      <c r="B9" s="3461"/>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52" t="str">
        <f>结果表!E107</f>
        <v>3.房地产抵押价值</v>
      </c>
      <c r="C13" s="1497" t="s">
        <v>910</v>
      </c>
      <c r="D13" s="851" t="e">
        <f ca="1">结果表!H107</f>
        <v>#DIV/0!</v>
      </c>
      <c r="E13" s="1489"/>
    </row>
    <row r="14" spans="1:5" ht="15.75">
      <c r="A14" s="1489"/>
      <c r="B14" s="3453"/>
      <c r="C14" s="1492" t="s">
        <v>911</v>
      </c>
      <c r="D14" s="848" t="e">
        <f ca="1">NUMBERSTRING(INT(D13*10000),2)&amp;"元整"</f>
        <v>#DIV/0!</v>
      </c>
      <c r="E14" s="1489"/>
    </row>
    <row r="15" spans="1:5" ht="15">
      <c r="A15" s="1489"/>
      <c r="B15" s="3458"/>
      <c r="C15" s="1493" t="s">
        <v>921</v>
      </c>
      <c r="D15" s="857" t="e">
        <f ca="1">结果表!H108</f>
        <v>#DIV/0!</v>
      </c>
      <c r="E15" s="1489"/>
    </row>
    <row r="16" spans="1:5" ht="15">
      <c r="A16" s="1489"/>
      <c r="B16" s="3459" t="str">
        <f>结果表!E109</f>
        <v>——</v>
      </c>
      <c r="C16" s="1497" t="s">
        <v>922</v>
      </c>
      <c r="D16" s="1498" t="str">
        <f>结果表!H109</f>
        <v>——</v>
      </c>
      <c r="E16" s="1489"/>
    </row>
    <row r="17" spans="1:5" ht="15.75">
      <c r="A17" s="1489"/>
      <c r="B17" s="3460"/>
      <c r="C17" s="1492" t="s">
        <v>923</v>
      </c>
      <c r="D17" s="848" t="e">
        <f>NUMBERSTRING(INT(D16*10000),2)&amp;"元整"</f>
        <v>#VALUE!</v>
      </c>
      <c r="E17" s="1489"/>
    </row>
    <row r="18" spans="1:5" ht="15">
      <c r="A18" s="1489"/>
      <c r="B18" s="3461"/>
      <c r="C18" s="1493" t="s">
        <v>912</v>
      </c>
      <c r="D18" s="857" t="str">
        <f>结果表!H110</f>
        <v>——</v>
      </c>
      <c r="E18" s="1489"/>
    </row>
    <row r="19" spans="1:5" ht="15.75">
      <c r="A19" s="1489"/>
      <c r="B19" s="3452" t="str">
        <f>结果表!E111</f>
        <v>——</v>
      </c>
      <c r="C19" s="1497" t="s">
        <v>910</v>
      </c>
      <c r="D19" s="849" t="str">
        <f>结果表!H111</f>
        <v>——</v>
      </c>
      <c r="E19" s="1489"/>
    </row>
    <row r="20" spans="1:5" ht="15.75">
      <c r="A20" s="1489"/>
      <c r="B20" s="3453"/>
      <c r="C20" s="1492" t="s">
        <v>923</v>
      </c>
      <c r="D20" s="848" t="e">
        <f>NUMBERSTRING(INT(D19*10000),2)&amp;"元整"</f>
        <v>#VALUE!</v>
      </c>
      <c r="E20" s="1489"/>
    </row>
    <row r="21" spans="1:5" ht="15.75" thickBot="1">
      <c r="A21" s="1489"/>
      <c r="B21" s="3454"/>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32:E32"/>
  <sheetViews>
    <sheetView workbookViewId="0">
      <selection activeCell="F1" sqref="F1"/>
    </sheetView>
  </sheetViews>
  <sheetFormatPr defaultRowHeight="13.5"/>
  <sheetData>
    <row r="32" spans="1:5">
      <c r="A32" s="3447"/>
      <c r="B32" s="3447"/>
      <c r="C32" s="3447"/>
      <c r="D32" s="3447"/>
      <c r="E32" s="3447"/>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T384"/>
  <sheetViews>
    <sheetView zoomScale="80" zoomScaleNormal="80" workbookViewId="0">
      <selection activeCell="E48" sqref="E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2842</v>
      </c>
      <c r="B1" s="3772"/>
      <c r="C1" s="3772"/>
      <c r="D1" s="3772"/>
      <c r="E1" s="3772"/>
      <c r="F1" s="3772"/>
      <c r="G1" s="3773"/>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70" t="s">
        <v>2869</v>
      </c>
      <c r="B3" s="3228"/>
      <c r="C3" s="3229" t="s">
        <v>2814</v>
      </c>
      <c r="D3" s="3229" t="s">
        <v>2870</v>
      </c>
      <c r="E3" s="3229" t="s">
        <v>2816</v>
      </c>
      <c r="F3" s="3229" t="s">
        <v>2871</v>
      </c>
      <c r="G3" s="3229" t="s">
        <v>2634</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71"/>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3184</v>
      </c>
      <c r="B1" s="3774"/>
    </row>
    <row r="2" spans="1:7" ht="14.25" thickBot="1">
      <c r="A2" s="3253"/>
      <c r="B2" s="3253"/>
    </row>
    <row r="3" spans="1:7" ht="14.25" thickBot="1">
      <c r="A3" s="3253"/>
      <c r="B3" s="3253"/>
      <c r="C3" s="3254" t="s">
        <v>2814</v>
      </c>
      <c r="D3" s="3254" t="s">
        <v>2870</v>
      </c>
      <c r="E3" s="3254" t="s">
        <v>2816</v>
      </c>
      <c r="F3" s="3254" t="s">
        <v>2871</v>
      </c>
      <c r="G3" s="3254" t="s">
        <v>2634</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17"/>
  <sheetViews>
    <sheetView workbookViewId="0">
      <selection sqref="A1:XFD1048576"/>
    </sheetView>
  </sheetViews>
  <sheetFormatPr defaultColWidth="13.25" defaultRowHeight="13.5"/>
  <cols>
    <col min="1" max="16384" width="13.25" style="3288"/>
  </cols>
  <sheetData>
    <row r="1" spans="1:6">
      <c r="A1" s="3775" t="s">
        <v>3235</v>
      </c>
      <c r="B1" s="3775"/>
      <c r="C1" s="3775"/>
      <c r="D1" s="3775"/>
      <c r="E1" s="3775"/>
      <c r="F1" s="3776"/>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AD44"/>
  <sheetViews>
    <sheetView zoomScale="80" zoomScaleNormal="80" workbookViewId="0">
      <selection activeCell="E48" sqref="E48"/>
    </sheetView>
  </sheetViews>
  <sheetFormatPr defaultRowHeight="13.5"/>
  <cols>
    <col min="1" max="1" width="13.875" customWidth="1"/>
    <col min="11" max="17" width="0" hidden="1" customWidth="1"/>
    <col min="25" max="30" width="0" hidden="1" customWidth="1"/>
  </cols>
  <sheetData>
    <row r="1" spans="1:30">
      <c r="A1" s="3219">
        <f>基准地价修正!G23</f>
        <v>45595</v>
      </c>
      <c r="B1" s="3208" t="s">
        <v>3374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2813</v>
      </c>
      <c r="E2" s="3145" t="s">
        <v>2814</v>
      </c>
      <c r="F2" s="3145" t="s">
        <v>2815</v>
      </c>
      <c r="G2" s="3145" t="s">
        <v>2816</v>
      </c>
      <c r="H2" s="3145" t="s">
        <v>2817</v>
      </c>
      <c r="I2" s="3145" t="s">
        <v>2634</v>
      </c>
      <c r="J2" s="3146"/>
      <c r="K2" s="3144" t="s">
        <v>2813</v>
      </c>
      <c r="L2" s="3145" t="s">
        <v>2814</v>
      </c>
      <c r="M2" s="3145" t="s">
        <v>2815</v>
      </c>
      <c r="N2" s="3145" t="s">
        <v>2816</v>
      </c>
      <c r="O2" s="3145" t="s">
        <v>2818</v>
      </c>
      <c r="P2" s="3145" t="s">
        <v>2634</v>
      </c>
      <c r="Q2" s="3146"/>
      <c r="R2" s="3144" t="s">
        <v>2813</v>
      </c>
      <c r="S2" s="3145" t="s">
        <v>2814</v>
      </c>
      <c r="T2" s="3145" t="s">
        <v>2815</v>
      </c>
      <c r="U2" s="3145" t="s">
        <v>2819</v>
      </c>
      <c r="V2" s="3145" t="s">
        <v>2820</v>
      </c>
      <c r="W2" s="3145" t="s">
        <v>2634</v>
      </c>
      <c r="X2" s="3146"/>
      <c r="Y2" s="3144" t="s">
        <v>2813</v>
      </c>
      <c r="Z2" s="3145" t="s">
        <v>2814</v>
      </c>
      <c r="AA2" s="3145" t="s">
        <v>2815</v>
      </c>
      <c r="AB2" s="3145" t="s">
        <v>2821</v>
      </c>
      <c r="AC2" s="3145" t="s">
        <v>2820</v>
      </c>
      <c r="AD2" s="3145" t="s">
        <v>2634</v>
      </c>
    </row>
    <row r="3" spans="1:30" s="3159" customFormat="1" ht="12.75">
      <c r="A3" s="3147" t="s">
        <v>2822</v>
      </c>
      <c r="B3" s="3148"/>
      <c r="C3" s="3149"/>
      <c r="D3" s="3149">
        <f>ROUND(AVERAGEIF(D4:D19,"&lt;&gt;0"),2)</f>
        <v>0.59</v>
      </c>
      <c r="E3" s="3149">
        <f t="shared" ref="E3:H3" si="0">ROUND(AVERAGEIF(E4:E19,"&lt;&gt;0"),2)</f>
        <v>0.36</v>
      </c>
      <c r="F3" s="3149">
        <f t="shared" si="0"/>
        <v>0.06</v>
      </c>
      <c r="G3" s="3149">
        <f t="shared" si="0"/>
        <v>0.6</v>
      </c>
      <c r="H3" s="3149">
        <f t="shared" si="0"/>
        <v>0.6</v>
      </c>
      <c r="I3" s="3149">
        <f>F3</f>
        <v>0.06</v>
      </c>
      <c r="J3" s="3150"/>
      <c r="K3" s="3151">
        <f>ROUND(AVERAGEIF(K4:K19,"&lt;&gt;0"),4)</f>
        <v>5.8999999999999999E-3</v>
      </c>
      <c r="L3" s="3152">
        <f t="shared" ref="L3:O3" si="1">ROUND(AVERAGEIF(L4:L19,"&lt;&gt;0"),4)</f>
        <v>3.5999999999999999E-3</v>
      </c>
      <c r="M3" s="3152">
        <f t="shared" si="1"/>
        <v>5.9999999999999995E-4</v>
      </c>
      <c r="N3" s="3152">
        <f t="shared" si="1"/>
        <v>6.0000000000000001E-3</v>
      </c>
      <c r="O3" s="3152">
        <f t="shared" si="1"/>
        <v>6.0000000000000001E-3</v>
      </c>
      <c r="P3" s="3152">
        <f>M3</f>
        <v>5.9999999999999995E-4</v>
      </c>
      <c r="Q3" s="3150"/>
      <c r="R3" s="3153">
        <f>ROUND(SUMPRODUCT(PRODUCT(1+K4:K19)),4)</f>
        <v>1.0852999999999999</v>
      </c>
      <c r="S3" s="3154">
        <f t="shared" ref="S3:V3" si="2">ROUND(SUMPRODUCT(PRODUCT(1+L4:L19)),4)</f>
        <v>1.0513999999999999</v>
      </c>
      <c r="T3" s="3154">
        <f t="shared" si="2"/>
        <v>1.0083</v>
      </c>
      <c r="U3" s="3154">
        <f t="shared" si="2"/>
        <v>1.0871999999999999</v>
      </c>
      <c r="V3" s="3154">
        <f t="shared" si="2"/>
        <v>1.0880000000000001</v>
      </c>
      <c r="W3" s="3153">
        <f>T3</f>
        <v>1.0083</v>
      </c>
      <c r="X3" s="3150"/>
      <c r="Y3" s="3155">
        <f>ROUND(AVERAGEIF(Y6:Y19,"&lt;&gt;0"),4)</f>
        <v>8.3999999999999995E-3</v>
      </c>
      <c r="Z3" s="3156">
        <f t="shared" ref="Z3:AC3" si="3">ROUND(AVERAGEIF(Z6:Z19,"&lt;&gt;0"),4)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3380</v>
      </c>
      <c r="B5" s="3175">
        <v>2024</v>
      </c>
      <c r="C5" s="3176">
        <v>3</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ROUND(IF(项目基本情况!$B$8="出让",SUMPRODUCT(PRODUCT(1+K5:$K$19)),SUMPRODUCT(PRODUCT(1+K5:$K$18))),4)</f>
        <v>1.0748</v>
      </c>
      <c r="S5" s="3181">
        <f>ROUND(IF(项目基本情况!$B$8="出让",SUMPRODUCT(PRODUCT(1+L5:$L$19)),SUMPRODUCT(PRODUCT(1+L5:$L$18))),4)</f>
        <v>1.0498000000000001</v>
      </c>
      <c r="T5" s="3181">
        <f>ROUND(IF(项目基本情况!$B$8="出让",SUMPRODUCT(PRODUCT(1+M5:$M$19)),SUMPRODUCT(PRODUCT(1+M5:$M$18))),4)</f>
        <v>1.0107999999999999</v>
      </c>
      <c r="U5" s="3181">
        <f>ROUND(IF(项目基本情况!$B$8="出让",SUMPRODUCT(PRODUCT(1+N5:$N$19)),SUMPRODUCT(PRODUCT(1+N5:$N$18))),4)</f>
        <v>1.0752999999999999</v>
      </c>
      <c r="V5" s="3181">
        <f>ROUND(IF(项目基本情况!$B$8="出让",SUMPRODUCT(PRODUCT(1+O5:$O$19)),SUMPRODUCT(PRODUCT(1+O5:$O$18))),4)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3381</v>
      </c>
      <c r="B6" s="3185">
        <v>2024</v>
      </c>
      <c r="C6" s="3186">
        <v>2</v>
      </c>
      <c r="D6" s="3187">
        <v>-0.59</v>
      </c>
      <c r="E6" s="3187">
        <v>-0.21</v>
      </c>
      <c r="F6" s="3187">
        <v>-1.38</v>
      </c>
      <c r="G6" s="3187">
        <v>-1.24</v>
      </c>
      <c r="H6" s="3188">
        <v>0.34</v>
      </c>
      <c r="I6" s="3189">
        <f t="shared" ref="I6:I19" si="15">F6</f>
        <v>-1.38</v>
      </c>
      <c r="J6" s="3190"/>
      <c r="K6" s="3191">
        <f t="shared" ref="K6:O19" si="16">D6/100</f>
        <v>-5.8999999999999999E-3</v>
      </c>
      <c r="L6" s="3192">
        <f t="shared" si="16"/>
        <v>-2.0999999999999999E-3</v>
      </c>
      <c r="M6" s="3192">
        <f t="shared" si="16"/>
        <v>-1.38E-2</v>
      </c>
      <c r="N6" s="3192">
        <f t="shared" si="16"/>
        <v>-1.24E-2</v>
      </c>
      <c r="O6" s="3192">
        <f t="shared" si="16"/>
        <v>3.4000000000000002E-3</v>
      </c>
      <c r="P6" s="3192">
        <f>M6</f>
        <v>-1.38E-2</v>
      </c>
      <c r="Q6" s="3190"/>
      <c r="R6" s="3190">
        <f>ROUND(IF(项目基本情况!$B$8="出让",SUMPRODUCT(PRODUCT(1+K6:$K$19)),SUMPRODUCT(PRODUCT(1+K6:$K$18))),4)</f>
        <v>1.0748</v>
      </c>
      <c r="S6" s="3190">
        <f>ROUND(IF(项目基本情况!$B$8="出让",SUMPRODUCT(PRODUCT(1+L6:$L$19)),SUMPRODUCT(PRODUCT(1+L6:$L$18))),4)</f>
        <v>1.0498000000000001</v>
      </c>
      <c r="T6" s="3190">
        <f>ROUND(IF(项目基本情况!$B$8="出让",SUMPRODUCT(PRODUCT(1+M6:$M$19)),SUMPRODUCT(PRODUCT(1+M6:$M$18))),4)</f>
        <v>1.0107999999999999</v>
      </c>
      <c r="U6" s="3190">
        <f>ROUND(IF(项目基本情况!$B$8="出让",SUMPRODUCT(PRODUCT(1+N6:$N$19)),SUMPRODUCT(PRODUCT(1+N6:$N$18))),4)</f>
        <v>1.0752999999999999</v>
      </c>
      <c r="V6" s="3190">
        <f>ROUND(IF(项目基本情况!$B$8="出让",SUMPRODUCT(PRODUCT(1+O6:$O$19)),SUMPRODUCT(PRODUCT(1+O6:$O$18))),4)</f>
        <v>1.0841000000000001</v>
      </c>
      <c r="W6" s="3190">
        <f>T6</f>
        <v>1.0107999999999999</v>
      </c>
      <c r="X6" s="3190"/>
      <c r="Y6" s="3192">
        <f>IF(D6=0,0,ROUND(AVERAGE(D6:D19)/100,4))</f>
        <v>5.8999999999999999E-3</v>
      </c>
      <c r="Z6" s="3192">
        <f t="shared" ref="Z6:AC6" si="17">IF(E6=0,0,ROUND(AVERAGE(E6:E19)/100,4))</f>
        <v>3.5999999999999999E-3</v>
      </c>
      <c r="AA6" s="3192">
        <f t="shared" si="17"/>
        <v>5.9999999999999995E-4</v>
      </c>
      <c r="AB6" s="3192">
        <f t="shared" si="17"/>
        <v>6.0000000000000001E-3</v>
      </c>
      <c r="AC6" s="3192">
        <f t="shared" si="17"/>
        <v>6.0000000000000001E-3</v>
      </c>
      <c r="AD6" s="3192">
        <f t="shared" ref="AD6:AD18" si="18">AA6</f>
        <v>5.9999999999999995E-4</v>
      </c>
    </row>
    <row r="7" spans="1:30" s="3183" customFormat="1" ht="12.75">
      <c r="A7" s="3174" t="s">
        <v>3383</v>
      </c>
      <c r="B7" s="3175">
        <v>2024</v>
      </c>
      <c r="C7" s="3176">
        <v>1</v>
      </c>
      <c r="D7" s="3177">
        <v>0.08</v>
      </c>
      <c r="E7" s="3177">
        <v>0.46</v>
      </c>
      <c r="F7" s="3177">
        <v>-0.16</v>
      </c>
      <c r="G7" s="3177">
        <v>0.26</v>
      </c>
      <c r="H7" s="3194">
        <v>0.59</v>
      </c>
      <c r="I7" s="3178">
        <v>0</v>
      </c>
      <c r="J7" s="3179"/>
      <c r="K7" s="3180">
        <f t="shared" ref="K7" si="19">D7/100</f>
        <v>8.0000000000000004E-4</v>
      </c>
      <c r="L7" s="3170">
        <f t="shared" ref="L7" si="20">E7/100</f>
        <v>4.5999999999999999E-3</v>
      </c>
      <c r="M7" s="3170">
        <f t="shared" ref="M7" si="21">F7/100</f>
        <v>-1.6000000000000001E-3</v>
      </c>
      <c r="N7" s="3170">
        <f t="shared" ref="N7" si="22">G7/100</f>
        <v>2.5999999999999999E-3</v>
      </c>
      <c r="O7" s="3170">
        <f t="shared" ref="O7" si="23">H7/100</f>
        <v>5.8999999999999999E-3</v>
      </c>
      <c r="P7" s="3170">
        <f t="shared" ref="P7" si="24">M7</f>
        <v>-1.6000000000000001E-3</v>
      </c>
      <c r="Q7" s="3179"/>
      <c r="R7" s="3181">
        <f>ROUND(IF(项目基本情况!$B$8="出让",SUMPRODUCT(PRODUCT(1+K7:$K$19)),SUMPRODUCT(PRODUCT(1+K7:$K$18))),4)</f>
        <v>1.0811999999999999</v>
      </c>
      <c r="S7" s="3181">
        <f>ROUND(IF(项目基本情况!$B$8="出让",SUMPRODUCT(PRODUCT(1+L7:$L$19)),SUMPRODUCT(PRODUCT(1+L7:$L$18))),4)</f>
        <v>1.052</v>
      </c>
      <c r="T7" s="3181">
        <f>ROUND(IF(项目基本情况!$B$8="出让",SUMPRODUCT(PRODUCT(1+M7:$M$19)),SUMPRODUCT(PRODUCT(1+M7:$M$18))),4)</f>
        <v>1.0249999999999999</v>
      </c>
      <c r="U7" s="3181">
        <f>ROUND(IF(项目基本情况!$B$8="出让",SUMPRODUCT(PRODUCT(1+N7:$N$19)),SUMPRODUCT(PRODUCT(1+N7:$N$18))),4)</f>
        <v>1.0888</v>
      </c>
      <c r="V7" s="3181">
        <f>ROUND(IF(项目基本情况!$B$8="出让",SUMPRODUCT(PRODUCT(1+O7:$O$19)),SUMPRODUCT(PRODUCT(1+O7:$O$18))),4)</f>
        <v>1.0804</v>
      </c>
      <c r="W7" s="3181">
        <f t="shared" ref="W7" si="25">T7</f>
        <v>1.0249999999999999</v>
      </c>
      <c r="X7" s="3179"/>
      <c r="Y7" s="3182"/>
      <c r="Z7" s="3182"/>
      <c r="AA7" s="3182"/>
      <c r="AB7" s="3182"/>
      <c r="AC7" s="3182"/>
      <c r="AD7" s="3182"/>
    </row>
    <row r="8" spans="1:30" s="3183" customFormat="1" ht="12.75">
      <c r="A8" s="3174" t="s">
        <v>3378</v>
      </c>
      <c r="B8" s="3175">
        <v>2023</v>
      </c>
      <c r="C8" s="3176">
        <v>4</v>
      </c>
      <c r="D8" s="3177">
        <v>0.19</v>
      </c>
      <c r="E8" s="3177">
        <v>0.24</v>
      </c>
      <c r="F8" s="3177">
        <v>-0.16</v>
      </c>
      <c r="G8" s="3177">
        <v>0.17</v>
      </c>
      <c r="H8" s="3194">
        <v>0.61</v>
      </c>
      <c r="I8" s="3178">
        <f>F8</f>
        <v>-0.16</v>
      </c>
      <c r="J8" s="3179"/>
      <c r="K8" s="3180">
        <f t="shared" si="16"/>
        <v>1.9E-3</v>
      </c>
      <c r="L8" s="3170">
        <f t="shared" si="16"/>
        <v>2.3999999999999998E-3</v>
      </c>
      <c r="M8" s="3170">
        <f t="shared" si="16"/>
        <v>-1.6000000000000001E-3</v>
      </c>
      <c r="N8" s="3170">
        <f t="shared" si="16"/>
        <v>1.7000000000000001E-3</v>
      </c>
      <c r="O8" s="3170">
        <f t="shared" si="16"/>
        <v>6.0999999999999995E-3</v>
      </c>
      <c r="P8" s="3170">
        <f t="shared" ref="P8" si="26">M8</f>
        <v>-1.6000000000000001E-3</v>
      </c>
      <c r="Q8" s="3179"/>
      <c r="R8" s="3181">
        <f>ROUND(IF(项目基本情况!$B$8="出让",SUMPRODUCT(PRODUCT(1+K8:$K$19)),SUMPRODUCT(PRODUCT(1+K8:$K$18))),4)</f>
        <v>1.0804</v>
      </c>
      <c r="S8" s="3181">
        <f>ROUND(IF(项目基本情况!$B$8="出让",SUMPRODUCT(PRODUCT(1+L8:$L$19)),SUMPRODUCT(PRODUCT(1+L8:$L$18))),4)</f>
        <v>1.0471999999999999</v>
      </c>
      <c r="T8" s="3181">
        <f>ROUND(IF(项目基本情况!$B$8="出让",SUMPRODUCT(PRODUCT(1+M8:$M$19)),SUMPRODUCT(PRODUCT(1+M8:$M$18))),4)</f>
        <v>1.0266</v>
      </c>
      <c r="U8" s="3181">
        <f>ROUND(IF(项目基本情况!$B$8="出让",SUMPRODUCT(PRODUCT(1+N8:$N$19)),SUMPRODUCT(PRODUCT(1+N8:$N$18))),4)</f>
        <v>1.0859000000000001</v>
      </c>
      <c r="V8" s="3181">
        <f>ROUND(IF(项目基本情况!$B$8="出让",SUMPRODUCT(PRODUCT(1+O8:$O$19)),SUMPRODUCT(PRODUCT(1+O8:$O$18))),4)</f>
        <v>1.0741000000000001</v>
      </c>
      <c r="W8" s="3181">
        <f t="shared" ref="W8" si="27">T8</f>
        <v>1.0266</v>
      </c>
      <c r="X8" s="3179"/>
      <c r="Y8" s="3182"/>
      <c r="Z8" s="3182"/>
      <c r="AA8" s="3182"/>
      <c r="AB8" s="3182"/>
      <c r="AC8" s="3182"/>
      <c r="AD8" s="3182"/>
    </row>
    <row r="9" spans="1:30" s="3183" customFormat="1" ht="12.75">
      <c r="A9" s="3174" t="s">
        <v>3377</v>
      </c>
      <c r="B9" s="3175">
        <v>2023</v>
      </c>
      <c r="C9" s="3176">
        <v>3</v>
      </c>
      <c r="D9" s="3177">
        <v>0.25</v>
      </c>
      <c r="E9" s="3177">
        <v>0.5</v>
      </c>
      <c r="F9" s="3177">
        <v>0.31</v>
      </c>
      <c r="G9" s="3177">
        <v>0.21</v>
      </c>
      <c r="H9" s="3194">
        <v>0.43</v>
      </c>
      <c r="I9" s="3178">
        <f t="shared" si="15"/>
        <v>0.31</v>
      </c>
      <c r="J9" s="3179"/>
      <c r="K9" s="3180">
        <f t="shared" ref="K9:K11" si="28">D9/100</f>
        <v>2.5000000000000001E-3</v>
      </c>
      <c r="L9" s="3170">
        <f t="shared" ref="L9:L11" si="29">E9/100</f>
        <v>5.0000000000000001E-3</v>
      </c>
      <c r="M9" s="3170">
        <f t="shared" ref="M9:M11" si="30">F9/100</f>
        <v>3.0999999999999999E-3</v>
      </c>
      <c r="N9" s="3170">
        <f t="shared" ref="N9:N11" si="31">G9/100</f>
        <v>2.0999999999999999E-3</v>
      </c>
      <c r="O9" s="3170">
        <f t="shared" ref="O9:O11" si="32">H9/100</f>
        <v>4.3E-3</v>
      </c>
      <c r="P9" s="3170">
        <f t="shared" ref="P9:P11" si="33">M9</f>
        <v>3.0999999999999999E-3</v>
      </c>
      <c r="Q9" s="3179"/>
      <c r="R9" s="3181">
        <f>ROUND(IF(项目基本情况!$B$8="出让",SUMPRODUCT(PRODUCT(1+K9:$K$19)),SUMPRODUCT(PRODUCT(1+K9:$K$18))),4)</f>
        <v>1.0783</v>
      </c>
      <c r="S9" s="3181">
        <f>ROUND(IF(项目基本情况!$B$8="出让",SUMPRODUCT(PRODUCT(1+L9:$L$19)),SUMPRODUCT(PRODUCT(1+L9:$L$18))),4)</f>
        <v>1.0447</v>
      </c>
      <c r="T9" s="3181">
        <f>ROUND(IF(项目基本情况!$B$8="出让",SUMPRODUCT(PRODUCT(1+M9:$M$19)),SUMPRODUCT(PRODUCT(1+M9:$M$18))),4)</f>
        <v>1.0282</v>
      </c>
      <c r="U9" s="3181">
        <f>ROUND(IF(项目基本情况!$B$8="出让",SUMPRODUCT(PRODUCT(1+N9:$N$19)),SUMPRODUCT(PRODUCT(1+N9:$N$18))),4)</f>
        <v>1.0841000000000001</v>
      </c>
      <c r="V9" s="3181">
        <f>ROUND(IF(项目基本情况!$B$8="出让",SUMPRODUCT(PRODUCT(1+O9:$O$19)),SUMPRODUCT(PRODUCT(1+O9:$O$18))),4)</f>
        <v>1.0674999999999999</v>
      </c>
      <c r="W9" s="3181">
        <f t="shared" ref="W9:W10" si="34">T9</f>
        <v>1.0282</v>
      </c>
      <c r="X9" s="3179"/>
      <c r="Y9" s="3182"/>
      <c r="Z9" s="3182"/>
      <c r="AA9" s="3182"/>
      <c r="AB9" s="3182"/>
      <c r="AC9" s="3182"/>
      <c r="AD9" s="3182"/>
    </row>
    <row r="10" spans="1:30" s="3183" customFormat="1" ht="12.75">
      <c r="A10" s="3174" t="s">
        <v>3373</v>
      </c>
      <c r="B10" s="3175">
        <v>2023</v>
      </c>
      <c r="C10" s="3176">
        <v>2</v>
      </c>
      <c r="D10" s="3177">
        <v>0.91</v>
      </c>
      <c r="E10" s="3177">
        <v>0.66</v>
      </c>
      <c r="F10" s="3177">
        <v>0.47</v>
      </c>
      <c r="G10" s="3177">
        <v>0.96</v>
      </c>
      <c r="H10" s="3194">
        <v>0.71</v>
      </c>
      <c r="I10" s="3178">
        <f t="shared" si="15"/>
        <v>0.47</v>
      </c>
      <c r="J10" s="3179"/>
      <c r="K10" s="3180">
        <f t="shared" si="28"/>
        <v>9.1000000000000004E-3</v>
      </c>
      <c r="L10" s="3170">
        <f t="shared" si="29"/>
        <v>6.6E-3</v>
      </c>
      <c r="M10" s="3170">
        <f t="shared" si="30"/>
        <v>4.6999999999999993E-3</v>
      </c>
      <c r="N10" s="3170">
        <f t="shared" si="31"/>
        <v>9.5999999999999992E-3</v>
      </c>
      <c r="O10" s="3170">
        <f t="shared" si="32"/>
        <v>7.0999999999999995E-3</v>
      </c>
      <c r="P10" s="3170">
        <f t="shared" si="33"/>
        <v>4.6999999999999993E-3</v>
      </c>
      <c r="Q10" s="3179"/>
      <c r="R10" s="3181">
        <f>ROUND(IF(项目基本情况!$B$8="出让",SUMPRODUCT(PRODUCT(1+K10:$K$19)),SUMPRODUCT(PRODUCT(1+K10:$K$18))),4)</f>
        <v>1.0755999999999999</v>
      </c>
      <c r="S10" s="3181">
        <f>ROUND(IF(项目基本情况!$B$8="出让",SUMPRODUCT(PRODUCT(1+L10:$L$19)),SUMPRODUCT(PRODUCT(1+L10:$L$18))),4)</f>
        <v>1.0395000000000001</v>
      </c>
      <c r="T10" s="3181">
        <f>ROUND(IF(项目基本情况!$B$8="出让",SUMPRODUCT(PRODUCT(1+M10:$M$19)),SUMPRODUCT(PRODUCT(1+M10:$M$18))),4)</f>
        <v>1.0250999999999999</v>
      </c>
      <c r="U10" s="3181">
        <f>ROUND(IF(项目基本情况!$B$8="出让",SUMPRODUCT(PRODUCT(1+N10:$N$19)),SUMPRODUCT(PRODUCT(1+N10:$N$18))),4)</f>
        <v>1.0818000000000001</v>
      </c>
      <c r="V10" s="3181">
        <f>ROUND(IF(项目基本情况!$B$8="出让",SUMPRODUCT(PRODUCT(1+O10:$O$19)),SUMPRODUCT(PRODUCT(1+O10:$O$18))),4)</f>
        <v>1.0629999999999999</v>
      </c>
      <c r="W10" s="3181">
        <f t="shared" si="34"/>
        <v>1.0250999999999999</v>
      </c>
      <c r="X10" s="3179"/>
      <c r="Y10" s="3182"/>
      <c r="Z10" s="3182"/>
      <c r="AA10" s="3182"/>
      <c r="AB10" s="3182"/>
      <c r="AC10" s="3182"/>
      <c r="AD10" s="3182"/>
    </row>
    <row r="11" spans="1:30" s="3183" customFormat="1" ht="12.75">
      <c r="A11" s="3174" t="s">
        <v>3372</v>
      </c>
      <c r="B11" s="3175">
        <v>2023</v>
      </c>
      <c r="C11" s="3176">
        <v>1</v>
      </c>
      <c r="D11" s="3177">
        <v>0.89</v>
      </c>
      <c r="E11" s="3177">
        <v>0.74</v>
      </c>
      <c r="F11" s="3177">
        <v>0.56999999999999995</v>
      </c>
      <c r="G11" s="3177">
        <v>0.92</v>
      </c>
      <c r="H11" s="3194">
        <v>0.5</v>
      </c>
      <c r="I11" s="3178">
        <f t="shared" si="15"/>
        <v>0.56999999999999995</v>
      </c>
      <c r="J11" s="3179"/>
      <c r="K11" s="3180">
        <f t="shared" si="28"/>
        <v>8.8999999999999999E-3</v>
      </c>
      <c r="L11" s="3170">
        <f t="shared" si="29"/>
        <v>7.4000000000000003E-3</v>
      </c>
      <c r="M11" s="3170">
        <f t="shared" si="30"/>
        <v>5.6999999999999993E-3</v>
      </c>
      <c r="N11" s="3170">
        <f t="shared" si="31"/>
        <v>9.1999999999999998E-3</v>
      </c>
      <c r="O11" s="3170">
        <f t="shared" si="32"/>
        <v>5.0000000000000001E-3</v>
      </c>
      <c r="P11" s="3170">
        <f t="shared" si="33"/>
        <v>5.6999999999999993E-3</v>
      </c>
      <c r="Q11" s="3179"/>
      <c r="R11" s="3181">
        <f>ROUND(IF(项目基本情况!$B$8="出让",SUMPRODUCT(PRODUCT(1+K11:$K$19)),SUMPRODUCT(PRODUCT(1+K11:$K$18))),4)</f>
        <v>1.0659000000000001</v>
      </c>
      <c r="S11" s="3181">
        <f>ROUND(IF(项目基本情况!$B$8="出让",SUMPRODUCT(PRODUCT(1+L11:$L$19)),SUMPRODUCT(PRODUCT(1+L11:$L$18))),4)</f>
        <v>1.0326</v>
      </c>
      <c r="T11" s="3181">
        <f>ROUND(IF(项目基本情况!$B$8="出让",SUMPRODUCT(PRODUCT(1+M11:$M$19)),SUMPRODUCT(PRODUCT(1+M11:$M$18))),4)</f>
        <v>1.0203</v>
      </c>
      <c r="U11" s="3181">
        <f>ROUND(IF(项目基本情况!$B$8="出让",SUMPRODUCT(PRODUCT(1+N11:$N$19)),SUMPRODUCT(PRODUCT(1+N11:$N$18))),4)</f>
        <v>1.0714999999999999</v>
      </c>
      <c r="V11" s="3181">
        <f>ROUND(IF(项目基本情况!$B$8="出让",SUMPRODUCT(PRODUCT(1+O11:$O$19)),SUMPRODUCT(PRODUCT(1+O11:$O$18))),4)</f>
        <v>1.0555000000000001</v>
      </c>
      <c r="W11" s="3181">
        <f t="shared" ref="W11:W18" si="35">T11</f>
        <v>1.0203</v>
      </c>
      <c r="X11" s="3179"/>
      <c r="Y11" s="3182"/>
      <c r="Z11" s="3182"/>
      <c r="AA11" s="3182"/>
      <c r="AB11" s="3182"/>
      <c r="AC11" s="3182"/>
      <c r="AD11" s="3182"/>
    </row>
    <row r="12" spans="1:30" s="3183" customFormat="1" ht="12.75">
      <c r="A12" s="3174" t="s">
        <v>3371</v>
      </c>
      <c r="B12" s="3175">
        <v>2022</v>
      </c>
      <c r="C12" s="3176">
        <v>4</v>
      </c>
      <c r="D12" s="3177">
        <v>0.62</v>
      </c>
      <c r="E12" s="3177">
        <v>0.2</v>
      </c>
      <c r="F12" s="3177">
        <v>0.11</v>
      </c>
      <c r="G12" s="3177">
        <v>0.69</v>
      </c>
      <c r="H12" s="3194">
        <v>0.53</v>
      </c>
      <c r="I12" s="3178">
        <f t="shared" si="15"/>
        <v>0.11</v>
      </c>
      <c r="J12" s="3179"/>
      <c r="K12" s="3180">
        <f t="shared" si="16"/>
        <v>6.1999999999999998E-3</v>
      </c>
      <c r="L12" s="3170">
        <f t="shared" si="16"/>
        <v>2E-3</v>
      </c>
      <c r="M12" s="3170">
        <f t="shared" si="16"/>
        <v>1.1000000000000001E-3</v>
      </c>
      <c r="N12" s="3170">
        <f t="shared" si="16"/>
        <v>6.8999999999999999E-3</v>
      </c>
      <c r="O12" s="3170">
        <f t="shared" si="16"/>
        <v>5.3E-3</v>
      </c>
      <c r="P12" s="3170">
        <f t="shared" ref="P12:P19" si="36">M12</f>
        <v>1.1000000000000001E-3</v>
      </c>
      <c r="Q12" s="3179"/>
      <c r="R12" s="3181">
        <f>ROUND(IF(项目基本情况!$B$8="出让",SUMPRODUCT(PRODUCT(1+K12:$K$19)),SUMPRODUCT(PRODUCT(1+K12:$K$18))),4)</f>
        <v>1.0565</v>
      </c>
      <c r="S12" s="3181">
        <f>ROUND(IF(项目基本情况!$B$8="出让",SUMPRODUCT(PRODUCT(1+L12:$L$19)),SUMPRODUCT(PRODUCT(1+L12:$L$18))),4)</f>
        <v>1.0250999999999999</v>
      </c>
      <c r="T12" s="3181">
        <f>ROUND(IF(项目基本情况!$B$8="出让",SUMPRODUCT(PRODUCT(1+M12:$M$19)),SUMPRODUCT(PRODUCT(1+M12:$M$18))),4)</f>
        <v>1.0145</v>
      </c>
      <c r="U12" s="3181">
        <f>ROUND(IF(项目基本情况!$B$8="出让",SUMPRODUCT(PRODUCT(1+N12:$N$19)),SUMPRODUCT(PRODUCT(1+N12:$N$18))),4)</f>
        <v>1.0618000000000001</v>
      </c>
      <c r="V12" s="3181">
        <f>ROUND(IF(项目基本情况!$B$8="出让",SUMPRODUCT(PRODUCT(1+O12:$O$19)),SUMPRODUCT(PRODUCT(1+O12:$O$18))),4)</f>
        <v>1.0502</v>
      </c>
      <c r="W12" s="3181">
        <f t="shared" si="35"/>
        <v>1.0145</v>
      </c>
      <c r="X12" s="3179"/>
      <c r="Y12" s="3182">
        <f>IF(D12=0,0,ROUND(AVERAGE(D12:D20)/100,4))</f>
        <v>8.0999999999999996E-3</v>
      </c>
      <c r="Z12" s="3182">
        <f t="shared" ref="Z12:AC12" si="37">IF(E12=0,0,ROUND(AVERAGE(E12:E19)/100,4))</f>
        <v>3.3E-3</v>
      </c>
      <c r="AA12" s="3182">
        <f t="shared" si="37"/>
        <v>1.5E-3</v>
      </c>
      <c r="AB12" s="3182">
        <f t="shared" si="37"/>
        <v>8.8999999999999999E-3</v>
      </c>
      <c r="AC12" s="3182">
        <f t="shared" si="37"/>
        <v>6.6E-3</v>
      </c>
      <c r="AD12" s="3182">
        <f t="shared" si="18"/>
        <v>1.5E-3</v>
      </c>
    </row>
    <row r="13" spans="1:30" s="3183" customFormat="1" ht="12.75">
      <c r="A13" s="3174" t="s">
        <v>3367</v>
      </c>
      <c r="B13" s="3175">
        <v>2022</v>
      </c>
      <c r="C13" s="3176">
        <v>3</v>
      </c>
      <c r="D13" s="3177">
        <v>0.66</v>
      </c>
      <c r="E13" s="3177">
        <v>0.32</v>
      </c>
      <c r="F13" s="3177">
        <v>0.23</v>
      </c>
      <c r="G13" s="3177">
        <v>0.72</v>
      </c>
      <c r="H13" s="3194">
        <v>0.63</v>
      </c>
      <c r="I13" s="3178">
        <f t="shared" si="15"/>
        <v>0.23</v>
      </c>
      <c r="J13" s="3179"/>
      <c r="K13" s="3180">
        <f t="shared" si="16"/>
        <v>6.6E-3</v>
      </c>
      <c r="L13" s="3170">
        <f t="shared" si="16"/>
        <v>3.2000000000000002E-3</v>
      </c>
      <c r="M13" s="3170">
        <f t="shared" si="16"/>
        <v>2.3E-3</v>
      </c>
      <c r="N13" s="3170">
        <f t="shared" si="16"/>
        <v>7.1999999999999998E-3</v>
      </c>
      <c r="O13" s="3170">
        <f t="shared" si="16"/>
        <v>6.3E-3</v>
      </c>
      <c r="P13" s="3170">
        <f t="shared" si="36"/>
        <v>2.3E-3</v>
      </c>
      <c r="Q13" s="3179"/>
      <c r="R13" s="3181">
        <f>ROUND(IF(项目基本情况!$B$8="出让",SUMPRODUCT(PRODUCT(1+K13:$K$19)),SUMPRODUCT(PRODUCT(1+K13:$K$18))),4)</f>
        <v>1.05</v>
      </c>
      <c r="S13" s="3181">
        <f>ROUND(IF(项目基本情况!$B$8="出让",SUMPRODUCT(PRODUCT(1+L13:$L$19)),SUMPRODUCT(PRODUCT(1+L13:$L$18))),4)</f>
        <v>1.0229999999999999</v>
      </c>
      <c r="T13" s="3181">
        <f>ROUND(IF(项目基本情况!$B$8="出让",SUMPRODUCT(PRODUCT(1+M13:$M$19)),SUMPRODUCT(PRODUCT(1+M13:$M$18))),4)</f>
        <v>1.0134000000000001</v>
      </c>
      <c r="U13" s="3181">
        <f>ROUND(IF(项目基本情况!$B$8="出让",SUMPRODUCT(PRODUCT(1+N13:$N$19)),SUMPRODUCT(PRODUCT(1+N13:$N$18))),4)</f>
        <v>1.0545</v>
      </c>
      <c r="V13" s="3181">
        <f>ROUND(IF(项目基本情况!$B$8="出让",SUMPRODUCT(PRODUCT(1+O13:$O$19)),SUMPRODUCT(PRODUCT(1+O13:$O$18))),4)</f>
        <v>1.0447</v>
      </c>
      <c r="W13" s="3181">
        <f t="shared" si="35"/>
        <v>1.0134000000000001</v>
      </c>
      <c r="X13" s="3179"/>
      <c r="Y13" s="3182">
        <f>IF(D13=0,0,ROUND(AVERAGE(D13:D19)/100,4))</f>
        <v>8.3999999999999995E-3</v>
      </c>
      <c r="Z13" s="3182">
        <f t="shared" ref="Z13:AC13" si="38">IF(E13=0,0,ROUND(AVERAGE(E13:E19)/100,4))</f>
        <v>3.5000000000000001E-3</v>
      </c>
      <c r="AA13" s="3182">
        <f t="shared" si="38"/>
        <v>1.5E-3</v>
      </c>
      <c r="AB13" s="3182">
        <f t="shared" si="38"/>
        <v>9.1999999999999998E-3</v>
      </c>
      <c r="AC13" s="3182">
        <f t="shared" si="38"/>
        <v>6.7999999999999996E-3</v>
      </c>
      <c r="AD13" s="3182">
        <f t="shared" si="18"/>
        <v>1.5E-3</v>
      </c>
    </row>
    <row r="14" spans="1:30" s="3183" customFormat="1" ht="12.75">
      <c r="A14" s="3174" t="s">
        <v>3358</v>
      </c>
      <c r="B14" s="3175">
        <v>2022</v>
      </c>
      <c r="C14" s="3176">
        <v>2</v>
      </c>
      <c r="D14" s="3177">
        <v>0.93</v>
      </c>
      <c r="E14" s="3177">
        <v>0.15</v>
      </c>
      <c r="F14" s="3177">
        <v>0.01</v>
      </c>
      <c r="G14" s="3177">
        <v>1.05</v>
      </c>
      <c r="H14" s="3194">
        <v>1.08</v>
      </c>
      <c r="I14" s="3178">
        <f t="shared" si="15"/>
        <v>0.01</v>
      </c>
      <c r="J14" s="3179"/>
      <c r="K14" s="3180">
        <f t="shared" si="16"/>
        <v>9.300000000000001E-3</v>
      </c>
      <c r="L14" s="3170">
        <f t="shared" si="16"/>
        <v>1.5E-3</v>
      </c>
      <c r="M14" s="3170">
        <f t="shared" si="16"/>
        <v>1E-4</v>
      </c>
      <c r="N14" s="3170">
        <f t="shared" si="16"/>
        <v>1.0500000000000001E-2</v>
      </c>
      <c r="O14" s="3170">
        <f t="shared" si="16"/>
        <v>1.0800000000000001E-2</v>
      </c>
      <c r="P14" s="3170">
        <f t="shared" si="36"/>
        <v>1E-4</v>
      </c>
      <c r="Q14" s="3179"/>
      <c r="R14" s="3181">
        <f>ROUND(IF(项目基本情况!$B$8="出让",SUMPRODUCT(PRODUCT(1+K14:$K$19)),SUMPRODUCT(PRODUCT(1+K14:$K$18))),4)</f>
        <v>1.0430999999999999</v>
      </c>
      <c r="S14" s="3181">
        <f>ROUND(IF(项目基本情况!$B$8="出让",SUMPRODUCT(PRODUCT(1+L14:$L$19)),SUMPRODUCT(PRODUCT(1+L14:$L$18))),4)</f>
        <v>1.0197000000000001</v>
      </c>
      <c r="T14" s="3181">
        <f>ROUND(IF(项目基本情况!$B$8="出让",SUMPRODUCT(PRODUCT(1+M14:$M$19)),SUMPRODUCT(PRODUCT(1+M14:$M$18))),4)</f>
        <v>1.0109999999999999</v>
      </c>
      <c r="U14" s="3181">
        <f>ROUND(IF(项目基本情况!$B$8="出让",SUMPRODUCT(PRODUCT(1+N14:$N$19)),SUMPRODUCT(PRODUCT(1+N14:$N$18))),4)</f>
        <v>1.0468999999999999</v>
      </c>
      <c r="V14" s="3181">
        <f>ROUND(IF(项目基本情况!$B$8="出让",SUMPRODUCT(PRODUCT(1+O14:$O$19)),SUMPRODUCT(PRODUCT(1+O14:$O$18))),4)</f>
        <v>1.0382</v>
      </c>
      <c r="W14" s="3181">
        <f t="shared" si="35"/>
        <v>1.0109999999999999</v>
      </c>
      <c r="X14" s="3179"/>
      <c r="Y14" s="3182">
        <f>IF(D14=0,0,ROUND(AVERAGE(D14:D19)/100,4))</f>
        <v>8.6999999999999994E-3</v>
      </c>
      <c r="Z14" s="3182">
        <f t="shared" ref="Z14:AC14" si="39">IF(E14=0,0,ROUND(AVERAGE(E14:E19)/100,4))</f>
        <v>3.5000000000000001E-3</v>
      </c>
      <c r="AA14" s="3182">
        <f t="shared" si="39"/>
        <v>1.4E-3</v>
      </c>
      <c r="AB14" s="3182">
        <f t="shared" si="39"/>
        <v>9.4999999999999998E-3</v>
      </c>
      <c r="AC14" s="3182">
        <f t="shared" si="39"/>
        <v>6.8999999999999999E-3</v>
      </c>
      <c r="AD14" s="3182">
        <f t="shared" si="18"/>
        <v>1.4E-3</v>
      </c>
    </row>
    <row r="15" spans="1:30" s="3183" customFormat="1" ht="12.75">
      <c r="A15" s="3174" t="s">
        <v>2823</v>
      </c>
      <c r="B15" s="3175">
        <v>2022</v>
      </c>
      <c r="C15" s="3176">
        <v>1</v>
      </c>
      <c r="D15" s="3177">
        <v>0.89</v>
      </c>
      <c r="E15" s="3177">
        <v>0.44</v>
      </c>
      <c r="F15" s="3177">
        <v>0.37</v>
      </c>
      <c r="G15" s="3177">
        <v>0.96</v>
      </c>
      <c r="H15" s="3194">
        <v>0.64</v>
      </c>
      <c r="I15" s="3178">
        <f t="shared" si="15"/>
        <v>0.37</v>
      </c>
      <c r="J15" s="3179"/>
      <c r="K15" s="3180">
        <f t="shared" si="16"/>
        <v>8.8999999999999999E-3</v>
      </c>
      <c r="L15" s="3170">
        <f t="shared" si="16"/>
        <v>4.4000000000000003E-3</v>
      </c>
      <c r="M15" s="3170">
        <f t="shared" si="16"/>
        <v>3.7000000000000002E-3</v>
      </c>
      <c r="N15" s="3170">
        <f t="shared" si="16"/>
        <v>9.5999999999999992E-3</v>
      </c>
      <c r="O15" s="3170">
        <f t="shared" si="16"/>
        <v>6.4000000000000003E-3</v>
      </c>
      <c r="P15" s="3170">
        <f t="shared" si="36"/>
        <v>3.7000000000000002E-3</v>
      </c>
      <c r="Q15" s="3179"/>
      <c r="R15" s="3181">
        <f>ROUND(IF(项目基本情况!$B$8="出让",SUMPRODUCT(PRODUCT(1+K15:$K$19)),SUMPRODUCT(PRODUCT(1+K15:$K$18))),4)</f>
        <v>1.0335000000000001</v>
      </c>
      <c r="S15" s="3181">
        <f>ROUND(IF(项目基本情况!$B$8="出让",SUMPRODUCT(PRODUCT(1+L15:$L$19)),SUMPRODUCT(PRODUCT(1+L15:$L$18))),4)</f>
        <v>1.0182</v>
      </c>
      <c r="T15" s="3181">
        <f>ROUND(IF(项目基本情况!$B$8="出让",SUMPRODUCT(PRODUCT(1+M15:$M$19)),SUMPRODUCT(PRODUCT(1+M15:$M$18))),4)</f>
        <v>1.0108999999999999</v>
      </c>
      <c r="U15" s="3181">
        <f>ROUND(IF(项目基本情况!$B$8="出让",SUMPRODUCT(PRODUCT(1+N15:$N$19)),SUMPRODUCT(PRODUCT(1+N15:$N$18))),4)</f>
        <v>1.0361</v>
      </c>
      <c r="V15" s="3181">
        <f>ROUND(IF(项目基本情况!$B$8="出让",SUMPRODUCT(PRODUCT(1+O15:$O$19)),SUMPRODUCT(PRODUCT(1+O15:$O$18))),4)</f>
        <v>1.0270999999999999</v>
      </c>
      <c r="W15" s="3181">
        <f t="shared" si="35"/>
        <v>1.0108999999999999</v>
      </c>
      <c r="X15" s="3179"/>
      <c r="Y15" s="3182">
        <f>IF(D15=0,0,ROUND(AVERAGE(D15:D19)/100,4))</f>
        <v>8.6E-3</v>
      </c>
      <c r="Z15" s="3182">
        <f t="shared" ref="Z15:AC15" si="40">IF(E15=0,0,ROUND(AVERAGE(E15:E19)/100,4))</f>
        <v>3.8999999999999998E-3</v>
      </c>
      <c r="AA15" s="3182">
        <f t="shared" si="40"/>
        <v>1.6999999999999999E-3</v>
      </c>
      <c r="AB15" s="3182">
        <f t="shared" si="40"/>
        <v>9.2999999999999992E-3</v>
      </c>
      <c r="AC15" s="3182">
        <f t="shared" si="40"/>
        <v>6.1000000000000004E-3</v>
      </c>
      <c r="AD15" s="3182">
        <f t="shared" si="18"/>
        <v>1.6999999999999999E-3</v>
      </c>
    </row>
    <row r="16" spans="1:30" s="3183" customFormat="1" ht="12.75">
      <c r="A16" s="3174" t="s">
        <v>2824</v>
      </c>
      <c r="B16" s="3175">
        <v>2021</v>
      </c>
      <c r="C16" s="3176">
        <v>4</v>
      </c>
      <c r="D16" s="3177">
        <v>1.03</v>
      </c>
      <c r="E16" s="3177">
        <v>0.24</v>
      </c>
      <c r="F16" s="3177">
        <v>7.0000000000000007E-2</v>
      </c>
      <c r="G16" s="3177">
        <v>1.17</v>
      </c>
      <c r="H16" s="3194">
        <v>0.55000000000000004</v>
      </c>
      <c r="I16" s="3178">
        <f t="shared" si="15"/>
        <v>7.0000000000000007E-2</v>
      </c>
      <c r="J16" s="3179"/>
      <c r="K16" s="3180">
        <f t="shared" si="16"/>
        <v>1.03E-2</v>
      </c>
      <c r="L16" s="3170">
        <f t="shared" si="16"/>
        <v>2.3999999999999998E-3</v>
      </c>
      <c r="M16" s="3170">
        <f t="shared" si="16"/>
        <v>7.000000000000001E-4</v>
      </c>
      <c r="N16" s="3170">
        <f t="shared" si="16"/>
        <v>1.1699999999999999E-2</v>
      </c>
      <c r="O16" s="3170">
        <f t="shared" si="16"/>
        <v>5.5000000000000005E-3</v>
      </c>
      <c r="P16" s="3170">
        <f t="shared" si="36"/>
        <v>7.000000000000001E-4</v>
      </c>
      <c r="Q16" s="3179"/>
      <c r="R16" s="3181">
        <f>ROUND(IF(项目基本情况!$B$8="出让",SUMPRODUCT(PRODUCT(1+K16:$K$19)),SUMPRODUCT(PRODUCT(1+K16:$K$18))),4)</f>
        <v>1.0244</v>
      </c>
      <c r="S16" s="3181">
        <f>ROUND(IF(项目基本情况!$B$8="出让",SUMPRODUCT(PRODUCT(1+L16:$L$19)),SUMPRODUCT(PRODUCT(1+L16:$L$18))),4)</f>
        <v>1.0138</v>
      </c>
      <c r="T16" s="3181">
        <f>ROUND(IF(项目基本情况!$B$8="出让",SUMPRODUCT(PRODUCT(1+M16:$M$19)),SUMPRODUCT(PRODUCT(1+M16:$M$18))),4)</f>
        <v>1.0072000000000001</v>
      </c>
      <c r="U16" s="3181">
        <f>ROUND(IF(项目基本情况!$B$8="出让",SUMPRODUCT(PRODUCT(1+N16:$N$19)),SUMPRODUCT(PRODUCT(1+N16:$N$18))),4)</f>
        <v>1.0262</v>
      </c>
      <c r="V16" s="3181">
        <f>ROUND(IF(项目基本情况!$B$8="出让",SUMPRODUCT(PRODUCT(1+O16:$O$19)),SUMPRODUCT(PRODUCT(1+O16:$O$18))),4)</f>
        <v>1.0205</v>
      </c>
      <c r="W16" s="3181">
        <f t="shared" si="35"/>
        <v>1.0072000000000001</v>
      </c>
      <c r="X16" s="3179"/>
      <c r="Y16" s="3182">
        <f>IF(D16=0,0,ROUND(AVERAGE(D16:D19)/100,4))</f>
        <v>8.5000000000000006E-3</v>
      </c>
      <c r="Z16" s="3182">
        <f t="shared" ref="Z16:AC16" si="41">IF(E16=0,0,ROUND(AVERAGE(E16:E19)/100,4))</f>
        <v>3.8E-3</v>
      </c>
      <c r="AA16" s="3182">
        <f t="shared" si="41"/>
        <v>1.1999999999999999E-3</v>
      </c>
      <c r="AB16" s="3182">
        <f t="shared" si="41"/>
        <v>9.2999999999999992E-3</v>
      </c>
      <c r="AC16" s="3182">
        <f t="shared" si="41"/>
        <v>6.0000000000000001E-3</v>
      </c>
      <c r="AD16" s="3182">
        <f t="shared" si="18"/>
        <v>1.1999999999999999E-3</v>
      </c>
    </row>
    <row r="17" spans="1:30" s="3183" customFormat="1" ht="12.75">
      <c r="A17" s="3174" t="s">
        <v>2825</v>
      </c>
      <c r="B17" s="3175">
        <v>2021</v>
      </c>
      <c r="C17" s="3176">
        <v>3</v>
      </c>
      <c r="D17" s="3177">
        <v>0.47</v>
      </c>
      <c r="E17" s="3177">
        <v>0.41</v>
      </c>
      <c r="F17" s="3177">
        <v>0.24</v>
      </c>
      <c r="G17" s="3177">
        <v>0.48</v>
      </c>
      <c r="H17" s="3194">
        <v>0.48</v>
      </c>
      <c r="I17" s="3178">
        <f t="shared" si="15"/>
        <v>0.24</v>
      </c>
      <c r="J17" s="3179"/>
      <c r="K17" s="3180">
        <f t="shared" si="16"/>
        <v>4.6999999999999993E-3</v>
      </c>
      <c r="L17" s="3170">
        <f t="shared" si="16"/>
        <v>4.0999999999999995E-3</v>
      </c>
      <c r="M17" s="3170">
        <f t="shared" si="16"/>
        <v>2.3999999999999998E-3</v>
      </c>
      <c r="N17" s="3170">
        <f t="shared" si="16"/>
        <v>4.7999999999999996E-3</v>
      </c>
      <c r="O17" s="3170">
        <f t="shared" si="16"/>
        <v>4.7999999999999996E-3</v>
      </c>
      <c r="P17" s="3170">
        <f t="shared" si="36"/>
        <v>2.3999999999999998E-3</v>
      </c>
      <c r="Q17" s="3179"/>
      <c r="R17" s="3181">
        <f>ROUND(IF(项目基本情况!$B$8="出让",SUMPRODUCT(PRODUCT(1+K17:$K$19)),SUMPRODUCT(PRODUCT(1+K17:$K$18))),4)</f>
        <v>1.0139</v>
      </c>
      <c r="S17" s="3181">
        <f>ROUND(IF(项目基本情况!$B$8="出让",SUMPRODUCT(PRODUCT(1+L17:$L$19)),SUMPRODUCT(PRODUCT(1+L17:$L$18))),4)</f>
        <v>1.0113000000000001</v>
      </c>
      <c r="T17" s="3181">
        <f>ROUND(IF(项目基本情况!$B$8="出让",SUMPRODUCT(PRODUCT(1+M17:$M$19)),SUMPRODUCT(PRODUCT(1+M17:$M$18))),4)</f>
        <v>1.0065</v>
      </c>
      <c r="U17" s="3181">
        <f>ROUND(IF(项目基本情况!$B$8="出让",SUMPRODUCT(PRODUCT(1+N17:$N$19)),SUMPRODUCT(PRODUCT(1+N17:$N$18))),4)</f>
        <v>1.0143</v>
      </c>
      <c r="V17" s="3181">
        <f>ROUND(IF(项目基本情况!$B$8="出让",SUMPRODUCT(PRODUCT(1+O17:$O$19)),SUMPRODUCT(PRODUCT(1+O17:$O$18))),4)</f>
        <v>1.0148999999999999</v>
      </c>
      <c r="W17" s="3181">
        <f t="shared" si="35"/>
        <v>1.0065</v>
      </c>
      <c r="X17" s="3179"/>
      <c r="Y17" s="3182">
        <f>IF(D17=0,0,ROUND(AVERAGE(D17:D19)/100,4))</f>
        <v>7.9000000000000008E-3</v>
      </c>
      <c r="Z17" s="3182">
        <f>IF(E17=0,0,ROUND(AVERAGE(E17:E19)/100,4))</f>
        <v>4.3E-3</v>
      </c>
      <c r="AA17" s="3182">
        <f>IF(F17=0,0,ROUND(AVERAGE(F17:F19)/100,4))</f>
        <v>1.2999999999999999E-3</v>
      </c>
      <c r="AB17" s="3182">
        <f>IF(G17=0,0,ROUND(AVERAGE(G17:G19)/100,4))</f>
        <v>8.5000000000000006E-3</v>
      </c>
      <c r="AC17" s="3182">
        <f>IF(H17=0,0,ROUND(AVERAGE(H17:H19)/100,4))</f>
        <v>6.1999999999999998E-3</v>
      </c>
      <c r="AD17" s="3182">
        <f t="shared" si="18"/>
        <v>1.2999999999999999E-3</v>
      </c>
    </row>
    <row r="18" spans="1:30" s="3183" customFormat="1" ht="12.75">
      <c r="A18" s="3174" t="s">
        <v>2826</v>
      </c>
      <c r="B18" s="3175">
        <v>2021</v>
      </c>
      <c r="C18" s="3176">
        <v>2</v>
      </c>
      <c r="D18" s="3177">
        <v>0.92</v>
      </c>
      <c r="E18" s="3177">
        <v>0.72</v>
      </c>
      <c r="F18" s="3177">
        <v>0.41</v>
      </c>
      <c r="G18" s="3177">
        <v>0.95</v>
      </c>
      <c r="H18" s="3194">
        <v>1.01</v>
      </c>
      <c r="I18" s="3178">
        <f t="shared" si="15"/>
        <v>0.41</v>
      </c>
      <c r="J18" s="3179"/>
      <c r="K18" s="3180">
        <f t="shared" si="16"/>
        <v>9.1999999999999998E-3</v>
      </c>
      <c r="L18" s="3170">
        <f t="shared" si="16"/>
        <v>7.1999999999999998E-3</v>
      </c>
      <c r="M18" s="3170">
        <f t="shared" si="16"/>
        <v>4.0999999999999995E-3</v>
      </c>
      <c r="N18" s="3170">
        <f t="shared" si="16"/>
        <v>9.4999999999999998E-3</v>
      </c>
      <c r="O18" s="3170">
        <f t="shared" si="16"/>
        <v>1.01E-2</v>
      </c>
      <c r="P18" s="3170">
        <f t="shared" si="36"/>
        <v>4.0999999999999995E-3</v>
      </c>
      <c r="Q18" s="3179"/>
      <c r="R18" s="3181">
        <f>ROUND(IF(项目基本情况!$B$8="出让",SUMPRODUCT(PRODUCT(1+K18:$K$19)),SUMPRODUCT(PRODUCT(1+K18:$K$18))),4)</f>
        <v>1.0092000000000001</v>
      </c>
      <c r="S18" s="3181">
        <f>ROUND(IF(项目基本情况!$B$8="出让",SUMPRODUCT(PRODUCT(1+L18:$L$19)),SUMPRODUCT(PRODUCT(1+L18:$L$18))),4)</f>
        <v>1.0072000000000001</v>
      </c>
      <c r="T18" s="3181">
        <f>ROUND(IF(项目基本情况!$B$8="出让",SUMPRODUCT(PRODUCT(1+M18:$M$19)),SUMPRODUCT(PRODUCT(1+M18:$M$18))),4)</f>
        <v>1.0041</v>
      </c>
      <c r="U18" s="3181">
        <f>ROUND(IF(项目基本情况!$B$8="出让",SUMPRODUCT(PRODUCT(1+N18:$N$19)),SUMPRODUCT(PRODUCT(1+N18:$N$18))),4)</f>
        <v>1.0095000000000001</v>
      </c>
      <c r="V18" s="3181">
        <f>ROUND(IF(项目基本情况!$B$8="出让",SUMPRODUCT(PRODUCT(1+O18:$O$19)),SUMPRODUCT(PRODUCT(1+O18:$O$18))),4)</f>
        <v>1.0101</v>
      </c>
      <c r="W18" s="3181">
        <f t="shared" si="35"/>
        <v>1.0041</v>
      </c>
      <c r="X18" s="3179"/>
      <c r="Y18" s="3182">
        <f>IF(D18=0,0,ROUND(AVERAGE(D18:D19)/100,4))</f>
        <v>9.4999999999999998E-3</v>
      </c>
      <c r="Z18" s="3182">
        <f>IF(E18=0,0,ROUND(AVERAGE(E18:E19)/100,4))</f>
        <v>4.4000000000000003E-3</v>
      </c>
      <c r="AA18" s="3182">
        <f>IF(F18=0,0,ROUND(AVERAGE(F18:F19)/100,4))</f>
        <v>8.0000000000000004E-4</v>
      </c>
      <c r="AB18" s="3182">
        <f>IF(G18=0,0,ROUND(AVERAGE(G18:G19)/100,4))</f>
        <v>1.03E-2</v>
      </c>
      <c r="AC18" s="3182">
        <f>IF(H18=0,0,ROUND(AVERAGE(H18:H19)/100,4))</f>
        <v>6.8999999999999999E-3</v>
      </c>
      <c r="AD18" s="3182">
        <f t="shared" si="18"/>
        <v>8.0000000000000004E-4</v>
      </c>
    </row>
    <row r="19" spans="1:30" s="3205" customFormat="1" thickBot="1">
      <c r="A19" s="3195" t="s">
        <v>2827</v>
      </c>
      <c r="B19" s="3196">
        <v>2021</v>
      </c>
      <c r="C19" s="3197">
        <v>1</v>
      </c>
      <c r="D19" s="3198">
        <v>0.97</v>
      </c>
      <c r="E19" s="3198">
        <v>0.16</v>
      </c>
      <c r="F19" s="3198">
        <v>-0.25</v>
      </c>
      <c r="G19" s="3198">
        <v>1.1100000000000001</v>
      </c>
      <c r="H19" s="3199">
        <v>0.36</v>
      </c>
      <c r="I19" s="3200">
        <f t="shared" si="15"/>
        <v>-0.25</v>
      </c>
      <c r="J19" s="3201"/>
      <c r="K19" s="3202">
        <f t="shared" si="16"/>
        <v>9.7000000000000003E-3</v>
      </c>
      <c r="L19" s="3203">
        <f t="shared" si="16"/>
        <v>1.6000000000000001E-3</v>
      </c>
      <c r="M19" s="3203">
        <f>F19/100</f>
        <v>-2.5000000000000001E-3</v>
      </c>
      <c r="N19" s="3203">
        <f t="shared" si="16"/>
        <v>1.11E-2</v>
      </c>
      <c r="O19" s="3203">
        <f t="shared" si="16"/>
        <v>3.5999999999999999E-3</v>
      </c>
      <c r="P19" s="3203">
        <f t="shared" si="36"/>
        <v>-2.5000000000000001E-3</v>
      </c>
      <c r="Q19" s="3201"/>
      <c r="R19" s="3204">
        <v>1</v>
      </c>
      <c r="S19" s="3204">
        <v>1</v>
      </c>
      <c r="T19" s="3204">
        <v>1</v>
      </c>
      <c r="U19" s="3204">
        <v>1</v>
      </c>
      <c r="V19" s="3204">
        <v>1</v>
      </c>
      <c r="W19" s="3204">
        <f t="shared" ref="W19" si="42">T19</f>
        <v>1</v>
      </c>
      <c r="X19" s="3201"/>
      <c r="Y19" s="3203">
        <f>IF(D19=0,0,ROUND(AVERAGE(D19:D19)/100,4))</f>
        <v>9.7000000000000003E-3</v>
      </c>
      <c r="Z19" s="3203">
        <f>IF(E19=0,0,ROUND(AVERAGE(E19:E19)/100,4))</f>
        <v>1.6000000000000001E-3</v>
      </c>
      <c r="AA19" s="3203">
        <f>IF(F19=0,0,ROUND(AVERAGE(F19:F19)/100,4))</f>
        <v>-2.5000000000000001E-3</v>
      </c>
      <c r="AB19" s="3203">
        <f>IF(G19=0,0,ROUND(AVERAGE(G19:G19)/100,4))</f>
        <v>1.11E-2</v>
      </c>
      <c r="AC19" s="3203">
        <f>IF(H19=0,0,ROUND(AVERAGE(H19:H19)/100,4))</f>
        <v>3.5999999999999999E-3</v>
      </c>
      <c r="AD19" s="3203">
        <f>AA19</f>
        <v>-2.5000000000000001E-3</v>
      </c>
    </row>
    <row r="20" spans="1:30" s="3007" customFormat="1" ht="14.25" thickTop="1"/>
    <row r="21" spans="1:30" s="3007" customFormat="1">
      <c r="A21" s="3446" t="s">
        <v>3369</v>
      </c>
    </row>
    <row r="22" spans="1:30" s="3007" customFormat="1">
      <c r="I22" s="3206" t="s">
        <v>2828</v>
      </c>
    </row>
    <row r="23" spans="1:30" s="3007" customFormat="1"/>
    <row r="24" spans="1:30" s="3207" customFormat="1" ht="12.75">
      <c r="B24" s="3208" t="s">
        <v>3375</v>
      </c>
      <c r="C24" s="3209"/>
      <c r="D24" s="3209"/>
      <c r="E24" s="3209"/>
      <c r="F24" s="3209"/>
      <c r="G24" s="3209"/>
      <c r="H24" s="3209"/>
      <c r="I24" s="3209"/>
      <c r="J24" s="3163"/>
      <c r="K24" s="3209" t="s">
        <v>2829</v>
      </c>
      <c r="L24" s="3209"/>
      <c r="M24" s="3209"/>
      <c r="N24" s="3209"/>
      <c r="O24" s="3209"/>
      <c r="P24" s="3209"/>
      <c r="Q24" s="3163"/>
      <c r="R24" s="3777" t="s">
        <v>2830</v>
      </c>
      <c r="S24" s="3778"/>
      <c r="T24" s="3778"/>
      <c r="U24" s="3778"/>
      <c r="V24" s="3778"/>
      <c r="W24" s="3778"/>
      <c r="X24" s="3163"/>
      <c r="Y24" s="3777" t="s">
        <v>2831</v>
      </c>
      <c r="Z24" s="3778"/>
      <c r="AA24" s="3778"/>
      <c r="AB24" s="3778"/>
      <c r="AC24" s="3778"/>
      <c r="AD24" s="3778"/>
    </row>
    <row r="25" spans="1:30" s="3141" customFormat="1" ht="14.25" thickBot="1">
      <c r="B25" s="3142"/>
      <c r="C25" s="3143"/>
      <c r="D25" s="3144" t="s">
        <v>2832</v>
      </c>
      <c r="E25" s="3145" t="s">
        <v>2833</v>
      </c>
      <c r="F25" s="3145" t="s">
        <v>2834</v>
      </c>
      <c r="G25" s="3145" t="s">
        <v>2835</v>
      </c>
      <c r="H25" s="3145"/>
      <c r="I25" s="3145" t="s">
        <v>2836</v>
      </c>
      <c r="J25" s="3146"/>
      <c r="K25" s="3144" t="s">
        <v>2832</v>
      </c>
      <c r="L25" s="3145" t="s">
        <v>2833</v>
      </c>
      <c r="M25" s="3145" t="s">
        <v>2834</v>
      </c>
      <c r="N25" s="3145" t="s">
        <v>2835</v>
      </c>
      <c r="O25" s="3145"/>
      <c r="P25" s="3145" t="s">
        <v>2836</v>
      </c>
      <c r="Q25" s="3146"/>
      <c r="R25" s="3144" t="s">
        <v>2832</v>
      </c>
      <c r="S25" s="3145" t="s">
        <v>2833</v>
      </c>
      <c r="T25" s="3145" t="s">
        <v>2834</v>
      </c>
      <c r="U25" s="3145" t="s">
        <v>2835</v>
      </c>
      <c r="V25" s="3145"/>
      <c r="W25" s="3145" t="s">
        <v>2836</v>
      </c>
      <c r="X25" s="3146"/>
      <c r="Y25" s="3144" t="s">
        <v>2832</v>
      </c>
      <c r="Z25" s="3145" t="s">
        <v>2833</v>
      </c>
      <c r="AA25" s="3145" t="s">
        <v>2834</v>
      </c>
      <c r="AB25" s="3145" t="s">
        <v>2835</v>
      </c>
      <c r="AC25" s="3145"/>
      <c r="AD25" s="3145" t="s">
        <v>2836</v>
      </c>
    </row>
    <row r="26" spans="1:30" s="3159" customFormat="1" ht="12.75">
      <c r="A26" s="3147" t="s">
        <v>2837</v>
      </c>
      <c r="B26" s="3148"/>
      <c r="C26" s="3149"/>
      <c r="D26" s="3149"/>
      <c r="E26" s="3149">
        <f t="shared" ref="E26:G26" si="43">ROUND(AVERAGEIF(E27:E42,"&lt;&gt;0"),2)</f>
        <v>0.33</v>
      </c>
      <c r="F26" s="3149">
        <f t="shared" si="43"/>
        <v>0.24</v>
      </c>
      <c r="G26" s="3149">
        <f t="shared" si="43"/>
        <v>0.62</v>
      </c>
      <c r="H26" s="3149"/>
      <c r="I26" s="3149">
        <f>F26</f>
        <v>0.24</v>
      </c>
      <c r="J26" s="3150"/>
      <c r="K26" s="3151"/>
      <c r="L26" s="3152">
        <f t="shared" ref="L26:N26" si="44">ROUND(AVERAGEIF(L27:L42,"&lt;&gt;0"),4)</f>
        <v>3.3E-3</v>
      </c>
      <c r="M26" s="3152">
        <f t="shared" si="44"/>
        <v>2.3999999999999998E-3</v>
      </c>
      <c r="N26" s="3152">
        <f t="shared" si="44"/>
        <v>6.1999999999999998E-3</v>
      </c>
      <c r="O26" s="3152"/>
      <c r="P26" s="3152">
        <f>M26</f>
        <v>2.3999999999999998E-3</v>
      </c>
      <c r="Q26" s="3150"/>
      <c r="R26" s="3153"/>
      <c r="S26" s="3154">
        <f>ROUND(SUMPRODUCT(PRODUCT(1+L27:L42)),4)</f>
        <v>1.0468999999999999</v>
      </c>
      <c r="T26" s="3154">
        <f t="shared" ref="T26:U26" si="45">ROUND(SUMPRODUCT(PRODUCT(1+M27:M42)),4)</f>
        <v>1.0347</v>
      </c>
      <c r="U26" s="3154">
        <f t="shared" si="45"/>
        <v>1.0895999999999999</v>
      </c>
      <c r="V26" s="3154"/>
      <c r="W26" s="3153">
        <f>T26</f>
        <v>1.0347</v>
      </c>
      <c r="X26" s="3150"/>
      <c r="Y26" s="3155"/>
      <c r="Z26" s="3156">
        <f t="shared" ref="Z26:AB26" si="46">ROUND(AVERAGEIF(Z27:Z42,"&lt;&gt;0"),4)</f>
        <v>4.1999999999999997E-3</v>
      </c>
      <c r="AA26" s="3157">
        <f t="shared" si="46"/>
        <v>3.3999999999999998E-3</v>
      </c>
      <c r="AB26" s="3155">
        <f t="shared" si="46"/>
        <v>8.6E-3</v>
      </c>
      <c r="AC26" s="3158"/>
      <c r="AD26" s="3155">
        <f>AA26</f>
        <v>3.3999999999999998E-3</v>
      </c>
    </row>
    <row r="27" spans="1:30" s="3160" customFormat="1" ht="12.75">
      <c r="B27" s="3161"/>
      <c r="C27" s="3162"/>
      <c r="D27" s="3162"/>
      <c r="E27" s="3162"/>
      <c r="F27" s="3162"/>
      <c r="G27" s="3162"/>
      <c r="H27" s="3162"/>
      <c r="I27" s="3162"/>
      <c r="J27" s="3163"/>
      <c r="K27" s="3164"/>
      <c r="L27" s="3165"/>
      <c r="M27" s="3165"/>
      <c r="N27" s="3165"/>
      <c r="O27" s="3165"/>
      <c r="P27" s="3165"/>
      <c r="Q27" s="3163"/>
      <c r="R27" s="3166"/>
      <c r="S27" s="3167"/>
      <c r="T27" s="3168"/>
      <c r="U27" s="3166"/>
      <c r="V27" s="3169"/>
      <c r="W27" s="3166"/>
      <c r="X27" s="3163"/>
      <c r="Y27" s="3170"/>
      <c r="Z27" s="3171"/>
      <c r="AA27" s="3172"/>
      <c r="AB27" s="3170"/>
      <c r="AC27" s="3173"/>
      <c r="AD27" s="3170"/>
    </row>
    <row r="28" spans="1:30" s="3183" customFormat="1" ht="12.75">
      <c r="A28" s="2203" t="s">
        <v>3380</v>
      </c>
      <c r="B28" s="3175">
        <v>2024</v>
      </c>
      <c r="C28" s="3176">
        <v>3</v>
      </c>
      <c r="D28" s="3177"/>
      <c r="E28" s="3177">
        <v>0</v>
      </c>
      <c r="F28" s="3177">
        <v>0</v>
      </c>
      <c r="G28" s="3177">
        <v>0</v>
      </c>
      <c r="H28" s="3177"/>
      <c r="I28" s="3178">
        <f t="shared" ref="I28" si="47">F28</f>
        <v>0</v>
      </c>
      <c r="J28" s="3179"/>
      <c r="K28" s="3180"/>
      <c r="L28" s="3170">
        <f t="shared" ref="L28" si="48">E28/100</f>
        <v>0</v>
      </c>
      <c r="M28" s="3170">
        <f t="shared" ref="M28" si="49">F28/100</f>
        <v>0</v>
      </c>
      <c r="N28" s="3170">
        <f t="shared" ref="N28" si="50">G28/100</f>
        <v>0</v>
      </c>
      <c r="O28" s="3170"/>
      <c r="P28" s="3170">
        <f>M28</f>
        <v>0</v>
      </c>
      <c r="Q28" s="3179"/>
      <c r="R28" s="3181"/>
      <c r="S28" s="3181">
        <f>ROUND(IF(项目基本情况!$B$8="出让",SUMPRODUCT(PRODUCT(1+L28:L$42)),SUMPRODUCT(PRODUCT(1+L28:L$41))),4)</f>
        <v>1.0432999999999999</v>
      </c>
      <c r="T28" s="3181">
        <f>ROUND(IF(项目基本情况!$B$8="出让",SUMPRODUCT(PRODUCT(1+M28:M$42)),SUMPRODUCT(PRODUCT(1+M28:M$41))),4)</f>
        <v>1.0298</v>
      </c>
      <c r="U28" s="3181">
        <f>ROUND(IF(项目基本情况!$B$8="出让",SUMPRODUCT(PRODUCT(1+N28:N$42)),SUMPRODUCT(PRODUCT(1+N28:N$41))),4)</f>
        <v>1.079</v>
      </c>
      <c r="V28" s="3181"/>
      <c r="W28" s="3181">
        <f>T28</f>
        <v>1.0298</v>
      </c>
      <c r="X28" s="3179"/>
      <c r="Y28" s="3182"/>
      <c r="Z28" s="3210">
        <f t="shared" ref="Z28:AB29" si="51">IF(E28=0,0,ROUND(AVERAGE(E28:E41)/100,4))</f>
        <v>0</v>
      </c>
      <c r="AA28" s="3210">
        <f t="shared" si="51"/>
        <v>0</v>
      </c>
      <c r="AB28" s="3210">
        <f t="shared" si="51"/>
        <v>0</v>
      </c>
      <c r="AC28" s="3211"/>
      <c r="AD28" s="3182">
        <f>IF(I28=0,0,ROUND(AVERAGE(I28:I41)/100,4))</f>
        <v>0</v>
      </c>
    </row>
    <row r="29" spans="1:30" s="3193" customFormat="1" ht="12.75">
      <c r="A29" s="3184" t="s">
        <v>3381</v>
      </c>
      <c r="B29" s="3185">
        <v>2024</v>
      </c>
      <c r="C29" s="3186">
        <v>2</v>
      </c>
      <c r="D29" s="3187"/>
      <c r="E29" s="3187">
        <v>-0.31</v>
      </c>
      <c r="F29" s="3187">
        <v>-0.39</v>
      </c>
      <c r="G29" s="3187">
        <v>1.23</v>
      </c>
      <c r="H29" s="3188"/>
      <c r="I29" s="3189">
        <f t="shared" ref="I29:I42" si="52">F29</f>
        <v>-0.39</v>
      </c>
      <c r="J29" s="3190"/>
      <c r="K29" s="3191"/>
      <c r="L29" s="3192">
        <f t="shared" ref="L29:N42" si="53">E29/100</f>
        <v>-3.0999999999999999E-3</v>
      </c>
      <c r="M29" s="3192">
        <f t="shared" si="53"/>
        <v>-3.9000000000000003E-3</v>
      </c>
      <c r="N29" s="3192">
        <f t="shared" si="53"/>
        <v>1.23E-2</v>
      </c>
      <c r="O29" s="3192"/>
      <c r="P29" s="3192">
        <f>M29</f>
        <v>-3.9000000000000003E-3</v>
      </c>
      <c r="Q29" s="3190"/>
      <c r="R29" s="3190"/>
      <c r="S29" s="3190">
        <f>ROUND(IF(项目基本情况!$B$8="出让",SUMPRODUCT(PRODUCT(1+L29:L$42)),SUMPRODUCT(PRODUCT(1+L29:L$41))),4)</f>
        <v>1.0432999999999999</v>
      </c>
      <c r="T29" s="3190">
        <f>ROUND(IF(项目基本情况!$B$8="出让",SUMPRODUCT(PRODUCT(1+M29:M$42)),SUMPRODUCT(PRODUCT(1+M29:M$41))),4)</f>
        <v>1.0298</v>
      </c>
      <c r="U29" s="3190">
        <f>ROUND(IF(项目基本情况!$B$8="出让",SUMPRODUCT(PRODUCT(1+N29:N$42)),SUMPRODUCT(PRODUCT(1+N29:N$41))),4)</f>
        <v>1.079</v>
      </c>
      <c r="V29" s="3190"/>
      <c r="W29" s="3190">
        <f>T29</f>
        <v>1.0298</v>
      </c>
      <c r="X29" s="3190"/>
      <c r="Y29" s="3192"/>
      <c r="Z29" s="3213">
        <f t="shared" si="51"/>
        <v>3.3E-3</v>
      </c>
      <c r="AA29" s="3214">
        <f t="shared" si="51"/>
        <v>2.3999999999999998E-3</v>
      </c>
      <c r="AB29" s="3192">
        <f t="shared" si="51"/>
        <v>6.1999999999999998E-3</v>
      </c>
      <c r="AC29" s="3215"/>
      <c r="AD29" s="3192">
        <f>IF(I29=0,0,ROUND(AVERAGE(I29:I42)/100,4))</f>
        <v>2.3999999999999998E-3</v>
      </c>
    </row>
    <row r="30" spans="1:30" s="3183" customFormat="1" ht="12.75">
      <c r="A30" s="3174" t="s">
        <v>3382</v>
      </c>
      <c r="B30" s="3175">
        <v>2024</v>
      </c>
      <c r="C30" s="3176">
        <v>1</v>
      </c>
      <c r="D30" s="3177"/>
      <c r="E30" s="3177">
        <v>0.25</v>
      </c>
      <c r="F30" s="3177">
        <v>0.4</v>
      </c>
      <c r="G30" s="3177">
        <v>-0.63</v>
      </c>
      <c r="H30" s="3194"/>
      <c r="I30" s="3178">
        <f t="shared" ref="I30:I31" si="54">F30</f>
        <v>0.4</v>
      </c>
      <c r="J30" s="3179"/>
      <c r="K30" s="3180"/>
      <c r="L30" s="3170">
        <f t="shared" ref="L30" si="55">E30/100</f>
        <v>2.5000000000000001E-3</v>
      </c>
      <c r="M30" s="3170">
        <f t="shared" ref="M30" si="56">F30/100</f>
        <v>4.0000000000000001E-3</v>
      </c>
      <c r="N30" s="3170">
        <f t="shared" ref="N30" si="57">G30/100</f>
        <v>-6.3E-3</v>
      </c>
      <c r="O30" s="3170"/>
      <c r="P30" s="3170">
        <f t="shared" ref="P30" si="58">M30</f>
        <v>4.0000000000000001E-3</v>
      </c>
      <c r="Q30" s="3179"/>
      <c r="R30" s="3181"/>
      <c r="S30" s="3181">
        <f>ROUND(IF(项目基本情况!$B$8="出让",SUMPRODUCT(PRODUCT(1+L30:L$42)),SUMPRODUCT(PRODUCT(1+L30:L$41))),4)</f>
        <v>1.0465</v>
      </c>
      <c r="T30" s="3181">
        <f>ROUND(IF(项目基本情况!$B$8="出让",SUMPRODUCT(PRODUCT(1+M30:M$42)),SUMPRODUCT(PRODUCT(1+M30:M$41))),4)</f>
        <v>1.0338000000000001</v>
      </c>
      <c r="U30" s="3181">
        <f>ROUND(IF(项目基本情况!$B$8="出让",SUMPRODUCT(PRODUCT(1+N30:N$42)),SUMPRODUCT(PRODUCT(1+N30:N$41))),4)</f>
        <v>1.0659000000000001</v>
      </c>
      <c r="V30" s="3181"/>
      <c r="W30" s="3181">
        <f t="shared" ref="W30" si="59">T30</f>
        <v>1.0338000000000001</v>
      </c>
      <c r="X30" s="3179"/>
      <c r="Y30" s="3182"/>
      <c r="Z30" s="3210"/>
      <c r="AA30" s="3212"/>
      <c r="AB30" s="3182"/>
      <c r="AC30" s="3211"/>
      <c r="AD30" s="3182"/>
    </row>
    <row r="31" spans="1:30" s="3183" customFormat="1" ht="12.75">
      <c r="A31" s="3174" t="s">
        <v>3379</v>
      </c>
      <c r="B31" s="3175">
        <v>2023</v>
      </c>
      <c r="C31" s="3176">
        <v>4</v>
      </c>
      <c r="D31" s="3177"/>
      <c r="E31" s="3177">
        <v>7.0000000000000007E-2</v>
      </c>
      <c r="F31" s="3177">
        <v>0.09</v>
      </c>
      <c r="G31" s="3177">
        <v>0.03</v>
      </c>
      <c r="H31" s="3194"/>
      <c r="I31" s="3178">
        <f t="shared" si="54"/>
        <v>0.09</v>
      </c>
      <c r="J31" s="3179"/>
      <c r="K31" s="3180"/>
      <c r="L31" s="3170">
        <f t="shared" si="53"/>
        <v>7.000000000000001E-4</v>
      </c>
      <c r="M31" s="3170">
        <f t="shared" si="53"/>
        <v>8.9999999999999998E-4</v>
      </c>
      <c r="N31" s="3170">
        <f t="shared" si="53"/>
        <v>2.9999999999999997E-4</v>
      </c>
      <c r="O31" s="3170"/>
      <c r="P31" s="3170">
        <f t="shared" ref="P31" si="60">M31</f>
        <v>8.9999999999999998E-4</v>
      </c>
      <c r="Q31" s="3179"/>
      <c r="R31" s="3181"/>
      <c r="S31" s="3181">
        <f>ROUND(IF(项目基本情况!$B$8="出让",SUMPRODUCT(PRODUCT(1+L31:L$42)),SUMPRODUCT(PRODUCT(1+L31:L$41))),4)</f>
        <v>1.0439000000000001</v>
      </c>
      <c r="T31" s="3181">
        <f>ROUND(IF(项目基本情况!$B$8="出让",SUMPRODUCT(PRODUCT(1+M31:M$42)),SUMPRODUCT(PRODUCT(1+M31:M$41))),4)</f>
        <v>1.0297000000000001</v>
      </c>
      <c r="U31" s="3181">
        <f>ROUND(IF(项目基本情况!$B$8="出让",SUMPRODUCT(PRODUCT(1+N31:N$42)),SUMPRODUCT(PRODUCT(1+N31:N$41))),4)</f>
        <v>1.0727</v>
      </c>
      <c r="V31" s="3181"/>
      <c r="W31" s="3181">
        <f t="shared" ref="W31" si="61">T31</f>
        <v>1.0297000000000001</v>
      </c>
      <c r="X31" s="3179"/>
      <c r="Y31" s="3182"/>
      <c r="Z31" s="3210"/>
      <c r="AA31" s="3212"/>
      <c r="AB31" s="3182"/>
      <c r="AC31" s="3211"/>
      <c r="AD31" s="3182"/>
    </row>
    <row r="32" spans="1:30" s="3183" customFormat="1" ht="12.75">
      <c r="A32" s="3174" t="s">
        <v>3377</v>
      </c>
      <c r="B32" s="3175">
        <v>2023</v>
      </c>
      <c r="C32" s="3176">
        <v>3</v>
      </c>
      <c r="D32" s="3177"/>
      <c r="E32" s="3177">
        <v>0.35</v>
      </c>
      <c r="F32" s="3177">
        <v>0.17</v>
      </c>
      <c r="G32" s="3177">
        <v>0.52</v>
      </c>
      <c r="H32" s="3194"/>
      <c r="I32" s="3178">
        <f t="shared" si="52"/>
        <v>0.17</v>
      </c>
      <c r="J32" s="3179"/>
      <c r="K32" s="3180"/>
      <c r="L32" s="3170">
        <f t="shared" ref="L32:L34" si="62">E32/100</f>
        <v>3.4999999999999996E-3</v>
      </c>
      <c r="M32" s="3170">
        <f t="shared" ref="M32:M34" si="63">F32/100</f>
        <v>1.7000000000000001E-3</v>
      </c>
      <c r="N32" s="3170">
        <f t="shared" ref="N32:N34" si="64">G32/100</f>
        <v>5.1999999999999998E-3</v>
      </c>
      <c r="O32" s="3170"/>
      <c r="P32" s="3170">
        <f t="shared" ref="P32:P34" si="65">M32</f>
        <v>1.7000000000000001E-3</v>
      </c>
      <c r="Q32" s="3179"/>
      <c r="R32" s="3181"/>
      <c r="S32" s="3181">
        <f>ROUND(IF(项目基本情况!$B$8="出让",SUMPRODUCT(PRODUCT(1+L32:L$42)),SUMPRODUCT(PRODUCT(1+L32:L$41))),4)</f>
        <v>1.0431999999999999</v>
      </c>
      <c r="T32" s="3181">
        <f>ROUND(IF(项目基本情况!$B$8="出让",SUMPRODUCT(PRODUCT(1+M32:M$42)),SUMPRODUCT(PRODUCT(1+M32:M$41))),4)</f>
        <v>1.0286999999999999</v>
      </c>
      <c r="U32" s="3181">
        <f>ROUND(IF(项目基本情况!$B$8="出让",SUMPRODUCT(PRODUCT(1+N32:N$42)),SUMPRODUCT(PRODUCT(1+N32:N$41))),4)</f>
        <v>1.0723</v>
      </c>
      <c r="V32" s="3181"/>
      <c r="W32" s="3181">
        <f t="shared" ref="W32:W34" si="66">T32</f>
        <v>1.0286999999999999</v>
      </c>
      <c r="X32" s="3179"/>
      <c r="Y32" s="3182"/>
      <c r="Z32" s="3210"/>
      <c r="AA32" s="3212"/>
      <c r="AB32" s="3182"/>
      <c r="AC32" s="3211"/>
      <c r="AD32" s="3182"/>
    </row>
    <row r="33" spans="1:30" s="3183" customFormat="1" ht="12.75">
      <c r="A33" s="3174" t="s">
        <v>3376</v>
      </c>
      <c r="B33" s="3175">
        <v>2023</v>
      </c>
      <c r="C33" s="3176">
        <v>2</v>
      </c>
      <c r="D33" s="3177"/>
      <c r="E33" s="3177">
        <v>0.5</v>
      </c>
      <c r="F33" s="3177">
        <v>0.45</v>
      </c>
      <c r="G33" s="3177">
        <v>0.89</v>
      </c>
      <c r="H33" s="3194"/>
      <c r="I33" s="3178">
        <f t="shared" si="52"/>
        <v>0.45</v>
      </c>
      <c r="J33" s="3179"/>
      <c r="K33" s="3180"/>
      <c r="L33" s="3170">
        <f t="shared" si="62"/>
        <v>5.0000000000000001E-3</v>
      </c>
      <c r="M33" s="3170">
        <f t="shared" si="63"/>
        <v>4.5000000000000005E-3</v>
      </c>
      <c r="N33" s="3170">
        <f t="shared" si="64"/>
        <v>8.8999999999999999E-3</v>
      </c>
      <c r="O33" s="3170"/>
      <c r="P33" s="3170">
        <f t="shared" si="65"/>
        <v>4.5000000000000005E-3</v>
      </c>
      <c r="Q33" s="3179"/>
      <c r="R33" s="3181"/>
      <c r="S33" s="3181">
        <f>ROUND(IF(项目基本情况!$B$8="出让",SUMPRODUCT(PRODUCT(1+L33:L$42)),SUMPRODUCT(PRODUCT(1+L33:L$41))),4)</f>
        <v>1.0396000000000001</v>
      </c>
      <c r="T33" s="3181">
        <f>ROUND(IF(项目基本情况!$B$8="出让",SUMPRODUCT(PRODUCT(1+M33:M$42)),SUMPRODUCT(PRODUCT(1+M33:M$41))),4)</f>
        <v>1.0269999999999999</v>
      </c>
      <c r="U33" s="3181">
        <f>ROUND(IF(项目基本情况!$B$8="出让",SUMPRODUCT(PRODUCT(1+N33:N$42)),SUMPRODUCT(PRODUCT(1+N33:N$41))),4)</f>
        <v>1.0668</v>
      </c>
      <c r="V33" s="3181"/>
      <c r="W33" s="3181">
        <f t="shared" si="66"/>
        <v>1.0269999999999999</v>
      </c>
      <c r="X33" s="3179"/>
      <c r="Y33" s="3182"/>
      <c r="Z33" s="3210"/>
      <c r="AA33" s="3212"/>
      <c r="AB33" s="3182"/>
      <c r="AC33" s="3211"/>
      <c r="AD33" s="3182"/>
    </row>
    <row r="34" spans="1:30" s="3183" customFormat="1" ht="12.75">
      <c r="A34" s="3174" t="s">
        <v>3372</v>
      </c>
      <c r="B34" s="3175">
        <v>2023</v>
      </c>
      <c r="C34" s="3176">
        <v>1</v>
      </c>
      <c r="D34" s="3177"/>
      <c r="E34" s="3177">
        <v>0.55000000000000004</v>
      </c>
      <c r="F34" s="3177">
        <v>0.59</v>
      </c>
      <c r="G34" s="3177">
        <v>0.64</v>
      </c>
      <c r="H34" s="3194"/>
      <c r="I34" s="3178">
        <f t="shared" si="52"/>
        <v>0.59</v>
      </c>
      <c r="J34" s="3179"/>
      <c r="K34" s="3180"/>
      <c r="L34" s="3170">
        <f t="shared" si="62"/>
        <v>5.5000000000000005E-3</v>
      </c>
      <c r="M34" s="3170">
        <f t="shared" si="63"/>
        <v>5.8999999999999999E-3</v>
      </c>
      <c r="N34" s="3170">
        <f t="shared" si="64"/>
        <v>6.4000000000000003E-3</v>
      </c>
      <c r="O34" s="3170"/>
      <c r="P34" s="3170">
        <f t="shared" si="65"/>
        <v>5.8999999999999999E-3</v>
      </c>
      <c r="Q34" s="3179"/>
      <c r="R34" s="3181"/>
      <c r="S34" s="3181">
        <f>ROUND(IF(项目基本情况!$B$8="出让",SUMPRODUCT(PRODUCT(1+L34:L$42)),SUMPRODUCT(PRODUCT(1+L34:L$41))),4)</f>
        <v>1.0344</v>
      </c>
      <c r="T34" s="3181">
        <f>ROUND(IF(项目基本情况!$B$8="出让",SUMPRODUCT(PRODUCT(1+M34:M$42)),SUMPRODUCT(PRODUCT(1+M34:M$41))),4)</f>
        <v>1.0224</v>
      </c>
      <c r="U34" s="3181">
        <f>ROUND(IF(项目基本情况!$B$8="出让",SUMPRODUCT(PRODUCT(1+N34:N$42)),SUMPRODUCT(PRODUCT(1+N34:N$41))),4)</f>
        <v>1.0573999999999999</v>
      </c>
      <c r="V34" s="3181"/>
      <c r="W34" s="3181">
        <f t="shared" si="66"/>
        <v>1.0224</v>
      </c>
      <c r="X34" s="3179"/>
      <c r="Y34" s="3182"/>
      <c r="Z34" s="3210"/>
      <c r="AA34" s="3212"/>
      <c r="AB34" s="3182"/>
      <c r="AC34" s="3211"/>
      <c r="AD34" s="3182"/>
    </row>
    <row r="35" spans="1:30" s="3183" customFormat="1" ht="12.75">
      <c r="A35" s="3174" t="s">
        <v>3371</v>
      </c>
      <c r="B35" s="3175">
        <v>2022</v>
      </c>
      <c r="C35" s="3176">
        <v>4</v>
      </c>
      <c r="D35" s="3177"/>
      <c r="E35" s="3177">
        <v>0.45</v>
      </c>
      <c r="F35" s="3177">
        <v>0.2</v>
      </c>
      <c r="G35" s="3177">
        <v>0.38</v>
      </c>
      <c r="H35" s="3194"/>
      <c r="I35" s="3178">
        <f t="shared" si="52"/>
        <v>0.2</v>
      </c>
      <c r="J35" s="3179"/>
      <c r="K35" s="3180"/>
      <c r="L35" s="3170">
        <f t="shared" si="53"/>
        <v>4.5000000000000005E-3</v>
      </c>
      <c r="M35" s="3170">
        <f t="shared" si="53"/>
        <v>2E-3</v>
      </c>
      <c r="N35" s="3170">
        <f t="shared" si="53"/>
        <v>3.8E-3</v>
      </c>
      <c r="O35" s="3170"/>
      <c r="P35" s="3170">
        <f t="shared" ref="P35:P42" si="67">M35</f>
        <v>2E-3</v>
      </c>
      <c r="Q35" s="3179"/>
      <c r="R35" s="3181"/>
      <c r="S35" s="3181">
        <f>ROUND(IF(项目基本情况!$B$8="出让",SUMPRODUCT(PRODUCT(1+L35:L$42)),SUMPRODUCT(PRODUCT(1+L35:L$41))),4)</f>
        <v>1.0286999999999999</v>
      </c>
      <c r="T35" s="3181">
        <f>ROUND(IF(项目基本情况!$B$8="出让",SUMPRODUCT(PRODUCT(1+M35:M$42)),SUMPRODUCT(PRODUCT(1+M35:M$41))),4)</f>
        <v>1.0164</v>
      </c>
      <c r="U35" s="3181">
        <f>ROUND(IF(项目基本情况!$B$8="出让",SUMPRODUCT(PRODUCT(1+N35:N$42)),SUMPRODUCT(PRODUCT(1+N35:N$41))),4)</f>
        <v>1.0506</v>
      </c>
      <c r="V35" s="3181"/>
      <c r="W35" s="3181">
        <f t="shared" ref="W35:W42" si="68">T35</f>
        <v>1.0164</v>
      </c>
      <c r="X35" s="3179"/>
      <c r="Y35" s="3182"/>
      <c r="Z35" s="3210">
        <f t="shared" ref="Z35:AD42" si="69">IF(E35=0,0,ROUND(AVERAGE(E35:E43)/100,4))</f>
        <v>4.0000000000000001E-3</v>
      </c>
      <c r="AA35" s="3212">
        <f t="shared" si="69"/>
        <v>2.5999999999999999E-3</v>
      </c>
      <c r="AB35" s="3182">
        <f t="shared" si="69"/>
        <v>7.4000000000000003E-3</v>
      </c>
      <c r="AC35" s="3211"/>
      <c r="AD35" s="3182">
        <f t="shared" si="69"/>
        <v>2.5999999999999999E-3</v>
      </c>
    </row>
    <row r="36" spans="1:30" s="3183" customFormat="1" ht="12.75">
      <c r="A36" s="3174" t="s">
        <v>3368</v>
      </c>
      <c r="B36" s="3175">
        <v>2022</v>
      </c>
      <c r="C36" s="3176">
        <v>3</v>
      </c>
      <c r="D36" s="3177"/>
      <c r="E36" s="3177">
        <v>0.3</v>
      </c>
      <c r="F36" s="3177">
        <v>0.28999999999999998</v>
      </c>
      <c r="G36" s="3177">
        <v>0.83</v>
      </c>
      <c r="H36" s="3194"/>
      <c r="I36" s="3178">
        <f t="shared" si="52"/>
        <v>0.28999999999999998</v>
      </c>
      <c r="J36" s="3179"/>
      <c r="K36" s="3180"/>
      <c r="L36" s="3170">
        <f t="shared" si="53"/>
        <v>3.0000000000000001E-3</v>
      </c>
      <c r="M36" s="3170">
        <f t="shared" si="53"/>
        <v>2.8999999999999998E-3</v>
      </c>
      <c r="N36" s="3170">
        <f t="shared" si="53"/>
        <v>8.3000000000000001E-3</v>
      </c>
      <c r="O36" s="3170"/>
      <c r="P36" s="3170">
        <f t="shared" si="67"/>
        <v>2.8999999999999998E-3</v>
      </c>
      <c r="Q36" s="3179"/>
      <c r="R36" s="3181"/>
      <c r="S36" s="3181">
        <f>ROUND(IF(项目基本情况!$B$8="出让",SUMPRODUCT(PRODUCT(1+L36:L$42)),SUMPRODUCT(PRODUCT(1+L36:L$41))),4)</f>
        <v>1.0241</v>
      </c>
      <c r="T36" s="3181">
        <f>ROUND(IF(项目基本情况!$B$8="出让",SUMPRODUCT(PRODUCT(1+M36:M$42)),SUMPRODUCT(PRODUCT(1+M36:M$41))),4)</f>
        <v>1.0144</v>
      </c>
      <c r="U36" s="3181">
        <f>ROUND(IF(项目基本情况!$B$8="出让",SUMPRODUCT(PRODUCT(1+N36:N$42)),SUMPRODUCT(PRODUCT(1+N36:N$41))),4)</f>
        <v>1.0467</v>
      </c>
      <c r="V36" s="3181"/>
      <c r="W36" s="3181">
        <f t="shared" si="68"/>
        <v>1.0144</v>
      </c>
      <c r="X36" s="3179"/>
      <c r="Y36" s="3182"/>
      <c r="Z36" s="3210">
        <f t="shared" si="69"/>
        <v>3.8999999999999998E-3</v>
      </c>
      <c r="AA36" s="3212">
        <f t="shared" si="69"/>
        <v>2.7000000000000001E-3</v>
      </c>
      <c r="AB36" s="3182">
        <f t="shared" si="69"/>
        <v>7.9000000000000008E-3</v>
      </c>
      <c r="AC36" s="3211"/>
      <c r="AD36" s="3182">
        <f t="shared" si="69"/>
        <v>2.7000000000000001E-3</v>
      </c>
    </row>
    <row r="37" spans="1:30" s="3183" customFormat="1" ht="12.75">
      <c r="A37" s="3174" t="s">
        <v>3358</v>
      </c>
      <c r="B37" s="3175">
        <v>2022</v>
      </c>
      <c r="C37" s="3176">
        <v>2</v>
      </c>
      <c r="D37" s="3177"/>
      <c r="E37" s="3177">
        <v>-0.11</v>
      </c>
      <c r="F37" s="3177">
        <v>-0.13</v>
      </c>
      <c r="G37" s="3177">
        <v>0.53</v>
      </c>
      <c r="H37" s="3194"/>
      <c r="I37" s="3178">
        <f t="shared" si="52"/>
        <v>-0.13</v>
      </c>
      <c r="J37" s="3179"/>
      <c r="K37" s="3180"/>
      <c r="L37" s="3170">
        <f t="shared" si="53"/>
        <v>-1.1000000000000001E-3</v>
      </c>
      <c r="M37" s="3170">
        <f t="shared" si="53"/>
        <v>-1.2999999999999999E-3</v>
      </c>
      <c r="N37" s="3170">
        <f t="shared" si="53"/>
        <v>5.3E-3</v>
      </c>
      <c r="O37" s="3170"/>
      <c r="P37" s="3170">
        <f t="shared" si="67"/>
        <v>-1.2999999999999999E-3</v>
      </c>
      <c r="Q37" s="3179"/>
      <c r="R37" s="3181"/>
      <c r="S37" s="3181">
        <f>ROUND(IF(项目基本情况!$B$8="出让",SUMPRODUCT(PRODUCT(1+L37:L$42)),SUMPRODUCT(PRODUCT(1+L37:L$41))),4)</f>
        <v>1.0210999999999999</v>
      </c>
      <c r="T37" s="3181">
        <f>ROUND(IF(项目基本情况!$B$8="出让",SUMPRODUCT(PRODUCT(1+M37:M$42)),SUMPRODUCT(PRODUCT(1+M37:M$41))),4)</f>
        <v>1.0114000000000001</v>
      </c>
      <c r="U37" s="3181">
        <f>ROUND(IF(项目基本情况!$B$8="出让",SUMPRODUCT(PRODUCT(1+N37:N$42)),SUMPRODUCT(PRODUCT(1+N37:N$41))),4)</f>
        <v>1.0381</v>
      </c>
      <c r="V37" s="3181"/>
      <c r="W37" s="3181">
        <f t="shared" si="68"/>
        <v>1.0114000000000001</v>
      </c>
      <c r="X37" s="3179"/>
      <c r="Y37" s="3182"/>
      <c r="Z37" s="3210">
        <f t="shared" si="69"/>
        <v>4.1000000000000003E-3</v>
      </c>
      <c r="AA37" s="3212">
        <f t="shared" si="69"/>
        <v>2.7000000000000001E-3</v>
      </c>
      <c r="AB37" s="3182">
        <f t="shared" si="69"/>
        <v>7.9000000000000008E-3</v>
      </c>
      <c r="AC37" s="3211"/>
      <c r="AD37" s="3182">
        <f t="shared" si="69"/>
        <v>2.7000000000000001E-3</v>
      </c>
    </row>
    <row r="38" spans="1:30" s="3183" customFormat="1" ht="12.75">
      <c r="A38" s="3174" t="s">
        <v>2838</v>
      </c>
      <c r="B38" s="3175">
        <v>2022</v>
      </c>
      <c r="C38" s="3176">
        <v>1</v>
      </c>
      <c r="D38" s="3177"/>
      <c r="E38" s="3177">
        <v>0.6</v>
      </c>
      <c r="F38" s="3177">
        <v>0.45</v>
      </c>
      <c r="G38" s="3177">
        <v>0.53</v>
      </c>
      <c r="H38" s="3194"/>
      <c r="I38" s="3178">
        <f t="shared" si="52"/>
        <v>0.45</v>
      </c>
      <c r="J38" s="3179"/>
      <c r="K38" s="3180"/>
      <c r="L38" s="3170">
        <f t="shared" si="53"/>
        <v>6.0000000000000001E-3</v>
      </c>
      <c r="M38" s="3170">
        <f t="shared" si="53"/>
        <v>4.5000000000000005E-3</v>
      </c>
      <c r="N38" s="3170">
        <f t="shared" si="53"/>
        <v>5.3E-3</v>
      </c>
      <c r="O38" s="3170"/>
      <c r="P38" s="3170">
        <f t="shared" si="67"/>
        <v>4.5000000000000005E-3</v>
      </c>
      <c r="Q38" s="3179"/>
      <c r="R38" s="3181"/>
      <c r="S38" s="3181">
        <f>ROUND(IF(项目基本情况!$B$8="出让",SUMPRODUCT(PRODUCT(1+L38:L$42)),SUMPRODUCT(PRODUCT(1+L38:L$41))),4)</f>
        <v>1.0222</v>
      </c>
      <c r="T38" s="3181">
        <f>ROUND(IF(项目基本情况!$B$8="出让",SUMPRODUCT(PRODUCT(1+M38:M$42)),SUMPRODUCT(PRODUCT(1+M38:M$41))),4)</f>
        <v>1.0127999999999999</v>
      </c>
      <c r="U38" s="3181">
        <f>ROUND(IF(项目基本情况!$B$8="出让",SUMPRODUCT(PRODUCT(1+N38:N$42)),SUMPRODUCT(PRODUCT(1+N38:N$41))),4)</f>
        <v>1.0326</v>
      </c>
      <c r="V38" s="3181"/>
      <c r="W38" s="3181">
        <f t="shared" si="68"/>
        <v>1.0127999999999999</v>
      </c>
      <c r="X38" s="3179"/>
      <c r="Y38" s="3182"/>
      <c r="Z38" s="3210">
        <f t="shared" si="69"/>
        <v>5.1000000000000004E-3</v>
      </c>
      <c r="AA38" s="3212">
        <f t="shared" si="69"/>
        <v>3.5000000000000001E-3</v>
      </c>
      <c r="AB38" s="3182">
        <f t="shared" si="69"/>
        <v>8.3999999999999995E-3</v>
      </c>
      <c r="AC38" s="3211"/>
      <c r="AD38" s="3182">
        <f t="shared" si="69"/>
        <v>3.5000000000000001E-3</v>
      </c>
    </row>
    <row r="39" spans="1:30" s="3183" customFormat="1" ht="12.75">
      <c r="A39" s="3174" t="s">
        <v>2839</v>
      </c>
      <c r="B39" s="3175">
        <v>2021</v>
      </c>
      <c r="C39" s="3176">
        <v>4</v>
      </c>
      <c r="D39" s="3177"/>
      <c r="E39" s="3177">
        <v>0.57999999999999996</v>
      </c>
      <c r="F39" s="3177">
        <v>0.08</v>
      </c>
      <c r="G39" s="3177">
        <v>0.68</v>
      </c>
      <c r="H39" s="3194"/>
      <c r="I39" s="3178">
        <f t="shared" si="52"/>
        <v>0.08</v>
      </c>
      <c r="J39" s="3179"/>
      <c r="K39" s="3180"/>
      <c r="L39" s="3170">
        <f t="shared" si="53"/>
        <v>5.7999999999999996E-3</v>
      </c>
      <c r="M39" s="3170">
        <f t="shared" si="53"/>
        <v>8.0000000000000004E-4</v>
      </c>
      <c r="N39" s="3170">
        <f t="shared" si="53"/>
        <v>6.8000000000000005E-3</v>
      </c>
      <c r="O39" s="3170"/>
      <c r="P39" s="3170">
        <f t="shared" si="67"/>
        <v>8.0000000000000004E-4</v>
      </c>
      <c r="Q39" s="3179"/>
      <c r="R39" s="3181"/>
      <c r="S39" s="3181">
        <f>ROUND(IF(项目基本情况!$B$8="出让",SUMPRODUCT(PRODUCT(1+L39:L$42)),SUMPRODUCT(PRODUCT(1+L39:L$41))),4)</f>
        <v>1.0161</v>
      </c>
      <c r="T39" s="3181">
        <f>ROUND(IF(项目基本情况!$B$8="出让",SUMPRODUCT(PRODUCT(1+M39:M$42)),SUMPRODUCT(PRODUCT(1+M39:M$41))),4)</f>
        <v>1.0082</v>
      </c>
      <c r="U39" s="3181">
        <f>ROUND(IF(项目基本情况!$B$8="出让",SUMPRODUCT(PRODUCT(1+N39:N$42)),SUMPRODUCT(PRODUCT(1+N39:N$41))),4)</f>
        <v>1.0270999999999999</v>
      </c>
      <c r="V39" s="3181"/>
      <c r="W39" s="3181">
        <f t="shared" si="68"/>
        <v>1.0082</v>
      </c>
      <c r="X39" s="3179"/>
      <c r="Y39" s="3182"/>
      <c r="Z39" s="3210">
        <f t="shared" si="69"/>
        <v>4.8999999999999998E-3</v>
      </c>
      <c r="AA39" s="3212">
        <f t="shared" si="69"/>
        <v>3.3E-3</v>
      </c>
      <c r="AB39" s="3182">
        <f t="shared" si="69"/>
        <v>9.1999999999999998E-3</v>
      </c>
      <c r="AC39" s="3211"/>
      <c r="AD39" s="3182">
        <f t="shared" si="69"/>
        <v>3.3E-3</v>
      </c>
    </row>
    <row r="40" spans="1:30" s="3183" customFormat="1" ht="12.75">
      <c r="A40" s="3174" t="s">
        <v>2840</v>
      </c>
      <c r="B40" s="3175">
        <v>2021</v>
      </c>
      <c r="C40" s="3176">
        <v>3</v>
      </c>
      <c r="D40" s="3177"/>
      <c r="E40" s="3177">
        <v>0.47</v>
      </c>
      <c r="F40" s="3177">
        <v>0.28000000000000003</v>
      </c>
      <c r="G40" s="3177">
        <v>0.91</v>
      </c>
      <c r="H40" s="3194"/>
      <c r="I40" s="3178">
        <f t="shared" si="52"/>
        <v>0.28000000000000003</v>
      </c>
      <c r="J40" s="3179"/>
      <c r="K40" s="3180"/>
      <c r="L40" s="3170">
        <f t="shared" si="53"/>
        <v>4.6999999999999993E-3</v>
      </c>
      <c r="M40" s="3170">
        <f t="shared" si="53"/>
        <v>2.8000000000000004E-3</v>
      </c>
      <c r="N40" s="3170">
        <f t="shared" si="53"/>
        <v>9.1000000000000004E-3</v>
      </c>
      <c r="O40" s="3170"/>
      <c r="P40" s="3170">
        <f t="shared" si="67"/>
        <v>2.8000000000000004E-3</v>
      </c>
      <c r="Q40" s="3179"/>
      <c r="R40" s="3181"/>
      <c r="S40" s="3181">
        <f>ROUND(IF(项目基本情况!$B$8="出让",SUMPRODUCT(PRODUCT(1+L40:L$42)),SUMPRODUCT(PRODUCT(1+L40:L$41))),4)</f>
        <v>1.0102</v>
      </c>
      <c r="T40" s="3181">
        <f>ROUND(IF(项目基本情况!$B$8="出让",SUMPRODUCT(PRODUCT(1+M40:M$42)),SUMPRODUCT(PRODUCT(1+M40:M$41))),4)</f>
        <v>1.0074000000000001</v>
      </c>
      <c r="U40" s="3181">
        <f>ROUND(IF(项目基本情况!$B$8="出让",SUMPRODUCT(PRODUCT(1+N40:N$42)),SUMPRODUCT(PRODUCT(1+N40:N$41))),4)</f>
        <v>1.0202</v>
      </c>
      <c r="V40" s="3181"/>
      <c r="W40" s="3181">
        <f t="shared" si="68"/>
        <v>1.0074000000000001</v>
      </c>
      <c r="X40" s="3179"/>
      <c r="Y40" s="3182"/>
      <c r="Z40" s="3210">
        <f t="shared" si="69"/>
        <v>4.5999999999999999E-3</v>
      </c>
      <c r="AA40" s="3212">
        <f t="shared" si="69"/>
        <v>4.1000000000000003E-3</v>
      </c>
      <c r="AB40" s="3182">
        <f t="shared" si="69"/>
        <v>0.01</v>
      </c>
      <c r="AC40" s="3211"/>
      <c r="AD40" s="3182">
        <f t="shared" si="69"/>
        <v>4.1000000000000003E-3</v>
      </c>
    </row>
    <row r="41" spans="1:30" s="3183" customFormat="1" ht="12.75">
      <c r="A41" s="3174" t="s">
        <v>2841</v>
      </c>
      <c r="B41" s="3175">
        <v>2021</v>
      </c>
      <c r="C41" s="3176">
        <v>2</v>
      </c>
      <c r="D41" s="3177"/>
      <c r="E41" s="3177">
        <v>0.55000000000000004</v>
      </c>
      <c r="F41" s="3177">
        <v>0.46</v>
      </c>
      <c r="G41" s="3177">
        <v>1.1000000000000001</v>
      </c>
      <c r="H41" s="3194"/>
      <c r="I41" s="3178">
        <f t="shared" si="52"/>
        <v>0.46</v>
      </c>
      <c r="J41" s="3179"/>
      <c r="K41" s="3180"/>
      <c r="L41" s="3170">
        <f t="shared" si="53"/>
        <v>5.5000000000000005E-3</v>
      </c>
      <c r="M41" s="3170">
        <f t="shared" si="53"/>
        <v>4.5999999999999999E-3</v>
      </c>
      <c r="N41" s="3170">
        <f t="shared" si="53"/>
        <v>1.1000000000000001E-2</v>
      </c>
      <c r="O41" s="3170"/>
      <c r="P41" s="3170">
        <f t="shared" si="67"/>
        <v>4.5999999999999999E-3</v>
      </c>
      <c r="Q41" s="3179"/>
      <c r="R41" s="3181"/>
      <c r="S41" s="3181">
        <f>ROUND(IF(项目基本情况!$B$8="出让",SUMPRODUCT(PRODUCT(1+L41:L$42)),SUMPRODUCT(PRODUCT(1+L41:L$41))),4)</f>
        <v>1.0055000000000001</v>
      </c>
      <c r="T41" s="3181">
        <f>ROUND(IF(项目基本情况!$B$8="出让",SUMPRODUCT(PRODUCT(1+M41:M$42)),SUMPRODUCT(PRODUCT(1+M41:M$41))),4)</f>
        <v>1.0045999999999999</v>
      </c>
      <c r="U41" s="3181">
        <f>ROUND(IF(项目基本情况!$B$8="出让",SUMPRODUCT(PRODUCT(1+N41:N$42)),SUMPRODUCT(PRODUCT(1+N41:N$41))),4)</f>
        <v>1.0109999999999999</v>
      </c>
      <c r="V41" s="3181"/>
      <c r="W41" s="3181">
        <f t="shared" si="68"/>
        <v>1.0045999999999999</v>
      </c>
      <c r="X41" s="3179"/>
      <c r="Y41" s="3182"/>
      <c r="Z41" s="3210">
        <f t="shared" si="69"/>
        <v>4.4999999999999997E-3</v>
      </c>
      <c r="AA41" s="3212">
        <f t="shared" si="69"/>
        <v>4.7000000000000002E-3</v>
      </c>
      <c r="AB41" s="3182">
        <f t="shared" si="69"/>
        <v>1.04E-2</v>
      </c>
      <c r="AC41" s="3211"/>
      <c r="AD41" s="3182">
        <f t="shared" si="69"/>
        <v>4.7000000000000002E-3</v>
      </c>
    </row>
    <row r="42" spans="1:30" s="3205" customFormat="1" thickBot="1">
      <c r="A42" s="3195" t="s">
        <v>2827</v>
      </c>
      <c r="B42" s="3196">
        <v>2021</v>
      </c>
      <c r="C42" s="3197">
        <v>1</v>
      </c>
      <c r="D42" s="3198"/>
      <c r="E42" s="3198">
        <v>0.35</v>
      </c>
      <c r="F42" s="3198">
        <v>0.48</v>
      </c>
      <c r="G42" s="3198">
        <v>0.98</v>
      </c>
      <c r="H42" s="3199"/>
      <c r="I42" s="3200">
        <f t="shared" si="52"/>
        <v>0.48</v>
      </c>
      <c r="J42" s="3201"/>
      <c r="K42" s="3202"/>
      <c r="L42" s="3203">
        <f t="shared" si="53"/>
        <v>3.4999999999999996E-3</v>
      </c>
      <c r="M42" s="3203">
        <f>F42/100</f>
        <v>4.7999999999999996E-3</v>
      </c>
      <c r="N42" s="3203">
        <f t="shared" si="53"/>
        <v>9.7999999999999997E-3</v>
      </c>
      <c r="O42" s="3203"/>
      <c r="P42" s="3203">
        <f t="shared" si="67"/>
        <v>4.7999999999999996E-3</v>
      </c>
      <c r="Q42" s="3201"/>
      <c r="R42" s="3204"/>
      <c r="S42" s="3204">
        <v>1</v>
      </c>
      <c r="T42" s="3204">
        <v>1</v>
      </c>
      <c r="U42" s="3204">
        <v>1</v>
      </c>
      <c r="V42" s="3204"/>
      <c r="W42" s="3204">
        <f t="shared" si="68"/>
        <v>1</v>
      </c>
      <c r="X42" s="3201"/>
      <c r="Y42" s="3203"/>
      <c r="Z42" s="3216">
        <f t="shared" si="69"/>
        <v>3.5000000000000001E-3</v>
      </c>
      <c r="AA42" s="3217">
        <f t="shared" si="69"/>
        <v>4.7999999999999996E-3</v>
      </c>
      <c r="AB42" s="3203">
        <f t="shared" si="69"/>
        <v>9.7999999999999997E-3</v>
      </c>
      <c r="AC42" s="3218"/>
      <c r="AD42" s="3203">
        <f t="shared" si="69"/>
        <v>4.7999999999999996E-3</v>
      </c>
    </row>
    <row r="43" spans="1:30" ht="14.25" thickTop="1"/>
    <row r="44" spans="1:30">
      <c r="A44" s="3446" t="s">
        <v>3370</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H123"/>
  <sheetViews>
    <sheetView zoomScale="80" zoomScaleNormal="80" workbookViewId="0">
      <selection activeCell="E48" sqref="E4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3366</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3363</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3364</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3365</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2439</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2316</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2315</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2314</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8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8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8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78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8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8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8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78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8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8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8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8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7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8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8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8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7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8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8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8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78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78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78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78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7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8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8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8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7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8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8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8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7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8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8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8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7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8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8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8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7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8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8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8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7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8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8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8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7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8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8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8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7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8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8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8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7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8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8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8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7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8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8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8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7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8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8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8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IW74"/>
  <sheetViews>
    <sheetView workbookViewId="0">
      <selection activeCell="E48" sqref="E4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45595</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45159</v>
      </c>
      <c r="D13" s="2820">
        <v>3.45</v>
      </c>
      <c r="E13" s="2820">
        <f>D13</f>
        <v>3.45</v>
      </c>
      <c r="F13" s="2820">
        <f>D13</f>
        <v>3.45</v>
      </c>
      <c r="G13" s="2820">
        <f>D13</f>
        <v>3.45</v>
      </c>
      <c r="H13" s="2820">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45097</v>
      </c>
      <c r="D14" s="2815">
        <v>3.55</v>
      </c>
      <c r="E14" s="2815">
        <f>D14</f>
        <v>3.55</v>
      </c>
      <c r="F14" s="2815">
        <f>D14</f>
        <v>3.55</v>
      </c>
      <c r="G14" s="2815">
        <f>D14</f>
        <v>3.55</v>
      </c>
      <c r="H14" s="2815">
        <v>4.2</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44795</v>
      </c>
      <c r="D15" s="2815">
        <v>3.65</v>
      </c>
      <c r="E15" s="2815">
        <v>3.65</v>
      </c>
      <c r="F15" s="2815">
        <v>3.65</v>
      </c>
      <c r="G15" s="2815">
        <v>3.65</v>
      </c>
      <c r="H15" s="2815">
        <v>4.3</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44701</v>
      </c>
      <c r="D16" s="2815">
        <v>3.7</v>
      </c>
      <c r="E16" s="2815">
        <f>D16</f>
        <v>3.7</v>
      </c>
      <c r="F16" s="2815">
        <f>D16</f>
        <v>3.7</v>
      </c>
      <c r="G16" s="2815">
        <f>D16</f>
        <v>3.7</v>
      </c>
      <c r="H16" s="2815">
        <v>4.45</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44581</v>
      </c>
      <c r="D17" s="2815">
        <v>3.7</v>
      </c>
      <c r="E17" s="2815">
        <f>D17</f>
        <v>3.7</v>
      </c>
      <c r="F17" s="2815">
        <f>D17</f>
        <v>3.7</v>
      </c>
      <c r="G17" s="2815">
        <f>D17</f>
        <v>3.7</v>
      </c>
      <c r="H17" s="2815">
        <v>4.5999999999999996</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5"/>
      <c r="C19" s="2816">
        <v>43941</v>
      </c>
      <c r="D19" s="2815">
        <v>3.85</v>
      </c>
      <c r="E19" s="2815">
        <v>3.85</v>
      </c>
      <c r="F19" s="2815">
        <v>3.85</v>
      </c>
      <c r="G19" s="2815">
        <v>3.85</v>
      </c>
      <c r="H19" s="2815">
        <v>4.6500000000000004</v>
      </c>
      <c r="I19" s="2815"/>
      <c r="J19" s="2815"/>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43881</v>
      </c>
      <c r="D20" s="2815">
        <v>4.05</v>
      </c>
      <c r="E20" s="2815">
        <v>4.05</v>
      </c>
      <c r="F20" s="2815">
        <v>4.05</v>
      </c>
      <c r="G20" s="2815">
        <v>4.05</v>
      </c>
      <c r="H20" s="2815">
        <v>4.75</v>
      </c>
      <c r="I20" s="2815"/>
      <c r="J20" s="2815"/>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43789</v>
      </c>
      <c r="D21" s="2815">
        <v>4.1500000000000004</v>
      </c>
      <c r="E21" s="2815">
        <v>4.1500000000000004</v>
      </c>
      <c r="F21" s="2815">
        <v>4.1500000000000004</v>
      </c>
      <c r="G21" s="2815">
        <v>4.1500000000000004</v>
      </c>
      <c r="H21" s="2815">
        <v>4.8</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43728</v>
      </c>
      <c r="D22" s="2815">
        <v>4.2</v>
      </c>
      <c r="E22" s="2815">
        <v>4.2</v>
      </c>
      <c r="F22" s="2815">
        <v>4.2</v>
      </c>
      <c r="G22" s="2815">
        <v>4.2</v>
      </c>
      <c r="H22" s="2815">
        <v>4.8499999999999996</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4" t="s">
        <v>2312</v>
      </c>
      <c r="C23" s="2817">
        <v>43697</v>
      </c>
      <c r="D23" s="2818">
        <v>4.25</v>
      </c>
      <c r="E23" s="2818">
        <v>4.25</v>
      </c>
      <c r="F23" s="2818">
        <v>4.25</v>
      </c>
      <c r="G23" s="2818">
        <v>4.25</v>
      </c>
      <c r="H23" s="2818">
        <v>4.8499999999999996</v>
      </c>
      <c r="I23" s="2818"/>
      <c r="J23" s="2818"/>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22"/>
      <c r="C24" s="2823">
        <v>42301</v>
      </c>
      <c r="D24" s="2824">
        <v>4.3499999999999996</v>
      </c>
      <c r="E24" s="2824">
        <v>4.3499999999999996</v>
      </c>
      <c r="F24" s="2824">
        <v>4.75</v>
      </c>
      <c r="G24" s="2824">
        <v>4.75</v>
      </c>
      <c r="H24" s="2824">
        <v>4.9000000000000004</v>
      </c>
      <c r="I24" s="2824"/>
      <c r="J24" s="282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2" t="s">
        <v>925</v>
      </c>
      <c r="E3" s="852" t="s">
        <v>931</v>
      </c>
      <c r="F3" s="852" t="s">
        <v>925</v>
      </c>
      <c r="G3" s="852" t="s">
        <v>926</v>
      </c>
      <c r="H3" s="852" t="s">
        <v>925</v>
      </c>
      <c r="I3" s="852" t="s">
        <v>926</v>
      </c>
    </row>
    <row r="4" spans="1:9" ht="15">
      <c r="A4" s="1503" t="str">
        <f>项目基本情况!S2</f>
        <v>房地产</v>
      </c>
      <c r="B4" s="852">
        <f>项目基本情况!C17</f>
        <v>54.47</v>
      </c>
      <c r="C4" s="852">
        <f>项目基本情况!C18</f>
        <v>0</v>
      </c>
      <c r="D4" s="852" t="e">
        <f ca="1">结果表!D118</f>
        <v>#DIV/0!</v>
      </c>
      <c r="E4" s="852" t="e">
        <f ca="1">结果表!E118</f>
        <v>#DIV/0!</v>
      </c>
      <c r="F4" s="852" t="e">
        <f ca="1">结果表!F118</f>
        <v>#DIV/0!</v>
      </c>
      <c r="G4" s="852" t="e">
        <f ca="1">结果表!G118</f>
        <v>#DIV/0!</v>
      </c>
      <c r="H4" s="852" t="e">
        <f ca="1">结果表!H118</f>
        <v>#DIV/0!</v>
      </c>
      <c r="I4" s="852" t="e">
        <f ca="1">结果表!I118</f>
        <v>#DIV/0!</v>
      </c>
    </row>
    <row r="5" spans="1:9" ht="30" customHeight="1">
      <c r="A5" s="3465" t="s">
        <v>927</v>
      </c>
      <c r="B5" s="3465"/>
      <c r="C5" s="3465"/>
      <c r="D5" s="3465" t="e">
        <f ca="1">结果表!D119</f>
        <v>#DIV/0!</v>
      </c>
      <c r="E5" s="3465"/>
      <c r="F5" s="3465" t="e">
        <f ca="1">结果表!F119</f>
        <v>#DIV/0!</v>
      </c>
      <c r="G5" s="3465"/>
      <c r="H5" s="3465" t="e">
        <f ca="1">结果表!H119</f>
        <v>#DIV/0!</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t="e">
        <f ca="1">结果表!D122</f>
        <v>#DIV/0!</v>
      </c>
      <c r="E8" s="3464"/>
      <c r="F8" s="3464"/>
      <c r="G8" s="3464"/>
      <c r="H8" s="3464"/>
      <c r="I8" s="3464"/>
    </row>
    <row r="9" spans="1:9" ht="15">
      <c r="A9" s="3465" t="s">
        <v>927</v>
      </c>
      <c r="B9" s="3465"/>
      <c r="C9" s="3465"/>
      <c r="D9" s="3465" t="e">
        <f ca="1">结果表!D123</f>
        <v>#DIV/0!</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77" t="s">
        <v>949</v>
      </c>
      <c r="B1" s="3477"/>
      <c r="C1" s="3477"/>
      <c r="D1" s="3477"/>
    </row>
    <row r="2" spans="1:4" ht="18">
      <c r="A2" s="3478" t="s">
        <v>933</v>
      </c>
      <c r="B2" s="3478"/>
      <c r="C2" s="3478"/>
      <c r="D2" s="3478"/>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78" t="s">
        <v>939</v>
      </c>
      <c r="B6" s="3478"/>
      <c r="C6" s="3478"/>
      <c r="D6" s="3478"/>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85" t="s">
        <v>956</v>
      </c>
      <c r="B15" s="3480" t="s">
        <v>109</v>
      </c>
      <c r="C15" s="3481"/>
    </row>
    <row r="16" spans="1:7" ht="13.5">
      <c r="A16" s="3486"/>
      <c r="B16" s="3480" t="s">
        <v>42</v>
      </c>
      <c r="C16" s="3481"/>
    </row>
    <row r="17" spans="1:3" ht="13.5">
      <c r="A17" s="3486"/>
      <c r="B17" s="3483" t="s">
        <v>957</v>
      </c>
      <c r="C17" s="1530" t="s">
        <v>956</v>
      </c>
    </row>
    <row r="18" spans="1:3" ht="13.5">
      <c r="A18" s="3486"/>
      <c r="B18" s="3483"/>
      <c r="C18" s="1530" t="s">
        <v>958</v>
      </c>
    </row>
    <row r="19" spans="1:3" ht="13.5">
      <c r="A19" s="3486"/>
      <c r="B19" s="3483"/>
      <c r="C19" s="1530" t="s">
        <v>959</v>
      </c>
    </row>
    <row r="20" spans="1:3" ht="13.5">
      <c r="A20" s="3487"/>
      <c r="B20" s="3482" t="s">
        <v>960</v>
      </c>
      <c r="C20" s="3481"/>
    </row>
    <row r="21" spans="1:3" ht="13.5">
      <c r="A21" s="1531" t="s">
        <v>961</v>
      </c>
      <c r="B21" s="1532"/>
      <c r="C21" s="1533"/>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0" t="s">
        <v>967</v>
      </c>
    </row>
    <row r="26" spans="1:3" ht="13.5">
      <c r="A26" s="3484"/>
      <c r="B26" s="3483"/>
      <c r="C26" s="1530" t="s">
        <v>968</v>
      </c>
    </row>
    <row r="27" spans="1:3" ht="13.5">
      <c r="A27" s="3484"/>
      <c r="B27" s="3483"/>
      <c r="C27" s="1530" t="s">
        <v>969</v>
      </c>
    </row>
    <row r="28" spans="1:3" ht="13.5">
      <c r="A28" s="3484"/>
      <c r="B28" s="3483"/>
      <c r="C28" s="1530" t="s">
        <v>970</v>
      </c>
    </row>
    <row r="29" spans="1:3" ht="13.5">
      <c r="A29" s="3484"/>
      <c r="B29" s="3483"/>
      <c r="C29" s="1530" t="s">
        <v>971</v>
      </c>
    </row>
    <row r="30" spans="1:3" ht="13.5">
      <c r="A30" s="3484"/>
      <c r="B30" s="3483"/>
      <c r="C30" s="1530" t="s">
        <v>972</v>
      </c>
    </row>
    <row r="31" spans="1:3" ht="13.5">
      <c r="A31" s="3484"/>
      <c r="B31" s="3483"/>
      <c r="C31" s="1530" t="s">
        <v>973</v>
      </c>
    </row>
    <row r="32" spans="1:3" ht="13.5">
      <c r="A32" s="3484"/>
      <c r="B32" s="3483"/>
      <c r="C32" s="1530" t="s">
        <v>974</v>
      </c>
    </row>
    <row r="33" spans="1:3" ht="13.5">
      <c r="A33" s="3484"/>
      <c r="B33" s="3483"/>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45629</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t="str">
        <f ca="1">IF(C9&lt;B2,"已过期",1120060040)</f>
        <v>已过期</v>
      </c>
      <c r="C9" s="2348">
        <v>45592</v>
      </c>
      <c r="D9" s="2344" t="str">
        <f t="shared" ca="1" si="0"/>
        <v>陈颖（注册号：已过期）</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2440</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488" t="s">
        <v>2159</v>
      </c>
      <c r="B17" s="3488"/>
      <c r="C17" s="3488"/>
      <c r="D17" s="3488"/>
      <c r="E17" s="3488"/>
      <c r="F17" s="3488"/>
      <c r="G17" s="3488"/>
      <c r="H17" s="3488"/>
    </row>
    <row r="18" spans="1:8" ht="24" customHeight="1">
      <c r="A18" s="3489" t="s">
        <v>2160</v>
      </c>
      <c r="B18" s="3489"/>
      <c r="C18" s="3489"/>
      <c r="D18" s="2341"/>
      <c r="E18" s="3490" t="s">
        <v>2161</v>
      </c>
      <c r="F18" s="3489"/>
      <c r="G18" s="3489"/>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2441</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Sheet1</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2024-12-03T03:28:41Z</dcterms:modified>
</cp:coreProperties>
</file>