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2门头沟共有产回购\"/>
    </mc:Choice>
  </mc:AlternateContent>
  <xr:revisionPtr revIDLastSave="0" documentId="13_ncr:1_{9C34D5AC-7F02-42EA-9FD5-49597A3F4E4B}" xr6:coauthVersionLast="47" xr6:coauthVersionMax="47" xr10:uidLastSave="{00000000-0000-0000-0000-000000000000}"/>
  <bookViews>
    <workbookView xWindow="-120" yWindow="-120" windowWidth="38640" windowHeight="21240" tabRatio="899" firstSheet="9"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5" i="80" l="1"/>
  <c r="Q6" i="80"/>
  <c r="Q8" i="80"/>
  <c r="P8" i="80"/>
  <c r="P6" i="80"/>
  <c r="P5" i="80"/>
  <c r="R16" i="80"/>
  <c r="P15" i="80" l="1"/>
  <c r="P16" i="80" s="1"/>
  <c r="E27" i="45"/>
  <c r="S5" i="80" l="1"/>
  <c r="E14" i="74" s="1"/>
  <c r="S8" i="80"/>
  <c r="T8" i="80" s="1"/>
  <c r="S6" i="80"/>
  <c r="T6" i="80" s="1"/>
  <c r="G14" i="73"/>
  <c r="F14" i="73"/>
  <c r="E14" i="73"/>
  <c r="T5"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3" i="79"/>
  <c r="T34" i="79"/>
  <c r="T35"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H39" i="33"/>
  <c r="AB39" i="33" s="1"/>
  <c r="F26" i="33"/>
  <c r="AA26" i="33"/>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W40" i="33"/>
  <c r="F37" i="40"/>
  <c r="AA37" i="40" s="1"/>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F13" i="37"/>
  <c r="S13" i="37" s="1"/>
  <c r="F28" i="37"/>
  <c r="AA28" i="37" s="1"/>
  <c r="J28" i="37"/>
  <c r="AC28" i="37" s="1"/>
  <c r="H28" i="37"/>
  <c r="H38" i="37"/>
  <c r="AB38" i="37"/>
  <c r="J38" i="37"/>
  <c r="AC38" i="37" s="1"/>
  <c r="F38" i="37"/>
  <c r="S38" i="37"/>
  <c r="F43" i="39"/>
  <c r="AA43" i="39" s="1"/>
  <c r="H43"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W44" i="34"/>
  <c r="AC44" i="34"/>
  <c r="S15"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F39" i="40"/>
  <c r="S39" i="40" s="1"/>
  <c r="BA14" i="3"/>
  <c r="AZ14" i="3" s="1"/>
  <c r="AZ149" i="3"/>
  <c r="AZ173" i="3"/>
  <c r="AZ181" i="3"/>
  <c r="B12" i="1"/>
  <c r="E12" i="1" s="1"/>
  <c r="B10" i="1"/>
  <c r="E10" i="1" s="1"/>
  <c r="AZ88" i="3"/>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H23" i="21"/>
  <c r="S13" i="21"/>
  <c r="AP7" i="1"/>
  <c r="AA32" i="21"/>
  <c r="W9" i="21"/>
  <c r="AC9" i="21"/>
  <c r="AB32" i="21"/>
  <c r="A18" i="62"/>
  <c r="B64" i="72" s="1"/>
  <c r="U32" i="39"/>
  <c r="AC32" i="39"/>
  <c r="W23" i="37"/>
  <c r="J63" i="37"/>
  <c r="K63" i="37" s="1"/>
  <c r="L63" i="37" s="1"/>
  <c r="M63" i="37" s="1"/>
  <c r="J11" i="37"/>
  <c r="AC11" i="37" s="1"/>
  <c r="H70" i="34"/>
  <c r="I70" i="34" s="1"/>
  <c r="J70" i="34" s="1"/>
  <c r="K70" i="34" s="1"/>
  <c r="L70" i="34" s="1"/>
  <c r="M70" i="34" s="1"/>
  <c r="J11" i="34"/>
  <c r="W11" i="34" s="1"/>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M6" i="67"/>
  <c r="E9" i="76"/>
  <c r="F7" i="73"/>
  <c r="F6" i="67"/>
  <c r="M23" i="67"/>
  <c r="F5" i="73"/>
  <c r="E11" i="76"/>
  <c r="F26" i="67"/>
  <c r="B12" i="76"/>
  <c r="B7" i="76"/>
  <c r="E12" i="76"/>
  <c r="B10" i="76"/>
  <c r="C76" i="67"/>
  <c r="M29" i="67"/>
  <c r="F3" i="73"/>
  <c r="AO13" i="1"/>
  <c r="B13" i="76"/>
  <c r="F16" i="67"/>
  <c r="C19" i="9"/>
  <c r="F36" i="67"/>
  <c r="F4" i="73"/>
  <c r="F20" i="31"/>
  <c r="F42" i="67"/>
  <c r="D35" i="9"/>
  <c r="M26" i="67"/>
  <c r="L47" i="15"/>
  <c r="F6" i="73"/>
  <c r="J15" i="67"/>
  <c r="F7" i="67"/>
  <c r="F9" i="67"/>
  <c r="E8" i="76"/>
  <c r="M8" i="67"/>
  <c r="C20" i="9"/>
  <c r="F40" i="67"/>
  <c r="F43" i="15"/>
  <c r="E7" i="76"/>
  <c r="B9" i="76"/>
  <c r="D20" i="9"/>
  <c r="E10" i="76"/>
  <c r="B11" i="76"/>
  <c r="F13" i="67"/>
  <c r="B8" i="76"/>
  <c r="D19" i="9"/>
  <c r="E2" i="68"/>
  <c r="E13" i="76"/>
  <c r="D34" i="9"/>
  <c r="D6" i="73"/>
  <c r="AA23" i="21" l="1"/>
  <c r="S23" i="21"/>
  <c r="AA36" i="33"/>
  <c r="S36" i="33"/>
  <c r="AC33" i="34"/>
  <c r="W33" i="34"/>
  <c r="S39" i="39"/>
  <c r="AA39" i="39"/>
  <c r="S40" i="34"/>
  <c r="AA40" i="34"/>
  <c r="AA30" i="40"/>
  <c r="S30" i="40"/>
  <c r="W13" i="37"/>
  <c r="AC13" i="37"/>
  <c r="W25" i="33"/>
  <c r="AB15" i="21"/>
  <c r="W27" i="33"/>
  <c r="S37" i="21"/>
  <c r="W17" i="21"/>
  <c r="D121" i="9"/>
  <c r="D7" i="52" s="1"/>
  <c r="D6" i="52"/>
  <c r="S23" i="37"/>
  <c r="AA23" i="37"/>
  <c r="U12" i="39"/>
  <c r="AB32" i="37"/>
  <c r="U32" i="37"/>
  <c r="AZ342" i="3"/>
  <c r="AB9" i="21"/>
  <c r="U36" i="33"/>
  <c r="AB36" i="33"/>
  <c r="AA19" i="37"/>
  <c r="AC15" i="21"/>
  <c r="W15" i="21"/>
  <c r="S19" i="33"/>
  <c r="AA19" i="33"/>
  <c r="AB27" i="40"/>
  <c r="AC27" i="40"/>
  <c r="W27" i="40"/>
  <c r="W20" i="36"/>
  <c r="AC20" i="36"/>
  <c r="AZ587" i="3"/>
  <c r="AZ345" i="3"/>
  <c r="AZ372" i="3"/>
  <c r="AZ347" i="3"/>
  <c r="AZ337" i="3"/>
  <c r="AZ376" i="3"/>
  <c r="AZ309" i="3"/>
  <c r="AA11" i="39"/>
  <c r="AZ571" i="3"/>
  <c r="AZ579" i="3"/>
  <c r="AC22" i="35"/>
  <c r="W22" i="35"/>
  <c r="AC8" i="40"/>
  <c r="W8" i="40"/>
  <c r="AZ539" i="3"/>
  <c r="AZ529" i="3"/>
  <c r="AZ537" i="3"/>
  <c r="AZ518" i="3"/>
  <c r="AZ526" i="3"/>
  <c r="AZ546" i="3"/>
  <c r="AZ564" i="3"/>
  <c r="AZ580" i="3"/>
  <c r="F14" i="39"/>
  <c r="H13" i="37"/>
  <c r="AA29" i="35"/>
  <c r="AB33" i="33"/>
  <c r="U33" i="33"/>
  <c r="H23" i="36"/>
  <c r="J23" i="36"/>
  <c r="F23" i="36"/>
  <c r="J39" i="40"/>
  <c r="H39" i="40"/>
  <c r="AB45" i="21"/>
  <c r="S15" i="39"/>
  <c r="U37" i="39"/>
  <c r="AC34" i="33"/>
  <c r="U12" i="40"/>
  <c r="AC11" i="39"/>
  <c r="F29" i="6"/>
  <c r="F30" i="6" s="1"/>
  <c r="AZ391" i="3"/>
  <c r="AZ318" i="3"/>
  <c r="AZ364" i="3"/>
  <c r="AZ329" i="3"/>
  <c r="AZ304" i="3"/>
  <c r="AZ139" i="3"/>
  <c r="AZ306" i="3"/>
  <c r="W35" i="40"/>
  <c r="U11" i="33"/>
  <c r="AA13" i="33"/>
  <c r="U32" i="33"/>
  <c r="AZ535" i="3"/>
  <c r="AZ577" i="3"/>
  <c r="AZ557" i="3"/>
  <c r="AZ513" i="3"/>
  <c r="AZ575" i="3"/>
  <c r="AZ566" i="3"/>
  <c r="AZ582" i="3"/>
  <c r="AZ540" i="3"/>
  <c r="AZ502" i="3"/>
  <c r="U46" i="33"/>
  <c r="J32" i="36"/>
  <c r="W32" i="36" s="1"/>
  <c r="U40" i="33"/>
  <c r="BL587" i="3"/>
  <c r="B101" i="43"/>
  <c r="B79" i="43"/>
  <c r="AA35" i="34"/>
  <c r="S35" i="34"/>
  <c r="S14" i="40"/>
  <c r="AA25" i="21"/>
  <c r="AC36" i="34"/>
  <c r="AZ568" i="3"/>
  <c r="AA14" i="34"/>
  <c r="H32" i="36"/>
  <c r="U34" i="34"/>
  <c r="J9" i="33"/>
  <c r="H9" i="33"/>
  <c r="F9" i="33"/>
  <c r="AA9" i="33" s="1"/>
  <c r="AC9" i="34"/>
  <c r="W9" i="34"/>
  <c r="AB31" i="35"/>
  <c r="G587" i="3"/>
  <c r="J23" i="35"/>
  <c r="H23" i="35"/>
  <c r="W31" i="35"/>
  <c r="AC31" i="35"/>
  <c r="BL585" i="3"/>
  <c r="AZ585" i="3" s="1"/>
  <c r="BA551" i="3"/>
  <c r="AZ551" i="3" s="1"/>
  <c r="BA550" i="3"/>
  <c r="BL548" i="3"/>
  <c r="AZ548" i="3" s="1"/>
  <c r="AZ451" i="3"/>
  <c r="J9" i="36"/>
  <c r="F38" i="40"/>
  <c r="H38" i="40"/>
  <c r="G556" i="3"/>
  <c r="AZ413" i="3"/>
  <c r="H24" i="36"/>
  <c r="G558" i="3"/>
  <c r="BL398" i="3"/>
  <c r="G402" i="3"/>
  <c r="BL403"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AZ446" i="3" s="1"/>
  <c r="BA450" i="3"/>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G270" i="3"/>
  <c r="BL270" i="3"/>
  <c r="BA291" i="3"/>
  <c r="AZ291" i="3" s="1"/>
  <c r="BA120" i="3"/>
  <c r="AZ120" i="3" s="1"/>
  <c r="BL550" i="3"/>
  <c r="BL15" i="3"/>
  <c r="AZ15" i="3" s="1"/>
  <c r="BA398" i="3"/>
  <c r="AZ398" i="3" s="1"/>
  <c r="BA399" i="3"/>
  <c r="AZ399" i="3" s="1"/>
  <c r="BL401" i="3"/>
  <c r="AZ401" i="3" s="1"/>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AZ255" i="3" s="1"/>
  <c r="G257" i="3"/>
  <c r="BL257" i="3"/>
  <c r="AZ257" i="3" s="1"/>
  <c r="BL258" i="3"/>
  <c r="G259" i="3"/>
  <c r="BL266" i="3"/>
  <c r="AZ270" i="3"/>
  <c r="BL273" i="3"/>
  <c r="BA277" i="3"/>
  <c r="AZ277" i="3" s="1"/>
  <c r="BL277" i="3"/>
  <c r="G284" i="3"/>
  <c r="BL285" i="3"/>
  <c r="BL293" i="3"/>
  <c r="AZ293" i="3" s="1"/>
  <c r="BL294" i="3"/>
  <c r="BL16" i="3"/>
  <c r="AZ16" i="3" s="1"/>
  <c r="AZ403" i="3"/>
  <c r="AZ404" i="3"/>
  <c r="AZ405" i="3"/>
  <c r="AZ419" i="3"/>
  <c r="AZ422" i="3"/>
  <c r="BA441" i="3"/>
  <c r="AZ441" i="3" s="1"/>
  <c r="BL445" i="3"/>
  <c r="BL446" i="3"/>
  <c r="BL449" i="3"/>
  <c r="BL450" i="3"/>
  <c r="BL452" i="3"/>
  <c r="G454" i="3"/>
  <c r="BL456" i="3"/>
  <c r="AZ456" i="3" s="1"/>
  <c r="BA464" i="3"/>
  <c r="AZ464" i="3" s="1"/>
  <c r="BL467" i="3"/>
  <c r="BL468" i="3"/>
  <c r="BL470" i="3"/>
  <c r="AZ470" i="3" s="1"/>
  <c r="G472" i="3"/>
  <c r="G473" i="3"/>
  <c r="BL473" i="3"/>
  <c r="AZ473" i="3" s="1"/>
  <c r="BL474" i="3"/>
  <c r="G475" i="3"/>
  <c r="AZ480" i="3"/>
  <c r="BA332" i="3"/>
  <c r="BL332" i="3"/>
  <c r="G339" i="3"/>
  <c r="G364" i="3"/>
  <c r="BA367" i="3"/>
  <c r="AZ367" i="3" s="1"/>
  <c r="BA370" i="3"/>
  <c r="AZ370" i="3" s="1"/>
  <c r="BA386" i="3"/>
  <c r="AZ386" i="3" s="1"/>
  <c r="BA247" i="3"/>
  <c r="BL247" i="3"/>
  <c r="BA249" i="3"/>
  <c r="AZ249" i="3" s="1"/>
  <c r="BL249" i="3"/>
  <c r="BL260" i="3"/>
  <c r="BL264" i="3"/>
  <c r="BL267" i="3"/>
  <c r="G268" i="3"/>
  <c r="BL280" i="3"/>
  <c r="G287" i="3"/>
  <c r="BA288" i="3"/>
  <c r="BA290" i="3"/>
  <c r="G399" i="3"/>
  <c r="BL400" i="3"/>
  <c r="AZ400" i="3" s="1"/>
  <c r="BL408" i="3"/>
  <c r="BL411" i="3"/>
  <c r="BL413" i="3"/>
  <c r="G416" i="3"/>
  <c r="BL417" i="3"/>
  <c r="BL418" i="3"/>
  <c r="BL420" i="3"/>
  <c r="G423" i="3"/>
  <c r="BL424" i="3"/>
  <c r="G427" i="3"/>
  <c r="BL428" i="3"/>
  <c r="BL429" i="3"/>
  <c r="BL432" i="3"/>
  <c r="BL435" i="3"/>
  <c r="BL436" i="3"/>
  <c r="BA439" i="3"/>
  <c r="AZ439" i="3" s="1"/>
  <c r="BA440" i="3"/>
  <c r="AZ440" i="3" s="1"/>
  <c r="AZ458" i="3"/>
  <c r="AZ462" i="3"/>
  <c r="BA477" i="3"/>
  <c r="AZ477" i="3" s="1"/>
  <c r="BA478" i="3"/>
  <c r="BA481" i="3"/>
  <c r="BA488" i="3"/>
  <c r="AZ488" i="3" s="1"/>
  <c r="BA491" i="3"/>
  <c r="AZ491" i="3" s="1"/>
  <c r="BL324" i="3"/>
  <c r="AZ324" i="3" s="1"/>
  <c r="BL328" i="3"/>
  <c r="AZ328"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A282" i="3"/>
  <c r="BL282" i="3"/>
  <c r="BA297" i="3"/>
  <c r="BL297" i="3"/>
  <c r="BL300" i="3"/>
  <c r="BA302" i="3"/>
  <c r="BA117" i="3"/>
  <c r="BA130" i="3"/>
  <c r="AZ130" i="3" s="1"/>
  <c r="BL130" i="3"/>
  <c r="BA137" i="3"/>
  <c r="BL138" i="3"/>
  <c r="BA140" i="3"/>
  <c r="AZ140" i="3" s="1"/>
  <c r="BA142" i="3"/>
  <c r="BL167" i="3"/>
  <c r="AZ167" i="3" s="1"/>
  <c r="BL191" i="3"/>
  <c r="AZ191" i="3" s="1"/>
  <c r="BA193" i="3"/>
  <c r="AZ193" i="3" s="1"/>
  <c r="BA196" i="3"/>
  <c r="AZ196" i="3" s="1"/>
  <c r="G203" i="3"/>
  <c r="BA205" i="3"/>
  <c r="AZ205" i="3" s="1"/>
  <c r="BA25" i="3"/>
  <c r="AZ25" i="3" s="1"/>
  <c r="BA37" i="3"/>
  <c r="BL39" i="3"/>
  <c r="G43" i="3"/>
  <c r="G44" i="3"/>
  <c r="BL57" i="3"/>
  <c r="G59" i="3"/>
  <c r="BL70" i="3"/>
  <c r="BL71" i="3"/>
  <c r="AZ71" i="3" s="1"/>
  <c r="D31" i="71"/>
  <c r="C32" i="71"/>
  <c r="C52" i="71"/>
  <c r="D51" i="71"/>
  <c r="C55" i="71"/>
  <c r="D54" i="71"/>
  <c r="N67" i="71"/>
  <c r="B66" i="71"/>
  <c r="F66" i="71"/>
  <c r="Q67" i="71"/>
  <c r="BL261" i="3"/>
  <c r="BA263" i="3"/>
  <c r="AZ263" i="3" s="1"/>
  <c r="BA267" i="3"/>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6" i="3"/>
  <c r="BA18" i="3"/>
  <c r="BL21" i="3"/>
  <c r="G23" i="3"/>
  <c r="BA27" i="3"/>
  <c r="BL30" i="3"/>
  <c r="BL31" i="3"/>
  <c r="BA36" i="3"/>
  <c r="BL38" i="3"/>
  <c r="BA39" i="3"/>
  <c r="AZ39" i="3" s="1"/>
  <c r="BA47" i="3"/>
  <c r="AZ47" i="3" s="1"/>
  <c r="BL52" i="3"/>
  <c r="AZ52" i="3" s="1"/>
  <c r="G53" i="3"/>
  <c r="BL53" i="3"/>
  <c r="AZ53" i="3" s="1"/>
  <c r="BA62" i="3"/>
  <c r="AZ62" i="3" s="1"/>
  <c r="BA66" i="3"/>
  <c r="AZ66" i="3" s="1"/>
  <c r="BL67" i="3"/>
  <c r="AZ67" i="3" s="1"/>
  <c r="BA72" i="3"/>
  <c r="AZ72" i="3" s="1"/>
  <c r="BL76" i="3"/>
  <c r="BL77" i="3"/>
  <c r="AZ77" i="3" s="1"/>
  <c r="P65" i="71"/>
  <c r="P66" i="71"/>
  <c r="V24" i="71"/>
  <c r="E23" i="71"/>
  <c r="E22" i="71" s="1"/>
  <c r="E21" i="71" s="1"/>
  <c r="E20" i="71" s="1"/>
  <c r="E19" i="71" s="1"/>
  <c r="E18" i="71" s="1"/>
  <c r="E17" i="71" s="1"/>
  <c r="E16" i="71" s="1"/>
  <c r="G265" i="3"/>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6" i="3"/>
  <c r="BL178" i="3"/>
  <c r="BA180" i="3"/>
  <c r="AZ180" i="3" s="1"/>
  <c r="BL182" i="3"/>
  <c r="AZ182" i="3" s="1"/>
  <c r="BA185" i="3"/>
  <c r="G190" i="3"/>
  <c r="BL193" i="3"/>
  <c r="G194" i="3"/>
  <c r="BL194" i="3"/>
  <c r="AZ194" i="3" s="1"/>
  <c r="BA198" i="3"/>
  <c r="AZ198" i="3" s="1"/>
  <c r="G204" i="3"/>
  <c r="BL20" i="3"/>
  <c r="BA21" i="3"/>
  <c r="AZ21" i="3" s="1"/>
  <c r="BL24" i="3"/>
  <c r="G25" i="3"/>
  <c r="G29" i="3"/>
  <c r="BL29" i="3"/>
  <c r="AZ29" i="3" s="1"/>
  <c r="G33" i="3"/>
  <c r="G34" i="3"/>
  <c r="BL44" i="3"/>
  <c r="G45" i="3"/>
  <c r="BL45" i="3"/>
  <c r="AZ45" i="3" s="1"/>
  <c r="BL49" i="3"/>
  <c r="BL50" i="3"/>
  <c r="AZ50" i="3" s="1"/>
  <c r="BL51" i="3"/>
  <c r="G56" i="3"/>
  <c r="BA63" i="3"/>
  <c r="AZ63" i="3" s="1"/>
  <c r="BA70" i="3"/>
  <c r="AZ70" i="3" s="1"/>
  <c r="G76" i="3"/>
  <c r="G102" i="3"/>
  <c r="F40" i="68"/>
  <c r="C21" i="68"/>
  <c r="AZ57" i="3"/>
  <c r="C47" i="71"/>
  <c r="D47" i="71" s="1"/>
  <c r="D46"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AZ73" i="3" s="1"/>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AZ48" i="3" s="1"/>
  <c r="BA49" i="3"/>
  <c r="BA51" i="3"/>
  <c r="AZ51" i="3" s="1"/>
  <c r="G54" i="3"/>
  <c r="BL56" i="3"/>
  <c r="BA58" i="3"/>
  <c r="AZ58" i="3" s="1"/>
  <c r="BL59" i="3"/>
  <c r="BL60" i="3"/>
  <c r="BA61" i="3"/>
  <c r="AZ61" i="3" s="1"/>
  <c r="BA68" i="3"/>
  <c r="BA73" i="3"/>
  <c r="BA80" i="3"/>
  <c r="G84" i="3"/>
  <c r="BL84" i="3"/>
  <c r="AZ84" i="3" s="1"/>
  <c r="BA89" i="3"/>
  <c r="G99" i="3"/>
  <c r="BA103" i="3"/>
  <c r="AZ103" i="3" s="1"/>
  <c r="BA104" i="3"/>
  <c r="BA106" i="3"/>
  <c r="BL108" i="3"/>
  <c r="G110" i="3"/>
  <c r="BL111" i="3"/>
  <c r="C5" i="68"/>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1" i="3"/>
  <c r="BA82" i="3"/>
  <c r="AZ82" i="3" s="1"/>
  <c r="BL83" i="3"/>
  <c r="G88" i="3"/>
  <c r="BA90" i="3"/>
  <c r="BL94" i="3"/>
  <c r="AZ94" i="3" s="1"/>
  <c r="BA100" i="3"/>
  <c r="AZ100" i="3" s="1"/>
  <c r="BA102" i="3"/>
  <c r="BL105" i="3"/>
  <c r="AZ105" i="3"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67" i="3"/>
  <c r="AZ468"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71" i="15"/>
  <c r="L59" i="15"/>
  <c r="N59" i="15"/>
  <c r="M59" i="15"/>
  <c r="Q71" i="67"/>
  <c r="D103" i="9"/>
  <c r="C27" i="67"/>
  <c r="G20" i="9"/>
  <c r="C103" i="9"/>
  <c r="B13" i="70"/>
  <c r="M7" i="67"/>
  <c r="F50" i="67"/>
  <c r="F68" i="67"/>
  <c r="F64" i="67"/>
  <c r="C36" i="68"/>
  <c r="D9" i="69"/>
  <c r="C36" i="69"/>
  <c r="D9" i="68"/>
  <c r="C76" i="15"/>
  <c r="L48" i="67"/>
  <c r="M26" i="15"/>
  <c r="M28" i="15"/>
  <c r="F8" i="67"/>
  <c r="D5" i="73"/>
  <c r="M9" i="15"/>
  <c r="D3" i="73"/>
  <c r="M24" i="67"/>
  <c r="F38" i="15"/>
  <c r="M22" i="15"/>
  <c r="F13" i="15"/>
  <c r="M24" i="15"/>
  <c r="M22" i="67"/>
  <c r="J15" i="15"/>
  <c r="F38" i="67"/>
  <c r="F37" i="15"/>
  <c r="F6" i="15"/>
  <c r="F16" i="15"/>
  <c r="D4" i="73"/>
  <c r="F43" i="67"/>
  <c r="M23" i="15"/>
  <c r="F40" i="15"/>
  <c r="D7" i="73"/>
  <c r="F26" i="15"/>
  <c r="F42" i="15"/>
  <c r="M9" i="67"/>
  <c r="M8" i="15"/>
  <c r="L47" i="67"/>
  <c r="F9" i="15"/>
  <c r="L48" i="15"/>
  <c r="F37" i="67"/>
  <c r="F36" i="15"/>
  <c r="M6" i="15"/>
  <c r="M28" i="67"/>
  <c r="F7" i="15"/>
  <c r="M29" i="15"/>
  <c r="F8" i="15"/>
  <c r="F51" i="67" l="1"/>
  <c r="F59" i="67" s="1"/>
  <c r="F31" i="67"/>
  <c r="C6" i="67"/>
  <c r="C32" i="67" s="1"/>
  <c r="F71" i="67"/>
  <c r="F51" i="15"/>
  <c r="F64" i="15"/>
  <c r="F65" i="15"/>
  <c r="F68" i="15"/>
  <c r="L56" i="67"/>
  <c r="I54" i="67"/>
  <c r="J53" i="67"/>
  <c r="F1" i="67" s="1"/>
  <c r="J57" i="67"/>
  <c r="J55" i="67" s="1"/>
  <c r="J58" i="67" s="1"/>
  <c r="Q50" i="67" s="1"/>
  <c r="M7" i="15"/>
  <c r="J6" i="15" s="1"/>
  <c r="J18" i="15" s="1"/>
  <c r="F50" i="15"/>
  <c r="F65" i="67"/>
  <c r="F66" i="67"/>
  <c r="F66" i="15"/>
  <c r="Q71" i="15"/>
  <c r="L58" i="67"/>
  <c r="Q73" i="67" s="1"/>
  <c r="M59" i="67"/>
  <c r="N59" i="67"/>
  <c r="L59" i="67"/>
  <c r="Q61" i="67" s="1"/>
  <c r="C27" i="15"/>
  <c r="F31" i="15"/>
  <c r="C6" i="15"/>
  <c r="C32" i="15" s="1"/>
  <c r="J57" i="15"/>
  <c r="J55" i="15" s="1"/>
  <c r="J58" i="15" s="1"/>
  <c r="Q50" i="15" s="1"/>
  <c r="I54" i="15"/>
  <c r="L58" i="15"/>
  <c r="Q60" i="15" s="1"/>
  <c r="J53" i="15"/>
  <c r="L56" i="15" s="1"/>
  <c r="AC9" i="36"/>
  <c r="W9" i="36"/>
  <c r="AB13" i="37"/>
  <c r="U13" i="37"/>
  <c r="J6" i="67"/>
  <c r="J18" i="67" s="1"/>
  <c r="D83" i="71"/>
  <c r="C82" i="71"/>
  <c r="D82" i="71" s="1"/>
  <c r="AB9" i="33"/>
  <c r="U9" i="33"/>
  <c r="AB23" i="36"/>
  <c r="U23" i="36"/>
  <c r="E28" i="6"/>
  <c r="K14" i="1" s="1"/>
  <c r="K16" i="1" s="1"/>
  <c r="C40" i="71"/>
  <c r="D39" i="71"/>
  <c r="C44" i="71"/>
  <c r="D43" i="71"/>
  <c r="C86" i="71"/>
  <c r="D86" i="71" s="1"/>
  <c r="D87" i="71"/>
  <c r="AZ59" i="3"/>
  <c r="AZ271" i="3"/>
  <c r="T52" i="71"/>
  <c r="D52" i="71"/>
  <c r="AZ297" i="3"/>
  <c r="AZ282" i="3"/>
  <c r="AZ244" i="3"/>
  <c r="AZ239" i="3"/>
  <c r="AZ397" i="3"/>
  <c r="AZ332" i="3"/>
  <c r="AZ428" i="3"/>
  <c r="AZ411" i="3"/>
  <c r="AB24" i="36"/>
  <c r="U24" i="36"/>
  <c r="AC9" i="33"/>
  <c r="W9" i="33"/>
  <c r="AC39" i="40"/>
  <c r="W39" i="40"/>
  <c r="S14" i="39"/>
  <c r="AA14" i="39"/>
  <c r="O65" i="71"/>
  <c r="D66" i="71"/>
  <c r="O66" i="71"/>
  <c r="N65" i="71"/>
  <c r="N66" i="71"/>
  <c r="AZ429" i="3"/>
  <c r="U39" i="40"/>
  <c r="AB39" i="40"/>
  <c r="AZ474" i="3"/>
  <c r="AZ333" i="3"/>
  <c r="V20" i="71"/>
  <c r="AZ102" i="3"/>
  <c r="C70" i="71"/>
  <c r="D70" i="71" s="1"/>
  <c r="D71" i="71"/>
  <c r="C36" i="71"/>
  <c r="D35" i="71"/>
  <c r="T32" i="71"/>
  <c r="D32" i="71"/>
  <c r="AZ137" i="3"/>
  <c r="AZ302" i="3"/>
  <c r="AZ247" i="3"/>
  <c r="AZ457" i="3"/>
  <c r="AZ414" i="3"/>
  <c r="AZ368" i="3"/>
  <c r="AZ353" i="3"/>
  <c r="AZ432" i="3"/>
  <c r="AZ417" i="3"/>
  <c r="AB38" i="40"/>
  <c r="U38" i="40"/>
  <c r="U23" i="35"/>
  <c r="AB23" i="35"/>
  <c r="AA23" i="36"/>
  <c r="S23" i="36"/>
  <c r="D20" i="53"/>
  <c r="B40" i="72" s="1"/>
  <c r="G5" i="3"/>
  <c r="B3" i="3" s="1"/>
  <c r="E539" i="3" s="1"/>
  <c r="AZ36" i="3"/>
  <c r="AZ317" i="3"/>
  <c r="T28" i="71"/>
  <c r="D28" i="71"/>
  <c r="U28" i="71" s="1"/>
  <c r="C27" i="71"/>
  <c r="D79" i="71"/>
  <c r="C78" i="71"/>
  <c r="D78" i="71" s="1"/>
  <c r="AZ49" i="3"/>
  <c r="AZ38" i="3"/>
  <c r="AZ267" i="3"/>
  <c r="C56" i="71"/>
  <c r="D55" i="71"/>
  <c r="AZ483" i="3"/>
  <c r="AZ418" i="3"/>
  <c r="AZ408" i="3"/>
  <c r="AA38" i="40"/>
  <c r="S38" i="40"/>
  <c r="AZ550" i="3"/>
  <c r="AC23" i="35"/>
  <c r="W23" i="35"/>
  <c r="AB32" i="36"/>
  <c r="U32" i="36"/>
  <c r="AC23" i="36"/>
  <c r="W23" i="36"/>
  <c r="G16" i="1"/>
  <c r="F10" i="39" s="1"/>
  <c r="J7" i="37"/>
  <c r="K1" i="73"/>
  <c r="E510" i="3"/>
  <c r="E536" i="3"/>
  <c r="E212" i="3"/>
  <c r="E199" i="3"/>
  <c r="E575" i="3"/>
  <c r="E499" i="3"/>
  <c r="R6" i="3"/>
  <c r="E442" i="3"/>
  <c r="E466" i="3"/>
  <c r="E541" i="3"/>
  <c r="E449" i="3"/>
  <c r="E255" i="3"/>
  <c r="I3" i="6"/>
  <c r="E554" i="3"/>
  <c r="E517" i="3"/>
  <c r="E435"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52" i="67"/>
  <c r="Q74" i="15"/>
  <c r="Q61" i="15"/>
  <c r="AE11" i="1"/>
  <c r="AE6" i="1"/>
  <c r="AE9" i="1"/>
  <c r="F27" i="68"/>
  <c r="AE7" i="1"/>
  <c r="AE8" i="1"/>
  <c r="AE12" i="1"/>
  <c r="AE10" i="1"/>
  <c r="C16" i="15"/>
  <c r="C16" i="67"/>
  <c r="F41" i="67"/>
  <c r="G1" i="73"/>
  <c r="J5" i="67" l="1"/>
  <c r="J24" i="67" s="1"/>
  <c r="Q60" i="67"/>
  <c r="Q74" i="67"/>
  <c r="Q52" i="15"/>
  <c r="C49" i="15"/>
  <c r="F1" i="15"/>
  <c r="F59" i="15"/>
  <c r="C49" i="67"/>
  <c r="M17" i="15"/>
  <c r="J5" i="15"/>
  <c r="J24" i="15" s="1"/>
  <c r="Q73" i="15"/>
  <c r="R36" i="36"/>
  <c r="D36" i="71"/>
  <c r="T36" i="71"/>
  <c r="T40" i="71"/>
  <c r="D40" i="71"/>
  <c r="D56" i="71"/>
  <c r="T56" i="71"/>
  <c r="D44" i="71"/>
  <c r="T44" i="71"/>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M27" i="67"/>
  <c r="F41" i="15"/>
  <c r="C48" i="67" l="1"/>
  <c r="C66" i="67" s="1"/>
  <c r="C48" i="15"/>
  <c r="C66" i="15" s="1"/>
  <c r="F25" i="12"/>
  <c r="C26" i="12" s="1"/>
  <c r="D25" i="12"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D10" i="68"/>
  <c r="C14" i="67"/>
  <c r="C17" i="15"/>
  <c r="C17" i="67"/>
  <c r="C60" i="67" l="1"/>
  <c r="C60" i="15"/>
  <c r="C44" i="11"/>
  <c r="D41" i="11" s="1"/>
  <c r="C26" i="11"/>
  <c r="D22" i="11" s="1"/>
  <c r="F41" i="68"/>
  <c r="C23" i="68"/>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c r="D14" i="53"/>
  <c r="B48" i="72"/>
  <c r="E4" i="52"/>
  <c r="B22" i="72"/>
  <c r="D6" i="53"/>
  <c r="C73" i="9"/>
  <c r="C78" i="9"/>
  <c r="C86" i="9"/>
  <c r="C93" i="9"/>
  <c r="E81" i="9"/>
  <c r="E80" i="9"/>
  <c r="C80" i="9"/>
  <c r="D13" i="53"/>
  <c r="B30" i="72"/>
  <c r="B49" i="72"/>
  <c r="D5" i="52"/>
  <c r="D119" i="9"/>
  <c r="B51" i="72"/>
  <c r="F4" i="52"/>
  <c r="B53" i="72"/>
  <c r="F5" i="52"/>
  <c r="F119" i="9"/>
  <c r="C96" i="9"/>
  <c r="E96" i="9"/>
  <c r="E97" i="9"/>
  <c r="M48" i="9"/>
  <c r="B52" i="72"/>
  <c r="F118" i="9"/>
  <c r="G118" i="9"/>
  <c r="G4" i="52"/>
  <c r="D8" i="52"/>
  <c r="C68" i="9"/>
  <c r="D54" i="9"/>
  <c r="C6" i="74"/>
  <c r="N60" i="9"/>
  <c r="N59" i="9"/>
  <c r="N61" i="9"/>
  <c r="C85" i="9"/>
  <c r="C95" i="9"/>
  <c r="C97" i="9"/>
  <c r="D58" i="9"/>
  <c r="D56" i="9"/>
  <c r="M54" i="9"/>
  <c r="E118" i="9"/>
  <c r="D118" i="9"/>
  <c r="D4" i="52"/>
  <c r="B47" i="72"/>
  <c r="C104" i="9"/>
  <c r="H4" i="52"/>
  <c r="C64" i="9"/>
  <c r="C63" i="9"/>
  <c r="C67" i="9"/>
  <c r="D59" i="9"/>
  <c r="M55" i="9"/>
  <c r="C72" i="9"/>
  <c r="C79" i="9"/>
  <c r="C81" i="9"/>
  <c r="D122" i="9"/>
  <c r="D123" i="9"/>
  <c r="D9" i="52"/>
  <c r="H107" i="9"/>
  <c r="H108" i="9"/>
  <c r="D15" i="53"/>
  <c r="B31" i="72"/>
  <c r="C105" i="9"/>
  <c r="I4" i="52"/>
  <c r="B21" i="72"/>
  <c r="D7" i="53"/>
  <c r="P57" i="9"/>
  <c r="D55" i="9"/>
  <c r="M53" i="9"/>
  <c r="N57" i="9"/>
  <c r="N58" i="9"/>
  <c r="D5" i="53"/>
  <c r="B20" i="72"/>
  <c r="H102" i="9"/>
  <c r="C5" i="74"/>
  <c r="H119" i="9"/>
  <c r="H5"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<sst xmlns="http://schemas.openxmlformats.org/spreadsheetml/2006/main" count="7881" uniqueCount="3447">
  <si>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</si>
  <si>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</si>
  <si>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</si>
  <si>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</si>
  <si>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</si>
  <si>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</si>
  <si>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</si>
  <si>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</si>
  <si>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</si>
  <si>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</si>
  <si>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</si>
  <si>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</si>
  <si>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</si>
  <si>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</si>
  <si>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</si>
  <si>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</si>
  <si>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</si>
  <si>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</si>
  <si>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</si>
  <si>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</si>
  <si>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</si>
  <si>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</si>
  <si>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</si>
  <si>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</si>
  <si>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</si>
  <si>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</si>
  <si>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</si>
  <si>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</si>
  <si>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</si>
  <si>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</si>
  <si>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</si>
  <si>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</si>
  <si>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</si>
  <si>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</si>
  <si>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</si>
  <si>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</si>
  <si>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</si>
  <si>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</si>
  <si>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</si>
  <si>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</si>
  <si>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</si>
  <si>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</si>
  <si>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</si>
  <si>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</si>
  <si>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</si>
  <si>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</si>
  <si>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</si>
  <si>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</si>
  <si>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</si>
  <si>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</si>
  <si>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</si>
  <si>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</si>
  <si>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</si>
  <si>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</si>
  <si>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</si>
  <si>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</si>
  <si>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</si>
  <si>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</si>
  <si>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</si>
  <si>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</si>
  <si>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</si>
  <si>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</si>
  <si>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</si>
  <si>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</si>
  <si>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</si>
  <si>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</si>
  <si>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</si>
  <si>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</si>
  <si>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</si>
  <si>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</si>
  <si>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</si>
  <si>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</si>
  <si>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</si>
  <si>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</si>
  <si>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</si>
  <si>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</si>
  <si>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</si>
  <si>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</si>
  <si>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</si>
  <si>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</si>
  <si>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</si>
  <si>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</si>
  <si>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</si>
  <si>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</si>
  <si>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</si>
  <si>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</si>
  <si>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</si>
  <si>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</si>
  <si>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</si>
  <si>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</si>
  <si>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</si>
  <si>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</si>
  <si>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</si>
  <si>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</si>
  <si>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</si>
  <si>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</si>
  <si>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</si>
  <si>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</si>
  <si>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</si>
  <si>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</si>
  <si>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</si>
  <si>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</si>
  <si>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</si>
  <si>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</si>
  <si>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</si>
  <si>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</si>
  <si>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</si>
  <si>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</si>
  <si>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</si>
  <si>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</si>
  <si>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</si>
  <si>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</si>
  <si>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</si>
  <si>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</si>
  <si>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</si>
  <si>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</si>
  <si>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</si>
  <si>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</si>
  <si>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</si>
  <si>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</si>
  <si>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</si>
  <si>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</si>
  <si>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</si>
  <si>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</si>
  <si>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</si>
  <si>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</si>
  <si>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</si>
  <si>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</si>
  <si>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</si>
  <si>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</si>
  <si>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</si>
  <si>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</si>
  <si>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</si>
  <si>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</si>
  <si>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</si>
  <si>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</si>
  <si>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</si>
  <si>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</si>
  <si>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</si>
  <si>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</si>
  <si>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</si>
  <si>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</si>
  <si>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</si>
  <si>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</si>
  <si>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</si>
  <si>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</si>
  <si>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</si>
  <si>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</si>
  <si>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</si>
  <si>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</si>
  <si>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</si>
  <si>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</si>
  <si>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</si>
  <si>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</si>
  <si>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</si>
  <si>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</si>
  <si>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</si>
  <si>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</si>
  <si>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</si>
  <si>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</si>
  <si>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</si>
  <si>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</si>
  <si>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</si>
  <si>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</si>
  <si>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</si>
  <si>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</si>
  <si>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</si>
  <si>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</si>
  <si>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</si>
  <si>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</si>
  <si>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</si>
  <si>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</si>
  <si>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</si>
  <si>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</si>
  <si>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</si>
  <si>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</si>
  <si>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</si>
  <si>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</si>
  <si>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</si>
  <si>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</si>
  <si>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</si>
  <si>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</si>
  <si>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</si>
  <si>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</si>
  <si>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</si>
  <si>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</si>
  <si>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</si>
  <si>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</si>
  <si>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</si>
  <si>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</si>
  <si>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</si>
  <si>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</si>
  <si>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</si>
  <si>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</si>
  <si>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</si>
  <si>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</si>
  <si>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</si>
  <si>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</si>
  <si>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</si>
  <si>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</si>
  <si>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</si>
  <si>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</si>
  <si>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</si>
  <si>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</si>
  <si>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</si>
  <si>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</si>
  <si>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</si>
  <si>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</si>
  <si>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</si>
  <si>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</si>
  <si>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</si>
  <si>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</si>
  <si>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</si>
  <si>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</si>
  <si>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</si>
  <si>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</si>
  <si>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</si>
  <si>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</si>
  <si>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</si>
  <si>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</si>
  <si>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</si>
  <si>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</si>
  <si>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</si>
  <si>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</si>
  <si>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</si>
  <si>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</si>
  <si>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</si>
  <si>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</si>
  <si>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</si>
  <si>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</si>
  <si>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</si>
  <si>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</si>
  <si>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</si>
  <si>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</si>
  <si>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</si>
  <si>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</si>
  <si>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</si>
  <si>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</si>
  <si>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</si>
  <si>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</si>
  <si>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</si>
  <si>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</si>
  <si>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</si>
  <si>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</si>
  <si>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</si>
  <si>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</si>
  <si>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</si>
  <si>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</si>
  <si>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</si>
  <si>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</si>
  <si>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</si>
  <si>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</si>
  <si>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</si>
  <si>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</si>
  <si>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</si>
  <si>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</si>
  <si>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</si>
  <si>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</si>
  <si>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</si>
  <si>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</si>
  <si>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</si>
  <si>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</si>
  <si>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</si>
  <si>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</si>
  <si>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</si>
  <si>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</si>
  <si>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</si>
  <si>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</si>
  <si>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</si>
  <si>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</si>
  <si>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</si>
  <si>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</si>
  <si>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</si>
  <si>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</si>
  <si>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</si>
  <si>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</si>
  <si>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</si>
  <si>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</si>
  <si>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</si>
  <si>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</si>
  <si>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</si>
  <si>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</si>
  <si>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</si>
  <si>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</si>
  <si>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</si>
  <si>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</si>
  <si>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</si>
  <si>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</si>
  <si>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</si>
  <si>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</si>
  <si>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</si>
  <si>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</si>
  <si>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</si>
  <si>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</si>
  <si>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</si>
  <si>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</si>
  <si>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</si>
  <si>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</si>
  <si>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</si>
  <si>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</si>
  <si>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</si>
  <si>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</si>
  <si>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</si>
  <si>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</si>
  <si>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</si>
  <si>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</si>
  <si>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</si>
  <si>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</si>
  <si>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</si>
  <si>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</si>
  <si>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</si>
  <si>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</si>
  <si>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</si>
  <si>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</si>
  <si>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</si>
  <si>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</si>
  <si>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</si>
  <si>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</si>
  <si>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</si>
  <si>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</si>
  <si>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</si>
  <si>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</si>
  <si>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</si>
  <si>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</si>
  <si>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</si>
  <si>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</si>
  <si>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</si>
  <si>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</si>
  <si>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</si>
  <si>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</si>
  <si>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</si>
  <si>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</si>
  <si>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</si>
  <si>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</si>
  <si>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</si>
  <si>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</si>
  <si>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</si>
  <si>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</si>
  <si>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</si>
  <si>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</si>
  <si>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</si>
  <si>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</si>
  <si>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</si>
  <si>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</si>
  <si>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</si>
  <si>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</si>
  <si>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</si>
  <si>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</si>
  <si>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</si>
  <si>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</si>
  <si>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</si>
  <si>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</si>
  <si>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</si>
  <si>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</si>
  <si>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</si>
  <si>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</si>
  <si>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</si>
  <si>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</si>
  <si>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</si>
  <si>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</si>
  <si>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</si>
  <si>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</si>
  <si>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</si>
  <si>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</si>
  <si>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</si>
  <si>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</si>
  <si>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</si>
  <si>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</si>
  <si>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</si>
  <si>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</si>
  <si>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</si>
  <si>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</si>
  <si>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</si>
  <si>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</si>
  <si>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</si>
  <si>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</si>
  <si>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</si>
  <si>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</si>
  <si>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</si>
  <si>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</si>
  <si>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</si>
  <si>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</si>
  <si>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</si>
  <si>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</si>
  <si>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</si>
  <si>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</si>
  <si>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</si>
  <si>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</si>
  <si>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</si>
  <si>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</si>
  <si>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</si>
  <si>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</si>
  <si>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</si>
  <si>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</si>
  <si>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</si>
  <si>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</si>
  <si>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</si>
  <si>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</si>
  <si>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</si>
  <si>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</si>
  <si>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</si>
  <si>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</si>
  <si>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</si>
  <si>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</si>
  <si>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</si>
  <si>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</si>
  <si>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</si>
  <si>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</si>
  <si>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</si>
  <si>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</si>
  <si>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</si>
  <si>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</si>
  <si>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</si>
  <si>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</si>
  <si>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</si>
  <si>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</si>
  <si>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</si>
  <si>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</si>
  <si>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</si>
  <si>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</si>
  <si>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</si>
  <si>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</si>
  <si>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</si>
  <si>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</si>
  <si>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</si>
  <si>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</si>
  <si>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</si>
  <si>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</si>
  <si>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</si>
  <si>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</si>
  <si>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</si>
  <si>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</si>
  <si>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</si>
  <si>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</si>
  <si>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</si>
  <si>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</si>
  <si>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</si>
  <si>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</si>
  <si>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</si>
  <si>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</si>
  <si>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</si>
  <si>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</si>
  <si>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</si>
  <si>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</si>
  <si>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</si>
  <si>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</si>
  <si>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</si>
  <si>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</si>
  <si>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</si>
  <si>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</si>
  <si>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</si>
  <si>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</si>
  <si>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</si>
  <si>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</si>
  <si>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</si>
  <si>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</si>
  <si>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</si>
  <si>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</si>
  <si>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</si>
  <si>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</si>
  <si>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</si>
  <si>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</si>
  <si>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</si>
  <si>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</si>
  <si>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</si>
  <si>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</si>
  <si>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</si>
  <si>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</si>
  <si>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</si>
  <si>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</si>
  <si>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</si>
  <si>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</si>
  <si>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</si>
  <si>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</si>
  <si>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</si>
  <si>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</si>
  <si>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</si>
  <si>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</si>
  <si>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</si>
  <si>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</si>
  <si>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</si>
  <si>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</si>
  <si>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</si>
  <si>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</si>
  <si>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</si>
  <si>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</si>
  <si>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</si>
  <si>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</si>
  <si>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</si>
  <si>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</si>
  <si>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</si>
  <si>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</si>
  <si>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</si>
  <si>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</si>
  <si>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</si>
  <si>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</si>
  <si>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</si>
  <si>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</si>
  <si>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</si>
  <si>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</si>
  <si>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</si>
  <si>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</si>
  <si>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</si>
  <si>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</si>
  <si>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</si>
  <si>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</si>
  <si>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</si>
  <si>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</si>
  <si>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</si>
  <si>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</si>
  <si>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</si>
  <si>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</si>
  <si>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</si>
  <si>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</si>
  <si>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</si>
  <si>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</si>
  <si>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</si>
  <si>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</si>
  <si>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</si>
  <si>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</si>
  <si>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</si>
  <si>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</si>
  <si>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</si>
  <si>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</si>
  <si>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</si>
  <si>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</si>
  <si>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</si>
  <si>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</si>
  <si>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</si>
  <si>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</si>
  <si>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</si>
  <si>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</si>
  <si>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</si>
  <si>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</si>
  <si>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</si>
  <si>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</si>
  <si>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</si>
  <si>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</si>
  <si>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</si>
  <si>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</si>
  <si>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</si>
  <si>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</si>
  <si>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</si>
  <si>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</si>
  <si>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</si>
  <si>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</si>
  <si>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</si>
  <si>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</si>
  <si>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</si>
  <si>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</si>
  <si>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</si>
  <si>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</si>
  <si>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</si>
  <si>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</si>
  <si>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</si>
  <si>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</si>
  <si>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</si>
  <si>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</si>
  <si>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</si>
  <si>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</si>
  <si>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</si>
  <si>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</si>
  <si>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</si>
  <si>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</si>
  <si>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</si>
  <si>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</si>
  <si>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</si>
  <si>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</si>
  <si>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</si>
  <si>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</si>
  <si>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</si>
  <si>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</si>
  <si>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</si>
  <si>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</si>
  <si>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</si>
  <si>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</si>
  <si>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</si>
  <si>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</si>
  <si>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</si>
  <si>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</si>
  <si>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</si>
  <si>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</si>
  <si>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</si>
  <si>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</si>
  <si>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</si>
  <si>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</si>
  <si>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</si>
  <si>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</si>
  <si>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</si>
  <si>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</si>
  <si>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</si>
  <si>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</si>
  <si>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</si>
  <si>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</si>
  <si>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</si>
  <si>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</si>
  <si>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</si>
  <si>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</si>
  <si>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</si>
  <si>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</si>
  <si>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</si>
  <si>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</si>
  <si>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</si>
  <si>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</si>
  <si>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</si>
  <si>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</si>
  <si>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</si>
  <si>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</si>
  <si>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</si>
  <si>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</si>
  <si>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</si>
  <si>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</si>
  <si>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</si>
  <si>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</si>
  <si>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</si>
  <si>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</si>
  <si>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</si>
  <si>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</si>
  <si>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</si>
  <si>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</si>
  <si>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</si>
  <si>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</si>
  <si>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</si>
  <si>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</si>
  <si>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</si>
  <si>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</si>
  <si>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</si>
  <si>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</si>
  <si>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</si>
  <si>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</si>
  <si>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</si>
  <si>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</si>
  <si>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</si>
  <si>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</si>
  <si>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</si>
  <si>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</si>
  <si>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</si>
  <si>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</si>
  <si>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</si>
  <si>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</si>
  <si>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</si>
  <si>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</si>
  <si>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</si>
  <si>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</si>
  <si>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</si>
  <si>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</si>
  <si>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</si>
  <si>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</si>
  <si>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</si>
  <si>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</si>
  <si>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</si>
  <si>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</si>
  <si>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</si>
  <si>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</si>
  <si>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</si>
  <si>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</si>
  <si>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</si>
  <si>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</si>
  <si>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</si>
  <si>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</si>
  <si>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</si>
  <si>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</si>
  <si>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</si>
  <si>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</si>
  <si>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</si>
  <si>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</si>
  <si>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</si>
  <si>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</si>
  <si>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</si>
  <si>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</si>
  <si>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</si>
  <si>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</si>
  <si>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</si>
  <si>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</si>
  <si>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</si>
  <si>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</si>
  <si>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</si>
  <si>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</si>
  <si>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</si>
  <si>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</si>
  <si>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</si>
  <si>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</si>
  <si>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</si>
  <si>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</si>
  <si>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</si>
  <si>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</si>
  <si>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</si>
  <si>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</si>
  <si>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</si>
  <si>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</si>
  <si>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</si>
  <si>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</si>
  <si>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</si>
  <si>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</si>
  <si>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</si>
  <si>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</si>
  <si>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</si>
  <si>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</si>
  <si>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</si>
  <si>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</si>
  <si>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</si>
  <si>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</si>
  <si>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</si>
  <si>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</si>
  <si>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</si>
  <si>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</si>
  <si>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</si>
  <si>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</si>
  <si>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</si>
  <si>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</si>
  <si>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</si>
  <si>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</si>
  <si>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</si>
  <si>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</si>
  <si>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</si>
  <si>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</si>
  <si>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</si>
  <si>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</si>
  <si>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</si>
  <si>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</si>
  <si>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</si>
  <si>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</si>
  <si>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</si>
  <si>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</si>
  <si>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</si>
  <si>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</si>
  <si>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</si>
  <si>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</si>
  <si>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</si>
  <si>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</si>
  <si>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</si>
  <si>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</si>
  <si>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</si>
  <si>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</si>
  <si>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</si>
  <si>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</si>
  <si>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</si>
  <si>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</si>
  <si>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</si>
  <si>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</si>
  <si>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</si>
  <si>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</si>
  <si>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</si>
  <si>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</si>
  <si>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</si>
  <si>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</si>
  <si>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</si>
  <si>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</si>
  <si>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</si>
  <si>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</si>
  <si>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</si>
  <si>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</si>
  <si>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</si>
  <si>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</si>
  <si>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</si>
  <si>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</si>
  <si>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</si>
  <si>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</si>
  <si>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</si>
  <si>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</si>
  <si>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</si>
  <si>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</si>
  <si>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</si>
  <si>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</si>
  <si>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</si>
  <si>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</si>
  <si>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</si>
  <si>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</si>
  <si>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</si>
  <si>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</si>
  <si>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</si>
  <si>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</si>
  <si>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</si>
  <si>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</si>
  <si>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</si>
  <si>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</si>
  <si>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</si>
  <si>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</si>
  <si>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</si>
  <si>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</si>
  <si>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</si>
  <si>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</si>
  <si>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</si>
  <si>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</si>
  <si>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</si>
  <si>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</si>
  <si>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</si>
  <si>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</si>
  <si>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</si>
  <si>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</si>
  <si>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</si>
  <si>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</si>
  <si>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</si>
  <si>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</si>
  <si>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</si>
  <si>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</si>
  <si>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</si>
  <si>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</si>
  <si>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</si>
  <si>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</si>
  <si>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</si>
  <si>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</si>
  <si>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</si>
  <si>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</si>
  <si>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</si>
  <si>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</si>
  <si>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</si>
  <si>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</si>
  <si>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</si>
  <si>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</si>
  <si>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</si>
  <si>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</si>
  <si>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</si>
  <si>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</si>
  <si>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</si>
  <si>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</si>
  <si>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</si>
  <si>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</si>
  <si>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</si>
  <si>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</si>
  <si>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</si>
  <si>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</si>
  <si>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</si>
  <si>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</si>
  <si>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</si>
  <si>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</si>
  <si>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</si>
  <si>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</si>
  <si>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</si>
  <si>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</si>
  <si>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</si>
  <si>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</si>
  <si>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</si>
  <si>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</si>
  <si>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</si>
  <si>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</si>
  <si>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</si>
  <si>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</si>
  <si>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</si>
  <si>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</si>
  <si>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</si>
  <si>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</si>
  <si>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</si>
  <si>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</si>
  <si>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</si>
  <si>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</si>
  <si>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</si>
  <si>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</si>
  <si>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</si>
  <si>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</si>
  <si>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</si>
  <si>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</si>
  <si>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</si>
  <si>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</si>
  <si>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</si>
  <si>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</si>
  <si>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</si>
  <si>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</si>
  <si>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</si>
  <si>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</si>
  <si>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</si>
  <si>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</si>
  <si>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</si>
  <si>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</si>
  <si>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</si>
  <si>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</si>
  <si>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</si>
  <si>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</si>
  <si>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</si>
  <si>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</si>
  <si>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</si>
  <si>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</si>
  <si>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</si>
  <si>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</si>
  <si>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</si>
  <si>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</si>
  <si>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</si>
  <si>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</si>
  <si>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</si>
  <si>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</si>
  <si>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</si>
  <si>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</si>
  <si>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</si>
  <si>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</si>
  <si>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</si>
  <si>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</si>
  <si>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</si>
  <si>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</si>
  <si>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</si>
  <si>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</si>
  <si>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</si>
  <si>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</si>
  <si>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</si>
  <si>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</si>
  <si>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</si>
  <si>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</si>
  <si>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</si>
  <si>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</si>
  <si>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</si>
  <si>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</si>
  <si>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</si>
  <si>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</si>
  <si>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</si>
  <si>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</si>
  <si>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</si>
  <si>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</si>
  <si>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</si>
  <si>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</si>
  <si>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</si>
  <si>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</si>
  <si>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</si>
  <si>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</si>
  <si>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</si>
  <si>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</si>
  <si>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</si>
  <si>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</si>
  <si>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</si>
  <si>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</si>
  <si>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</si>
  <si>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</si>
  <si>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</si>
  <si>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</si>
  <si>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</si>
  <si>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</si>
  <si>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</si>
  <si>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</si>
  <si>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</si>
  <si>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</si>
  <si>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</si>
  <si>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</si>
  <si>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</si>
  <si>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</si>
  <si>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</si>
  <si>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</si>
  <si>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</si>
  <si>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</si>
  <si>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</si>
  <si>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</si>
  <si>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</si>
  <si>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</si>
  <si>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</si>
  <si>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</si>
  <si>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</si>
  <si>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</si>
  <si>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</si>
  <si>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</si>
  <si>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</si>
  <si>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</si>
  <si>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</si>
  <si>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</si>
  <si>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</si>
  <si>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</si>
  <si>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</si>
  <si>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</si>
  <si>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</si>
  <si>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</si>
  <si>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</si>
  <si>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</si>
  <si>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</si>
  <si>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</si>
  <si>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</si>
  <si>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</si>
  <si>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</si>
  <si>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</si>
  <si>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</si>
  <si>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</si>
  <si>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</si>
  <si>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</si>
  <si>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</si>
  <si>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</si>
  <si>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</si>
  <si>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</si>
  <si>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</si>
  <si>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</si>
  <si>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</si>
  <si>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</si>
  <si>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</si>
  <si>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</si>
  <si>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</si>
  <si>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</si>
  <si>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</si>
  <si>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</si>
  <si>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</si>
  <si>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</si>
  <si>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</si>
  <si>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</si>
  <si>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</si>
  <si>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</si>
  <si>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</si>
  <si>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</si>
  <si>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</si>
  <si>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</si>
  <si>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</si>
  <si>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</si>
  <si>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</si>
  <si>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</si>
  <si>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</si>
  <si>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</si>
  <si>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</si>
  <si>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</si>
  <si>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</si>
  <si>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</si>
  <si>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</si>
  <si>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</si>
  <si>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</si>
  <si>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</si>
  <si>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</si>
  <si>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</si>
  <si>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</si>
  <si>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</si>
  <si>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</si>
  <si>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</si>
  <si>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</si>
  <si>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</si>
  <si>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</si>
  <si>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</si>
  <si>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</si>
  <si>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</si>
  <si>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</si>
  <si>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</si>
  <si>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</si>
  <si>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</si>
  <si>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</si>
  <si>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</si>
  <si>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</si>
  <si>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</si>
  <si>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</si>
  <si>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</si>
  <si>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</si>
  <si>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</si>
  <si>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</si>
  <si>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</si>
  <si>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</si>
  <si>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</si>
  <si>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</si>
  <si>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</si>
  <si>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</si>
  <si>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</si>
  <si>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</si>
  <si>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</si>
  <si>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</si>
  <si>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</si>
  <si>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</si>
  <si>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</si>
  <si>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</si>
  <si>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</si>
  <si>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</si>
  <si>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</si>
  <si>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</si>
  <si>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</si>
  <si>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</si>
  <si>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</si>
  <si>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</si>
  <si>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</si>
  <si>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</si>
  <si>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</si>
  <si>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</si>
  <si>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</si>
  <si>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</si>
  <si>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</si>
  <si>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</si>
  <si>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</si>
  <si>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</si>
  <si>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</si>
  <si>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</si>
  <si>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</si>
  <si>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</si>
  <si>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</si>
  <si>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</si>
  <si>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</si>
  <si>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</si>
  <si>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</si>
  <si>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</si>
  <si>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</si>
  <si>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</si>
  <si>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</si>
  <si>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</si>
  <si>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</si>
  <si>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</si>
  <si>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</si>
  <si>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</si>
  <si>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</si>
  <si>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</si>
  <si>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</si>
  <si>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</si>
  <si>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</si>
  <si>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</si>
  <si>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</si>
  <si>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</si>
  <si>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</si>
  <si>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</si>
  <si>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</si>
  <si>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</si>
  <si>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</si>
  <si>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</si>
  <si>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</si>
  <si>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</si>
  <si>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</si>
  <si>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</si>
  <si>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</si>
  <si>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</si>
  <si>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</si>
  <si>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</si>
  <si>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</si>
  <si>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</si>
  <si>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</si>
  <si>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</si>
  <si>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</si>
  <si>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</si>
  <si>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</si>
  <si>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</si>
  <si>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</si>
  <si>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</si>
  <si>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</si>
  <si>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</si>
  <si>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</si>
  <si>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</si>
  <si>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</si>
  <si>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</si>
  <si>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</si>
  <si>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</si>
  <si>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</si>
  <si>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</si>
  <si>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</si>
  <si>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</si>
  <si>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</si>
  <si>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</si>
  <si>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</si>
  <si>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</si>
  <si>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</si>
  <si>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</si>
  <si>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</si>
  <si>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</si>
  <si>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</si>
  <si>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</si>
  <si>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</si>
  <si>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</si>
  <si>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</si>
  <si>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</si>
  <si>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</si>
  <si>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</si>
  <si>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</si>
  <si>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</si>
  <si>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</si>
  <si>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</si>
  <si>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</si>
  <si>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</si>
  <si>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</si>
  <si>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</si>
  <si>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</si>
  <si>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</si>
  <si>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</si>
  <si>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</si>
  <si>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</si>
  <si>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</si>
  <si>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</si>
  <si>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</si>
  <si>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</si>
  <si>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</si>
  <si>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</si>
  <si>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</si>
  <si>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</si>
  <si>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</si>
  <si>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</si>
  <si>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</si>
  <si>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</si>
  <si>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</si>
  <si>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</si>
  <si>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</si>
  <si>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</si>
  <si>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</si>
  <si>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</si>
  <si>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</si>
  <si>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</si>
  <si>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</si>
  <si>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</si>
  <si>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</si>
  <si>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</si>
  <si>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</si>
  <si>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</si>
  <si>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</si>
  <si>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</si>
  <si>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</si>
  <si>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</si>
  <si>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</si>
  <si>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</si>
  <si>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</si>
  <si>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</si>
  <si>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</si>
  <si>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</si>
  <si>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</si>
  <si>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</si>
  <si>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</si>
  <si>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</si>
  <si>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</si>
  <si>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</si>
  <si>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</si>
  <si>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</si>
  <si>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</si>
  <si>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</si>
  <si>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</si>
  <si>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</si>
  <si>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</si>
  <si>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</si>
  <si>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</si>
  <si>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</si>
  <si>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</si>
  <si>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</si>
  <si>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</si>
  <si>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</si>
  <si>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</si>
  <si>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</si>
  <si>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</si>
  <si>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</si>
  <si>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</si>
  <si>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</si>
  <si>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</si>
  <si>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</si>
  <si>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</si>
  <si>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</si>
  <si>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</si>
  <si>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</si>
  <si>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</si>
  <si>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</si>
  <si>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</si>
  <si>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</si>
  <si>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</si>
  <si>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</si>
  <si>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</si>
  <si>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</si>
  <si>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</si>
  <si>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</si>
  <si>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</si>
  <si>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</si>
  <si>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</si>
  <si>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</si>
  <si>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</si>
  <si>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</si>
  <si>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</si>
  <si>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</si>
  <si>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</si>
  <si>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</si>
  <si>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</si>
  <si>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</si>
  <si>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</si>
  <si>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</si>
  <si>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</si>
  <si>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</si>
  <si>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</si>
  <si>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</si>
  <si>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</si>
  <si>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</si>
  <si>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</si>
  <si>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</si>
  <si>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</si>
  <si>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</si>
  <si>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</si>
  <si>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</si>
  <si>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</si>
  <si>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</si>
  <si>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</si>
  <si>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</si>
  <si>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</si>
  <si>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</si>
  <si>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</si>
  <si>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</si>
  <si>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</si>
  <si>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</si>
  <si>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</si>
  <si>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</si>
  <si>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</si>
  <si>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</si>
  <si>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</si>
  <si>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</si>
  <si>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</si>
  <si>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</si>
  <si>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</si>
  <si>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</si>
  <si>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</si>
  <si>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</si>
  <si>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</si>
  <si>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</si>
  <si>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</si>
  <si>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</si>
  <si>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</si>
  <si>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</si>
  <si>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</si>
  <si>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</si>
  <si>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</si>
  <si>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</si>
  <si>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</si>
  <si>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</si>
  <si>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</si>
  <si>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</si>
  <si>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</si>
  <si>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</si>
  <si>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</si>
  <si>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</si>
  <si>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</si>
  <si>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</si>
  <si>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</si>
  <si>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</si>
  <si>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</si>
  <si>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</si>
  <si>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</si>
  <si>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</si>
  <si>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</si>
  <si>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</si>
  <si>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</si>
  <si>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</si>
  <si>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</si>
  <si>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</si>
  <si>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</si>
  <si>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</si>
  <si>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</si>
  <si>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</si>
  <si>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</si>
  <si>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</si>
  <si>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</si>
  <si>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</si>
  <si>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</si>
  <si>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</si>
  <si>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</si>
  <si>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</si>
  <si>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</si>
  <si>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</si>
  <si>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</si>
  <si>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</si>
  <si>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</si>
  <si>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</si>
  <si>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</si>
  <si>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</si>
  <si>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</si>
  <si>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</si>
  <si>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</si>
  <si>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</si>
  <si>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</si>
  <si>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</si>
  <si>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</si>
  <si>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</si>
  <si>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</si>
  <si>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</si>
  <si>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</si>
  <si>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</si>
  <si>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</si>
  <si>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</si>
  <si>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</si>
  <si>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</si>
  <si>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</si>
  <si>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</si>
  <si>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</si>
  <si>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</si>
  <si>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</si>
  <si>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</si>
  <si>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</si>
  <si>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</si>
  <si>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</si>
  <si>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</si>
  <si>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</si>
  <si>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</si>
  <si>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</si>
  <si>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</si>
  <si>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</si>
  <si>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</si>
  <si>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</si>
  <si>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</si>
  <si>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</si>
  <si>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</si>
  <si>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</si>
  <si>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</si>
  <si>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</si>
  <si>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</si>
  <si>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</si>
  <si>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</si>
  <si>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</si>
  <si>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</si>
  <si>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</si>
  <si>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</si>
  <si>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</si>
  <si>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</si>
  <si>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</si>
  <si>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</si>
  <si>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</si>
  <si>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</si>
  <si>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</si>
  <si>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</si>
  <si>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</si>
  <si>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</si>
  <si>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</si>
  <si>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</si>
  <si>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</si>
  <si>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</si>
  <si>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</si>
  <si>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</si>
  <si>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</si>
  <si>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</si>
  <si>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</si>
  <si>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</si>
  <si>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</si>
  <si>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</si>
  <si>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</si>
  <si>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</si>
  <si>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</si>
  <si>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</si>
  <si>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</si>
  <si>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</si>
  <si>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</si>
  <si>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</si>
  <si>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</si>
  <si>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</si>
  <si>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</si>
  <si>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</si>
  <si>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</si>
  <si>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</si>
  <si>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</si>
  <si>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</si>
  <si>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</si>
  <si>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</si>
  <si>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</si>
  <si>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</si>
  <si>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</si>
  <si>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</si>
  <si>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</si>
  <si>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</si>
  <si>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</si>
  <si>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</si>
  <si>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</si>
  <si>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</si>
  <si>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</si>
  <si>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</si>
  <si>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</si>
  <si>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</si>
  <si>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</si>
  <si>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</si>
  <si>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</si>
  <si>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</si>
  <si>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</si>
  <si>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</si>
  <si>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</si>
  <si>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</si>
  <si>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</si>
  <si>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</si>
  <si>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</si>
  <si>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</si>
  <si>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</si>
  <si>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</si>
  <si>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</si>
  <si>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</si>
  <si>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</si>
  <si>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</si>
  <si>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</si>
  <si>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</si>
  <si>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</si>
  <si>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</si>
  <si>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</si>
  <si>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</si>
  <si>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</si>
  <si>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</si>
  <si>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</si>
  <si>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</si>
  <si>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</si>
  <si>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</si>
  <si>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</si>
  <si>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</si>
  <si>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</si>
  <si>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</si>
  <si>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</si>
  <si>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</si>
  <si>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</si>
  <si>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</si>
  <si>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</si>
  <si>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</si>
  <si>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</si>
  <si>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</si>
  <si>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</si>
  <si>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</si>
  <si>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</si>
  <si>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</si>
  <si>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</si>
  <si>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</si>
  <si>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</si>
  <si>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</si>
  <si>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</si>
  <si>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</si>
  <si>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</si>
  <si>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</si>
  <si>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</si>
  <si>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</si>
  <si>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</si>
  <si>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</si>
  <si>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</si>
  <si>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</si>
  <si>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</si>
  <si>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</si>
  <si>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</si>
  <si>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</si>
  <si>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</si>
  <si>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</si>
  <si>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</si>
  <si>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</si>
  <si>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</si>
  <si>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</si>
  <si>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</si>
  <si>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</si>
  <si>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</si>
  <si>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</si>
  <si>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</si>
  <si>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</si>
  <si>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</si>
  <si>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</si>
  <si>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</si>
  <si>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</si>
  <si>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</si>
  <si>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</si>
  <si>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</si>
  <si>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</si>
  <si>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</si>
  <si>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</si>
  <si>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</si>
  <si>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</si>
  <si>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</si>
  <si>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</si>
  <si>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</si>
  <si>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</si>
  <si>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</si>
  <si>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</si>
  <si>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</si>
  <si>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</si>
  <si>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</si>
  <si>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</si>
  <si>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</si>
  <si>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</si>
  <si>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</si>
  <si>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</si>
  <si>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</si>
  <si>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</si>
  <si>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</si>
  <si>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</si>
  <si>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</si>
  <si>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</si>
  <si>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</si>
  <si>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</si>
  <si>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</si>
  <si>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</si>
  <si>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</si>
  <si>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</si>
  <si>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</si>
  <si>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</si>
  <si>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</si>
  <si>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</si>
  <si>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</si>
  <si>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</si>
  <si>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</si>
  <si>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</si>
  <si>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</si>
  <si>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</si>
  <si>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</si>
  <si>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</si>
  <si>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</si>
  <si>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</si>
  <si>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</si>
  <si>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</si>
  <si>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</si>
  <si>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</si>
  <si>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</si>
  <si>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</si>
  <si>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</si>
  <si>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</si>
  <si>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</si>
  <si>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</si>
  <si>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</si>
  <si>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</si>
  <si>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</si>
  <si>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</si>
  <si>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</si>
  <si>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</si>
  <si>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</si>
  <si>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</si>
  <si>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</si>
  <si>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</si>
  <si>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</si>
  <si>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</si>
  <si>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</si>
  <si>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</si>
  <si>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</si>
  <si>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</si>
  <si>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</si>
  <si>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</si>
  <si>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</si>
  <si>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</si>
  <si>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</si>
  <si>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</si>
  <si>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</si>
  <si>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</si>
  <si>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</si>
  <si>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</si>
  <si>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</si>
  <si>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</si>
  <si>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</si>
  <si>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</si>
  <si>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</si>
  <si>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</si>
  <si>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</si>
  <si>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</si>
  <si>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</si>
  <si>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</si>
  <si>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</si>
  <si>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</si>
  <si>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</si>
  <si>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</si>
  <si>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</si>
  <si>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</si>
  <si>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</si>
  <si>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</si>
  <si>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</si>
  <si>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</si>
  <si>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</si>
  <si>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</si>
  <si>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</si>
  <si>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</si>
  <si>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</si>
  <si>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</si>
  <si>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</si>
  <si>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</si>
  <si>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</si>
  <si>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</si>
  <si>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</si>
  <si>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</si>
  <si>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</si>
  <si>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</si>
  <si>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</si>
  <si>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</si>
  <si>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</si>
  <si>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</si>
  <si>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</si>
  <si>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</si>
  <si>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</si>
  <si>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</si>
  <si>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</si>
  <si>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</si>
  <si>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</si>
  <si>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</si>
  <si>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</si>
  <si>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</si>
  <si>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</si>
  <si>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</si>
  <si>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</si>
  <si>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</si>
  <si>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</si>
  <si>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</si>
  <si>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</si>
  <si>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</si>
  <si>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</si>
  <si>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</si>
  <si>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</si>
  <si>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</si>
  <si>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</si>
  <si>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</si>
  <si>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</si>
  <si>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</si>
  <si>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</si>
  <si>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</si>
  <si>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</si>
  <si>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</si>
  <si>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</si>
  <si>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</si>
  <si>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</si>
  <si>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</si>
  <si>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</si>
  <si>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</si>
  <si>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</si>
  <si>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</si>
  <si>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</si>
  <si>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</si>
  <si>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</si>
  <si>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</si>
  <si>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</si>
  <si>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</si>
  <si>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</si>
  <si>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</si>
  <si>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</si>
  <si>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</si>
  <si>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</si>
  <si>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</si>
  <si>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</si>
  <si>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</si>
  <si>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</si>
  <si>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</si>
  <si>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</si>
  <si>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</si>
  <si>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</si>
  <si>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</si>
  <si>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</si>
  <si>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</si>
  <si>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</si>
  <si>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</si>
  <si>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</si>
  <si>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</si>
  <si>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</si>
  <si>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</si>
  <si>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</si>
  <si>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</si>
  <si>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</si>
  <si>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</si>
  <si>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</si>
  <si>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</si>
  <si>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</si>
  <si>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</si>
  <si>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</si>
  <si>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</si>
  <si>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</si>
  <si>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</si>
  <si>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</si>
  <si>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</si>
  <si>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</si>
  <si>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</si>
  <si>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</si>
  <si>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</si>
  <si>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</si>
  <si>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</si>
  <si>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</si>
  <si>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</si>
  <si>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</si>
  <si>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</si>
  <si>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</si>
  <si>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</si>
  <si>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</si>
  <si>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</si>
  <si>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</si>
  <si>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</si>
  <si>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</si>
  <si>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</si>
  <si>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</si>
  <si>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</si>
  <si>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</si>
  <si>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</si>
  <si>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</si>
  <si>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</si>
  <si>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</si>
  <si>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</si>
  <si>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</si>
  <si>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</si>
  <si>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</si>
  <si>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</si>
  <si>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</si>
  <si>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</si>
  <si>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</si>
  <si>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</si>
  <si>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</si>
  <si>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</si>
  <si>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</si>
  <si>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</si>
  <si>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</si>
  <si>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</si>
  <si>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</si>
  <si>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</si>
  <si>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</si>
  <si>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</si>
  <si>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</si>
  <si>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</si>
  <si>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</si>
  <si>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</si>
  <si>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</si>
  <si>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</si>
  <si>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</si>
  <si>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</si>
  <si>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</si>
  <si>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</si>
  <si>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</si>
  <si>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</si>
  <si>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</si>
  <si>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</si>
  <si>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</si>
  <si>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</si>
  <si>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</si>
  <si>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</si>
  <si>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</si>
  <si>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</si>
  <si>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</si>
  <si>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</si>
  <si>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</si>
  <si>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</si>
  <si>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</si>
  <si>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</si>
  <si>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</si>
  <si>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</si>
  <si>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</si>
  <si>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</si>
  <si>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</si>
  <si>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</si>
  <si>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</si>
  <si>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</si>
  <si>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</si>
  <si>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</si>
  <si>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</si>
  <si>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</si>
  <si>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</si>
  <si>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</si>
  <si>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</si>
  <si>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</si>
  <si>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</si>
  <si>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</si>
  <si>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</si>
  <si>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</si>
  <si>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</si>
  <si>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</si>
  <si>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</si>
  <si>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</si>
  <si>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</si>
  <si>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</si>
  <si>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</si>
  <si>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</si>
  <si>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</si>
  <si>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</si>
  <si>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</si>
  <si>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</si>
  <si>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</si>
  <si>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</si>
  <si>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</si>
  <si>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</si>
  <si>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</si>
  <si>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</si>
  <si>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</si>
  <si>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</si>
  <si>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</si>
  <si>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</si>
  <si>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</si>
  <si>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</si>
  <si>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</si>
  <si>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</si>
  <si>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</si>
  <si>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</si>
  <si>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</si>
  <si>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</si>
  <si>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</si>
  <si>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</si>
  <si>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</si>
  <si>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</si>
  <si>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</si>
  <si>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</si>
  <si>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</si>
  <si>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</si>
  <si>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</si>
  <si>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</si>
  <si>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</si>
  <si>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</si>
  <si>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</si>
  <si>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</si>
  <si>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</si>
  <si>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</si>
  <si>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</si>
  <si>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</si>
  <si>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</si>
  <si>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</si>
  <si>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</si>
  <si>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</si>
  <si>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</si>
  <si>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</si>
  <si>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</si>
  <si>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</si>
  <si>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</si>
  <si>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</si>
  <si>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</si>
  <si>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</si>
  <si>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</si>
  <si>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</si>
  <si>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</si>
  <si>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</si>
  <si>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</si>
  <si>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</si>
  <si>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</si>
  <si>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</si>
  <si>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</si>
  <si>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</si>
  <si>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</si>
  <si>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</si>
  <si>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</si>
  <si>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</si>
  <si>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</si>
  <si>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</si>
  <si>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</si>
  <si>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</si>
  <si>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</si>
  <si>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</si>
  <si>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</si>
  <si>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</si>
  <si>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</si>
  <si>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</si>
  <si>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</si>
  <si>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</si>
  <si>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</si>
  <si>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</si>
  <si>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</si>
  <si>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</si>
  <si>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</si>
  <si>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</si>
  <si>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</si>
  <si>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</si>
  <si>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</si>
  <si>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</si>
  <si>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</si>
  <si>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</si>
  <si>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</si>
  <si>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</si>
  <si>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</si>
  <si>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</si>
  <si>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</si>
  <si>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</si>
  <si>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</si>
  <si>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</si>
  <si>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</si>
  <si>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</si>
  <si>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</si>
  <si>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</si>
  <si>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</si>
  <si>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</si>
  <si>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</si>
  <si>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</si>
  <si>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</si>
  <si>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</si>
  <si>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</si>
  <si>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</si>
  <si>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</si>
  <si>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</si>
  <si>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</si>
  <si>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</si>
  <si>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</si>
  <si>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</si>
  <si>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</si>
  <si>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</si>
  <si>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</si>
  <si>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</si>
  <si>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</si>
  <si>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</si>
  <si>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</si>
  <si>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</si>
  <si>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</si>
  <si>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</si>
  <si>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</si>
  <si>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</si>
  <si>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</si>
  <si>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</si>
  <si>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</si>
  <si>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</si>
  <si>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</si>
  <si>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</si>
  <si>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</si>
  <si>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</si>
  <si>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</si>
  <si>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</si>
  <si>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</si>
  <si>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</si>
  <si>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</si>
  <si>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</si>
  <si>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</si>
  <si>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</si>
  <si>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</si>
  <si>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</si>
  <si>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</si>
  <si>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</si>
  <si>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</si>
  <si>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</si>
  <si>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</si>
  <si>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</si>
  <si>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</si>
  <si>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</si>
  <si>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</si>
  <si>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</si>
  <si>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</si>
  <si>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</si>
  <si>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</si>
  <si>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</si>
  <si>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</si>
  <si>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</si>
  <si>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</si>
  <si>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</si>
  <si>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</si>
  <si>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</si>
  <si>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</si>
  <si>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</si>
  <si>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</si>
  <si>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</si>
  <si>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</si>
  <si>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</si>
  <si>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</si>
  <si>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</si>
  <si>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</si>
  <si>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</si>
  <si>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</si>
  <si>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</si>
  <si>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</si>
  <si>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</si>
  <si>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</si>
  <si>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</si>
  <si>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</si>
  <si>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</si>
  <si>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</si>
  <si>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</si>
  <si>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</si>
  <si>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</si>
  <si>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</si>
  <si>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</si>
  <si>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</si>
  <si>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</si>
  <si>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</si>
  <si>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</si>
  <si>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</si>
  <si>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</si>
  <si>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</si>
  <si>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</si>
  <si>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</si>
  <si>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</si>
  <si>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</si>
  <si>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</si>
  <si>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</si>
  <si>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</si>
  <si>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</si>
  <si>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</si>
  <si>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</si>
  <si>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</si>
  <si>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</si>
  <si>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</si>
  <si>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</si>
  <si>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</si>
  <si>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</si>
  <si>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</si>
  <si>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</si>
  <si>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</si>
  <si>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</si>
  <si>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</si>
  <si>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</si>
  <si>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</si>
  <si>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</si>
  <si>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</si>
  <si>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</si>
  <si>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</si>
  <si>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</si>
  <si>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</si>
  <si>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</si>
  <si>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</si>
  <si>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</si>
  <si>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</si>
  <si>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</si>
  <si>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</si>
  <si>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</si>
  <si>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</si>
  <si>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</si>
  <si>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</si>
  <si>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</si>
  <si>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</si>
  <si>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</si>
  <si>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</si>
  <si>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</si>
  <si>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</si>
  <si>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</si>
  <si>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</si>
  <si>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</si>
  <si>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</si>
  <si>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</si>
  <si>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</si>
  <si>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</si>
  <si>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</si>
  <si>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</si>
  <si>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</si>
  <si>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</si>
  <si>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</si>
  <si>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</si>
  <si>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</si>
  <si>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</si>
  <si>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</si>
  <si>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</si>
  <si>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</si>
  <si>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</si>
  <si>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</si>
  <si>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</si>
  <si>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</si>
  <si>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</si>
  <si>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</si>
  <si>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</si>
  <si>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</si>
  <si>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</si>
  <si>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</si>
  <si>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</si>
  <si>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</si>
  <si>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</si>
  <si>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</si>
  <si>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</si>
  <si>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</si>
  <si>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</si>
  <si>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</si>
  <si>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</si>
  <si>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</si>
  <si>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</si>
  <si>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</si>
  <si>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</si>
  <si>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</si>
  <si>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</si>
  <si>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</si>
  <si>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</si>
  <si>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</si>
  <si>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</si>
  <si>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</si>
  <si>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</si>
  <si>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</si>
  <si>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</si>
  <si>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</si>
  <si>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</si>
  <si>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</si>
  <si>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</si>
  <si>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</si>
  <si>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</si>
  <si>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</si>
  <si>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</si>
  <si>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</si>
  <si>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</si>
  <si>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</si>
  <si>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</si>
  <si>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</si>
  <si>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</si>
  <si>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</si>
  <si>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</si>
  <si>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</si>
  <si>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</si>
  <si>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</si>
  <si>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</si>
  <si>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</si>
  <si>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</si>
  <si>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</si>
  <si>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</si>
  <si>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</si>
  <si>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</si>
  <si>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</si>
  <si>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</si>
  <si>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</si>
  <si>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</si>
  <si>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</si>
  <si>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</si>
  <si>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</si>
  <si>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</si>
  <si>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</si>
  <si>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</si>
  <si>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</si>
  <si>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</si>
  <si>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</si>
  <si>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</si>
  <si>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</si>
  <si>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</si>
  <si>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</si>
  <si>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</si>
  <si>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</si>
  <si>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</si>
  <si>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</si>
  <si>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</si>
  <si>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</si>
  <si>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</si>
  <si>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</si>
  <si>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</si>
  <si>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</si>
  <si>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</si>
  <si>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</si>
  <si>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</si>
  <si>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</si>
  <si>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</si>
  <si>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</si>
  <si>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</si>
  <si>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</si>
  <si>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</si>
  <si>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</si>
  <si>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</si>
  <si>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</si>
  <si>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</si>
  <si>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</si>
  <si>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</si>
  <si>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</si>
  <si>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</si>
  <si>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</si>
  <si>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</si>
  <si>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</si>
  <si>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</si>
  <si>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</si>
  <si>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</si>
  <si>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</si>
  <si>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</si>
  <si>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</si>
  <si>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</si>
  <si>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</si>
  <si>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</si>
  <si>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</si>
  <si>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</si>
  <si>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</si>
  <si>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</si>
  <si>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</si>
  <si>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</si>
  <si>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</si>
  <si>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</si>
  <si>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</si>
  <si>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</si>
  <si>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</si>
  <si>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</si>
  <si>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</si>
  <si>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</si>
  <si>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</si>
  <si>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</si>
  <si>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</si>
  <si>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</si>
  <si>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</si>
  <si>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</si>
  <si>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</si>
  <si>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</si>
  <si>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</si>
  <si>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</si>
  <si>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</si>
  <si>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</si>
  <si>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</si>
  <si>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</si>
  <si>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</si>
  <si>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</si>
  <si>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</si>
  <si>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</si>
  <si>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</si>
  <si>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</si>
  <si>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</si>
  <si>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</si>
  <si>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</si>
  <si>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</si>
  <si>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</si>
  <si>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</si>
  <si>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</si>
  <si>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</si>
  <si>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</si>
  <si>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</si>
  <si>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</si>
  <si>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</si>
  <si>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</si>
  <si>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</si>
  <si>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</si>
  <si>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</si>
  <si>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</si>
  <si>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</si>
  <si>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</si>
  <si>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</si>
  <si>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</si>
  <si>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</si>
  <si>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</si>
  <si>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</si>
  <si>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</si>
  <si>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</si>
  <si>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</si>
  <si>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</si>
  <si>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</si>
  <si>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</si>
  <si>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</si>
  <si>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</si>
  <si>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</si>
  <si>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</si>
  <si>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</si>
  <si>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</si>
  <si>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</si>
  <si>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</si>
  <si>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</si>
  <si>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</si>
  <si>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</si>
  <si>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</si>
  <si>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</si>
  <si>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</si>
  <si>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</si>
  <si>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</si>
  <si>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</si>
  <si>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</si>
  <si>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</si>
  <si>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</si>
  <si>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</si>
  <si>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</si>
  <si>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</si>
  <si>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</si>
  <si>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</si>
  <si>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</si>
  <si>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</si>
  <si>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</si>
  <si>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</si>
  <si>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</si>
  <si>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</si>
  <si>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</si>
  <si>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</si>
  <si>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</si>
  <si>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</si>
  <si>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</si>
  <si>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</si>
  <si>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</si>
  <si>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</si>
  <si>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</si>
  <si>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</si>
  <si>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</si>
  <si>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</si>
  <si>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</si>
  <si>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</si>
  <si>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</si>
  <si>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</si>
  <si>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</si>
  <si>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</si>
  <si>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</si>
  <si>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</si>
  <si>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</si>
  <si>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</si>
  <si>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</si>
  <si>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</si>
  <si>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</si>
  <si>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</si>
  <si>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</si>
  <si>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</si>
  <si>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</si>
  <si>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</si>
  <si>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</si>
  <si>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</si>
  <si>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</si>
  <si>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</si>
  <si>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</si>
  <si>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</si>
  <si>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</si>
  <si>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</si>
  <si>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</si>
  <si>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</si>
  <si>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</si>
  <si>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</si>
  <si>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</si>
  <si>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</si>
  <si>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</si>
  <si>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</si>
  <si>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</si>
  <si>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</si>
  <si>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</si>
  <si>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</si>
  <si>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</si>
  <si>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</si>
  <si>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</si>
  <si>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</si>
  <si>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</si>
  <si>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</si>
  <si>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</si>
  <si>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</si>
  <si>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</si>
  <si>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</si>
  <si>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</si>
  <si>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</si>
  <si>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</si>
  <si>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</si>
  <si>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</si>
  <si>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</si>
  <si>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</si>
  <si>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</si>
  <si>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</si>
  <si>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</si>
  <si>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</si>
  <si>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</si>
  <si>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</si>
  <si>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</si>
  <si>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</si>
  <si>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</si>
  <si>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</si>
  <si>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</si>
  <si>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</si>
  <si>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</si>
  <si>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</si>
  <si>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</si>
  <si>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</si>
  <si>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</si>
  <si>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</si>
  <si>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</si>
  <si>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</si>
  <si>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</si>
  <si>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</si>
  <si>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</si>
  <si>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</si>
  <si>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</si>
  <si>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</si>
  <si>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</si>
  <si>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</si>
  <si>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</si>
  <si>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</si>
  <si>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</si>
  <si>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</si>
  <si>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</si>
  <si>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</si>
  <si>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</si>
  <si>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</si>
  <si>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</si>
  <si>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</si>
  <si>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</si>
  <si>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</si>
  <si>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</si>
  <si>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</si>
  <si>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</si>
  <si>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</si>
  <si>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</si>
  <si>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</si>
  <si>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</si>
  <si>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</si>
  <si>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</si>
  <si>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</si>
  <si>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</si>
  <si>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</si>
  <si>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</si>
  <si>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</si>
  <si>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</si>
  <si>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</si>
  <si>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</si>
  <si>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</si>
  <si>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</si>
  <si>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</si>
  <si>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</si>
  <si>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</si>
  <si>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</si>
  <si>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</si>
  <si>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</si>
  <si>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</si>
  <si>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</si>
  <si>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</si>
  <si>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</si>
  <si>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</si>
  <si>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</si>
  <si>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</si>
  <si>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</si>
  <si>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</si>
  <si>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</si>
  <si>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</si>
  <si>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</si>
  <si>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</si>
  <si>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</si>
  <si>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</si>
  <si>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</si>
  <si>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</si>
  <si>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</si>
  <si>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</si>
  <si>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</si>
  <si>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</si>
  <si>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</si>
  <si>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</si>
  <si>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</si>
  <si>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</si>
  <si>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</si>
  <si>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</si>
  <si>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</si>
  <si>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</si>
  <si>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</si>
  <si>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</si>
  <si>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</si>
  <si>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</si>
  <si>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</si>
  <si>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</si>
  <si>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</si>
  <si>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</si>
  <si>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</si>
  <si>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</si>
  <si>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</si>
  <si>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</si>
  <si>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</si>
  <si>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</si>
  <si>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</si>
  <si>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</si>
  <si>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</si>
  <si>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</si>
  <si>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</si>
  <si>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</si>
  <si>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</si>
  <si>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</si>
  <si>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</si>
  <si>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</si>
  <si>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</si>
  <si>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</si>
  <si>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</si>
  <si>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</si>
  <si>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</si>
  <si>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</si>
  <si>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</si>
  <si>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</si>
  <si>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</si>
  <si>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</si>
  <si>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</si>
  <si>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</si>
  <si>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</si>
  <si>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</si>
  <si>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</si>
  <si>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</si>
  <si>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</si>
  <si>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</si>
  <si>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</si>
  <si>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</si>
  <si>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</si>
  <si>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</si>
  <si>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</si>
  <si>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</si>
  <si>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</si>
  <si>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</si>
  <si>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</si>
  <si>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</si>
  <si>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</si>
  <si>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</si>
  <si>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</si>
  <si>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</si>
  <si>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</si>
  <si>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</si>
  <si>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</si>
  <si>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</si>
  <si>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</si>
  <si>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</si>
  <si>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</si>
  <si>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</si>
  <si>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</si>
  <si>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</si>
  <si>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</si>
  <si>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</si>
  <si>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</si>
  <si>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</si>
  <si>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</si>
  <si>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</si>
  <si>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</si>
  <si>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</si>
  <si>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</si>
  <si>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</si>
  <si>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</si>
  <si>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</si>
  <si>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</si>
  <si>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</si>
  <si>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</si>
  <si>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</si>
  <si>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</si>
  <si>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</si>
  <si>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</si>
  <si>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</si>
  <si>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</si>
  <si>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</si>
  <si>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</si>
  <si>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</si>
  <si>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</si>
  <si>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</si>
  <si>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</si>
  <si>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</si>
  <si>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</si>
  <si>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</si>
  <si>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</si>
  <si>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</si>
  <si>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</si>
  <si>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</si>
  <si>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</si>
  <si>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</si>
  <si>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</si>
  <si>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</si>
  <si>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</si>
  <si>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</si>
  <si>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</si>
  <si>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</si>
  <si>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</si>
  <si>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</si>
  <si>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</si>
  <si>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</si>
  <si>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</si>
  <si>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</si>
  <si>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</si>
  <si>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</si>
  <si>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</si>
  <si>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</si>
  <si>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</si>
  <si>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</si>
  <si>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</si>
  <si>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</si>
  <si>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</si>
  <si>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</si>
  <si>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</si>
  <si>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</si>
  <si>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</si>
  <si>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</si>
  <si>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</si>
  <si>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</si>
  <si>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</si>
  <si>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</si>
  <si>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</si>
  <si>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</si>
  <si>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</si>
  <si>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</si>
  <si>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</si>
  <si>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</si>
  <si>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</si>
  <si>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</si>
  <si>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</si>
  <si>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</si>
  <si>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</si>
  <si>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</si>
  <si>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</si>
  <si>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</si>
  <si>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</si>
  <si>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</si>
  <si>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</si>
  <si>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</si>
  <si>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</si>
  <si>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</si>
  <si>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</si>
  <si>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</si>
  <si>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</si>
  <si>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</si>
  <si>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</si>
  <si>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</si>
  <si>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</si>
  <si>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</si>
  <si>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</si>
  <si>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</si>
  <si>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</si>
  <si>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</si>
  <si>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</si>
  <si>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</si>
  <si>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</si>
  <si>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</si>
  <si>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</si>
  <si>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</si>
  <si>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</si>
  <si>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</si>
  <si>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</si>
  <si>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</si>
  <si>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</si>
  <si>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</si>
  <si>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</si>
  <si>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</si>
  <si>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</si>
  <si>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</si>
  <si>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</si>
  <si>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</si>
  <si>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</si>
  <si>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</si>
  <si>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</si>
  <si>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</si>
  <si>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</si>
  <si>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</si>
  <si>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</si>
  <si>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</si>
  <si>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</si>
  <si>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</si>
  <si>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</si>
  <si>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</si>
  <si>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</si>
  <si>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</si>
  <si>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</si>
  <si>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</si>
  <si>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</si>
  <si>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</si>
  <si>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</si>
  <si>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</si>
  <si>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</si>
  <si>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</si>
  <si>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</si>
  <si>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</si>
  <si>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</si>
  <si>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</si>
  <si>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</si>
  <si>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</si>
  <si>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</si>
  <si>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</si>
  <si>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</si>
  <si>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</si>
  <si>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</si>
  <si>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</si>
  <si>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</si>
  <si>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</si>
  <si>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</si>
  <si>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</si>
  <si>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</si>
  <si>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</si>
  <si>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</si>
  <si>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</si>
  <si>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</si>
  <si>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</si>
  <si>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</si>
  <si>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</si>
  <si>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</si>
  <si>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</si>
  <si>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</si>
  <si>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</si>
  <si>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</si>
  <si>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</si>
  <si>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</si>
  <si>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</si>
  <si>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</si>
  <si>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</si>
  <si>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</si>
  <si>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</si>
  <si>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</si>
  <si>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</si>
  <si>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</si>
  <si>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</si>
  <si>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</si>
  <si>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</si>
  <si>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</si>
  <si>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</si>
  <si>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</si>
  <si>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</si>
  <si>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</si>
  <si>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</si>
  <si>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</si>
  <si>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</si>
  <si>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</si>
  <si>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</si>
  <si>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</si>
  <si>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</si>
  <si>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</si>
  <si>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</si>
  <si>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</si>
  <si>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</si>
  <si>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</si>
  <si>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</si>
  <si>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</si>
  <si>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</si>
  <si>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</si>
  <si>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</si>
  <si>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</si>
  <si>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</si>
  <si>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</si>
  <si>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</si>
  <si>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</si>
  <si>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</si>
  <si>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</si>
  <si>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</si>
  <si>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</si>
  <si>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</si>
  <si>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</si>
  <si>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</si>
  <si>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</si>
  <si>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</si>
  <si>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</si>
  <si>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</si>
  <si>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</si>
  <si>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</si>
  <si>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</si>
  <si>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</si>
  <si>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</si>
  <si>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</si>
  <si>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</si>
  <si>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</si>
  <si>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</si>
  <si>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</si>
  <si>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</si>
  <si>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</si>
  <si>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</si>
  <si>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</si>
  <si>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</si>
  <si>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</si>
  <si>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</si>
  <si>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</si>
  <si>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</si>
  <si>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</si>
  <si>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</si>
  <si>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</si>
  <si>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</si>
  <si>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</si>
  <si>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</si>
  <si>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</si>
  <si>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</si>
  <si>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</si>
  <si>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</si>
  <si>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</si>
  <si>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</si>
  <si>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</si>
  <si>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</si>
  <si>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</si>
  <si>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</si>
  <si>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</si>
  <si>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</si>
  <si>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</si>
  <si>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</si>
  <si>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</si>
  <si>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</si>
  <si>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</si>
  <si>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</si>
  <si>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</si>
  <si>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</si>
  <si>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</si>
  <si>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</si>
  <si>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</si>
  <si>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</si>
  <si>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</si>
  <si>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</si>
  <si>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</si>
  <si>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</si>
  <si>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</si>
  <si>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</si>
  <si>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</si>
  <si>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</si>
  <si>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</si>
  <si>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</si>
  <si>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</si>
  <si>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</si>
  <si>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</si>
  <si>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</si>
  <si>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</si>
  <si>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</si>
  <si>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</si>
  <si>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</si>
  <si>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</si>
  <si>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</si>
  <si>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</si>
  <si>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</si>
  <si>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</si>
  <si>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</si>
  <si>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</si>
  <si>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</si>
  <si>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</si>
  <si>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</si>
  <si>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</si>
  <si>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</si>
  <si>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</si>
  <si>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</si>
  <si>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</si>
  <si>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</si>
  <si>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</si>
  <si>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</si>
  <si>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</si>
  <si>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</si>
  <si>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</si>
  <si>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</si>
  <si>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</si>
  <si>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</si>
  <si>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</si>
  <si>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</si>
  <si>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</si>
  <si>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</si>
  <si>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</si>
  <si>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</si>
  <si>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</si>
  <si>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</si>
  <si>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</si>
  <si>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</si>
  <si>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</si>
  <si>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</si>
  <si>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</si>
  <si>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</si>
  <si>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</si>
  <si>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</si>
  <si>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</si>
  <si>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</si>
  <si>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</si>
  <si>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</si>
  <si>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</si>
  <si>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</si>
  <si>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</si>
  <si>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</si>
  <si>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</si>
  <si>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</si>
  <si>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</si>
  <si>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</si>
  <si>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</si>
  <si>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</si>
  <si>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</si>
  <si>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</si>
  <si>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</si>
  <si>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</si>
  <si>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</si>
  <si>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</si>
  <si>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</si>
  <si>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</si>
  <si>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</si>
  <si>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</si>
  <si>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</si>
  <si>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</si>
  <si>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</si>
  <si>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</si>
  <si>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</si>
  <si>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</si>
  <si>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</si>
  <si>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</si>
  <si>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</si>
  <si>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</si>
  <si>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</si>
  <si>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</si>
  <si>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</si>
  <si>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</si>
  <si>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</si>
  <si>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</si>
  <si>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</si>
  <si>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</si>
  <si>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</si>
  <si>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</si>
  <si>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</si>
  <si>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</si>
  <si>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</si>
  <si>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</si>
  <si>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</si>
  <si>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</si>
  <si>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</si>
  <si>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</si>
  <si>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</si>
  <si>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</si>
  <si>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</si>
  <si>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</si>
  <si>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</si>
  <si>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</si>
  <si>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</si>
  <si>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</si>
  <si>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</si>
  <si>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</si>
  <si>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</si>
  <si>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</si>
  <si>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</si>
  <si>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</si>
  <si>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</si>
  <si>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</si>
  <si>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</si>
  <si>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</si>
  <si>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</si>
  <si>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</si>
  <si>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</si>
  <si>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</si>
  <si>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</si>
  <si>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</si>
  <si>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</si>
  <si>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</si>
  <si>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</si>
  <si>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</si>
  <si>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</si>
  <si>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</si>
  <si>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</si>
  <si>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</si>
  <si>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</si>
  <si>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</si>
  <si>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</si>
  <si>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</si>
  <si>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</si>
  <si>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</si>
  <si>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</si>
  <si>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</si>
  <si>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</si>
  <si>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</si>
  <si>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</si>
  <si>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</si>
  <si>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</si>
  <si>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</si>
  <si>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</si>
  <si>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</si>
  <si>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</si>
  <si>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</si>
  <si>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</si>
  <si>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</si>
  <si>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</si>
  <si>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</si>
  <si>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</si>
  <si>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</si>
  <si>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</si>
  <si>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</si>
  <si>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</si>
  <si>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</si>
  <si>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</si>
  <si>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</si>
  <si>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</si>
  <si>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</si>
  <si>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</si>
  <si>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</si>
  <si>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</si>
  <si>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</si>
  <si>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</si>
  <si>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</si>
  <si>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</si>
  <si>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</si>
  <si>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</si>
  <si>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</si>
  <si>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</si>
  <si>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</si>
  <si>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</si>
  <si>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</si>
  <si>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</si>
  <si>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</si>
  <si>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</si>
  <si>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</si>
  <si>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</si>
  <si>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</si>
  <si>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</si>
  <si>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</si>
  <si>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</si>
  <si>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</si>
  <si>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</si>
  <si>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</si>
  <si>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</si>
  <si>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</si>
  <si>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</si>
  <si>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</si>
  <si>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</si>
  <si>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</si>
  <si>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</si>
  <si>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</si>
  <si>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</si>
  <si>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</si>
  <si>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</si>
  <si>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</si>
  <si>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</si>
  <si>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</si>
  <si>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</si>
  <si>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</si>
  <si>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</si>
  <si>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</si>
  <si>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</si>
  <si>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</si>
  <si>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</si>
  <si>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</si>
  <si>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</si>
  <si>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</si>
  <si>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</si>
  <si>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</si>
  <si>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</si>
  <si>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</si>
  <si>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</si>
  <si>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</si>
  <si>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</si>
  <si>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</si>
  <si>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</si>
  <si>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</si>
  <si>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</si>
  <si>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</si>
  <si>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</si>
  <si>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</si>
  <si>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</si>
  <si>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</si>
  <si>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</si>
  <si>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</si>
  <si>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</si>
  <si>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</si>
  <si>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</si>
  <si>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</si>
  <si>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</si>
  <si>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</si>
  <si>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</si>
  <si>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</si>
  <si>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</si>
  <si>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</si>
  <si>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</si>
  <si>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</si>
  <si>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</si>
  <si>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</si>
  <si>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</si>
  <si>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</si>
  <si>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</si>
  <si>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</si>
  <si>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</si>
  <si>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</si>
  <si>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</si>
  <si>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</si>
  <si>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</si>
  <si>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</si>
  <si>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</si>
  <si>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</si>
  <si>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</si>
  <si>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</si>
  <si>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</si>
  <si>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</si>
  <si>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</si>
  <si>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</si>
  <si>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</si>
  <si>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</si>
  <si>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</si>
  <si>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</si>
  <si>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</si>
  <si>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</si>
  <si>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</si>
  <si>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</si>
  <si>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</si>
  <si>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</si>
  <si>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</si>
  <si>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</si>
  <si>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</si>
  <si>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</si>
  <si>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</si>
  <si>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</si>
  <si>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</si>
  <si>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</si>
  <si>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</si>
  <si>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</si>
  <si>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</si>
  <si>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</si>
  <si>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</si>
  <si>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</si>
  <si>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</si>
  <si>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</si>
  <si>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</si>
  <si>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</si>
  <si>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</si>
  <si>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</si>
  <si>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</si>
  <si>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</si>
  <si>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</si>
  <si>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</si>
  <si>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</si>
  <si>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</si>
  <si>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</si>
  <si>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</si>
  <si>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</si>
  <si>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</si>
  <si>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</si>
  <si>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</si>
  <si>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</si>
  <si>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</si>
  <si>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</si>
  <si>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</si>
  <si>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</si>
  <si>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</si>
  <si>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</si>
  <si>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</si>
  <si>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</si>
  <si>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</si>
  <si>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</si>
  <si>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</si>
  <si>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</si>
  <si>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</si>
  <si>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</si>
  <si>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</si>
  <si>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</si>
  <si>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</si>
  <si>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</si>
  <si>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</si>
  <si>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</si>
  <si>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</si>
  <si>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</si>
  <si>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</si>
  <si>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</si>
  <si>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</si>
  <si>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</si>
  <si>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</si>
  <si>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</si>
  <si>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</si>
  <si>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</si>
  <si>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</si>
  <si>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</si>
  <si>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</si>
  <si>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</si>
  <si>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</si>
  <si>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</si>
  <si>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</si>
  <si>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</si>
  <si>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</si>
  <si>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</si>
  <si>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</si>
  <si>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</si>
  <si>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</si>
  <si>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</si>
  <si>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</si>
  <si>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</si>
  <si>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</si>
  <si>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</si>
  <si>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</si>
  <si>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</si>
  <si>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</si>
  <si>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</si>
  <si>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</si>
  <si>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</si>
  <si>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</si>
  <si>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</si>
  <si>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</si>
  <si>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</si>
  <si>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</si>
  <si>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</si>
  <si>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</si>
  <si>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</si>
  <si>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</si>
  <si>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</si>
  <si>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</si>
  <si>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</si>
  <si>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</si>
  <si>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</si>
  <si>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</si>
  <si>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</si>
  <si>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</si>
  <si>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</si>
  <si>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</si>
  <si>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</si>
  <si>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</si>
  <si>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</si>
  <si>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</si>
  <si>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</si>
  <si>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</si>
  <si>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</si>
  <si>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</si>
  <si>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</si>
  <si>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</si>
  <si>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</si>
  <si>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</si>
  <si>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</si>
  <si>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</si>
  <si>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</si>
  <si>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</si>
  <si>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</si>
  <si>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</si>
  <si>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</si>
  <si>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</si>
  <si>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</si>
  <si>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</si>
  <si>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</si>
  <si>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</si>
  <si>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</si>
  <si>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</si>
  <si>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</si>
  <si>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</si>
  <si>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</si>
  <si>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</si>
  <si>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</si>
  <si>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</si>
  <si>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</si>
  <si>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</si>
  <si>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</si>
  <si>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</si>
  <si>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</si>
  <si>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</si>
  <si>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</si>
  <si>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</si>
  <si>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</si>
  <si>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</si>
  <si>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</si>
  <si>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</si>
  <si>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</si>
  <si>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</si>
  <si>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</si>
  <si>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</si>
  <si>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</si>
  <si>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</si>
  <si>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</si>
  <si>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</si>
  <si>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</si>
  <si>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</si>
  <si>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</si>
  <si>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</si>
  <si>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</si>
  <si>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</si>
  <si>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</si>
  <si>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</si>
  <si>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</si>
  <si>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</si>
  <si>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</si>
  <si>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</si>
  <si>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</si>
  <si>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</si>
  <si>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</si>
  <si>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</si>
  <si>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</si>
  <si>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</si>
  <si>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</si>
  <si>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</si>
  <si>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</si>
  <si>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</si>
  <si>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</si>
  <si>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</si>
  <si>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</si>
  <si>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</si>
  <si>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</si>
  <si>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</si>
  <si>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</si>
  <si>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</si>
  <si>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</si>
  <si>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</si>
  <si>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</si>
  <si>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</si>
  <si>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</si>
  <si>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</si>
  <si>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</si>
  <si>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</si>
  <si>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</si>
  <si>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</si>
  <si>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</si>
  <si>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</si>
  <si>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</si>
  <si>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</si>
  <si>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</si>
  <si>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</si>
  <si>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</si>
  <si>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</si>
  <si>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</si>
  <si>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</si>
  <si>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</si>
  <si>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</si>
  <si>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</si>
  <si>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</si>
  <si>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</si>
  <si>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</si>
  <si>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</si>
  <si>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</si>
  <si>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</si>
  <si>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</si>
  <si>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</si>
  <si>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</si>
  <si>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</si>
  <si>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</si>
  <si>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</si>
  <si>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</si>
  <si>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</si>
  <si>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</si>
  <si>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</si>
  <si>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</si>
  <si>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</si>
  <si>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</si>
  <si>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</si>
  <si>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</si>
  <si>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</si>
  <si>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</si>
  <si>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</si>
  <si>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</si>
  <si>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</si>
  <si>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</si>
  <si>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</si>
  <si>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</si>
  <si>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</si>
  <si>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</si>
  <si>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</si>
  <si>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</si>
  <si>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</si>
  <si>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</si>
  <si>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</si>
  <si>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</si>
  <si>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</si>
  <si>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</si>
  <si>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</si>
  <si>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</si>
  <si>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</si>
  <si>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</si>
  <si>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</si>
  <si>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</si>
  <si>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</si>
  <si>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</si>
  <si>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</si>
  <si>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</si>
  <si>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</si>
  <si>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</si>
  <si>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</si>
  <si>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</si>
  <si>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</si>
  <si>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</si>
  <si>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</si>
  <si>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</si>
  <si>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</si>
  <si>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</si>
  <si>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</si>
  <si>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</si>
  <si>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</si>
  <si>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</si>
  <si>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</si>
  <si>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</si>
  <si>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</si>
  <si>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</si>
  <si>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</si>
  <si>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</si>
  <si>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</si>
  <si>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</si>
  <si>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</si>
  <si>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</si>
  <si>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</si>
  <si>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</si>
  <si>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</si>
  <si>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</si>
  <si>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</si>
  <si>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</si>
  <si>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</si>
  <si>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</si>
  <si>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</si>
  <si>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</si>
  <si>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</si>
  <si>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</si>
  <si>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</si>
  <si>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</si>
  <si>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</si>
  <si>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</si>
  <si>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</si>
  <si>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</si>
  <si>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</si>
  <si>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</si>
  <si>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</si>
  <si>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</si>
  <si>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</si>
  <si>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</si>
  <si>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</si>
  <si>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</si>
  <si>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</si>
  <si>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</si>
  <si>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</si>
  <si>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</si>
  <si>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</si>
  <si>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</si>
  <si>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</si>
  <si>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</si>
  <si>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</si>
  <si>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</si>
  <si>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</si>
  <si>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</si>
  <si>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</si>
  <si>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</si>
  <si>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</si>
  <si>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</si>
  <si>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</si>
  <si>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</si>
  <si>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</si>
  <si>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</si>
  <si>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</si>
  <si>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</si>
  <si>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</si>
  <si>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</si>
  <si>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</si>
  <si>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</si>
  <si>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</si>
  <si>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</si>
  <si>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</si>
  <si>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</si>
  <si>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</si>
  <si>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</si>
  <si>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</si>
  <si>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</si>
  <si>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</si>
  <si>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</si>
  <si>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</si>
  <si>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</si>
  <si>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</si>
  <si>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</si>
  <si>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</si>
  <si>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</si>
  <si>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</si>
  <si>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</si>
  <si>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</si>
  <si>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</si>
  <si>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</si>
  <si>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西山印</t>
    <phoneticPr fontId="134" type="noConversion"/>
  </si>
  <si>
    <t>门头沟区龙泉镇门头沟新城05街区MC00-0005-6011地块D-3#住宅楼7层2单元-701</t>
    <phoneticPr fontId="134" type="noConversion"/>
  </si>
  <si>
    <r>
      <t>合同编号：G</t>
    </r>
    <r>
      <rPr>
        <sz val="11"/>
        <color theme="1"/>
        <rFont val="宋体"/>
        <family val="3"/>
        <charset val="134"/>
        <scheme val="minor"/>
      </rPr>
      <t>Y2664188</t>
    </r>
    <phoneticPr fontId="134" type="noConversion"/>
  </si>
  <si>
    <t>北京市共有产权住房预售合同</t>
    <phoneticPr fontId="134" type="noConversion"/>
  </si>
  <si>
    <t>李青萍、张建新</t>
    <phoneticPr fontId="134" type="noConversion"/>
  </si>
  <si>
    <t>签约时间</t>
    <phoneticPr fontId="134" type="noConversion"/>
  </si>
  <si>
    <t>入住时间</t>
    <phoneticPr fontId="134" type="noConversion"/>
  </si>
  <si>
    <t>购买价格</t>
    <phoneticPr fontId="134" type="noConversion"/>
  </si>
  <si>
    <t>产权人</t>
    <phoneticPr fontId="134" type="noConversion"/>
  </si>
  <si>
    <t>合同编号</t>
    <phoneticPr fontId="134" type="noConversion"/>
  </si>
  <si>
    <t>门头沟区龙泉镇门头沟新城05街区MC00-0005-6011地块C-6#住宅楼2层1单元-202</t>
    <phoneticPr fontId="134" type="noConversion"/>
  </si>
  <si>
    <t>张巧蓉、高海港</t>
    <phoneticPr fontId="134" type="noConversion"/>
  </si>
  <si>
    <t>合同编号：GY2664101</t>
    <phoneticPr fontId="134" type="noConversion"/>
  </si>
  <si>
    <t>诺德彩园</t>
    <phoneticPr fontId="134" type="noConversion"/>
  </si>
  <si>
    <t>北京市门头沟区永定镇曹各庄中路6号院2号楼1单元102号</t>
    <phoneticPr fontId="134" type="noConversion"/>
  </si>
  <si>
    <t>周会云、苏玉柱</t>
    <phoneticPr fontId="134" type="noConversion"/>
  </si>
  <si>
    <t>合同编号：GY2331466</t>
    <phoneticPr fontId="134" type="noConversion"/>
  </si>
  <si>
    <r>
      <t>回购价格=房屋原购买价格（</t>
    </r>
    <r>
      <rPr>
        <sz val="11"/>
        <color theme="1"/>
        <rFont val="宋体"/>
        <family val="3"/>
        <charset val="134"/>
        <scheme val="minor"/>
      </rPr>
      <t>1-折旧率×t1+物价水平指数×t2)</t>
    </r>
    <phoneticPr fontId="134" type="noConversion"/>
  </si>
  <si>
    <t>t1</t>
    <phoneticPr fontId="134" type="noConversion"/>
  </si>
  <si>
    <t>t2</t>
    <phoneticPr fontId="134" type="noConversion"/>
  </si>
  <si>
    <t>1年</t>
    <phoneticPr fontId="134" type="noConversion"/>
  </si>
  <si>
    <t>2年</t>
    <phoneticPr fontId="134" type="noConversion"/>
  </si>
  <si>
    <t>3年</t>
    <phoneticPr fontId="134" type="noConversion"/>
  </si>
  <si>
    <t>5年</t>
    <phoneticPr fontId="134" type="noConversion"/>
  </si>
  <si>
    <t>中国银行</t>
    <phoneticPr fontId="134" type="noConversion"/>
  </si>
  <si>
    <t>中国工商银行</t>
    <phoneticPr fontId="134" type="noConversion"/>
  </si>
  <si>
    <t>中国建设银行</t>
    <phoneticPr fontId="134" type="noConversion"/>
  </si>
  <si>
    <t>中国农业银行</t>
    <phoneticPr fontId="134" type="noConversion"/>
  </si>
  <si>
    <t>物价水平</t>
    <phoneticPr fontId="134" type="noConversion"/>
  </si>
  <si>
    <t>回购价格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</si>
</sst>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2" formatCode="0.0000"/>
    <numFmt numFmtId="203"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10" fontId="0" fillId="0" borderId="0" xfId="0" applyNumberFormat="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02" fontId="0" fillId="0" borderId="0" xfId="0" applyNumberFormat="1">
      <alignment vertical="center"/>
    </xf>
    <xf numFmtId="203"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457200</xdr:colOff>
      <xdr:row>0</xdr:row>
      <xdr:rowOff>19050</xdr:rowOff>
    </xdr:from>
    <xdr:to>
      <xdr:col>30</xdr:col>
      <xdr:colOff>465867</xdr:colOff>
      <xdr:row>46</xdr:row>
      <xdr:rowOff>122762</xdr:rowOff>
    </xdr:to>
    <xdr:pic>
      <xdr:nvPicPr>
        <xdr:cNvPr id="2" name="图片 1">
          <a:extLst>
            <a:ext uri="{FF2B5EF4-FFF2-40B4-BE49-F238E27FC236}">
              <a16:creationId xmlns:a16="http://schemas.microsoft.com/office/drawing/2014/main" id="{5399FD31-B93F-948B-714B-7D158B23AA7F}"/>
            </a:ext>
          </a:extLst>
        </xdr:cNvPr>
        <xdr:cNvPicPr>
          <a:picLocks noChangeAspect="1"/>
        </xdr:cNvPicPr>
      </xdr:nvPicPr>
      <xdr:blipFill>
        <a:blip xmlns:r="http://schemas.openxmlformats.org/officeDocument/2006/relationships" r:embed="rId1"/>
        <a:stretch>
          <a:fillRect/>
        </a:stretch>
      </xdr:blipFill>
      <xdr:spPr>
        <a:xfrm>
          <a:off x="16887825" y="19050"/>
          <a:ext cx="6866667" cy="8504762"/>
        </a:xfrm>
        <a:prstGeom prst="rect">
          <a:avLst/>
        </a:prstGeom>
      </xdr:spPr>
    </xdr:pic>
    <xdr:clientData/>
  </xdr:twoCellAnchor>
  <xdr:twoCellAnchor editAs="oneCell">
    <xdr:from>
      <xdr:col>20</xdr:col>
      <xdr:colOff>285750</xdr:colOff>
      <xdr:row>6</xdr:row>
      <xdr:rowOff>66675</xdr:rowOff>
    </xdr:from>
    <xdr:to>
      <xdr:col>29</xdr:col>
      <xdr:colOff>684979</xdr:colOff>
      <xdr:row>41</xdr:row>
      <xdr:rowOff>46856</xdr:rowOff>
    </xdr:to>
    <xdr:pic>
      <xdr:nvPicPr>
        <xdr:cNvPr id="3" name="图片 2">
          <a:extLst>
            <a:ext uri="{FF2B5EF4-FFF2-40B4-BE49-F238E27FC236}">
              <a16:creationId xmlns:a16="http://schemas.microsoft.com/office/drawing/2014/main" id="{55B58ED9-A116-C381-6836-623B8605A10A}"/>
            </a:ext>
          </a:extLst>
        </xdr:cNvPr>
        <xdr:cNvPicPr>
          <a:picLocks noChangeAspect="1"/>
        </xdr:cNvPicPr>
      </xdr:nvPicPr>
      <xdr:blipFill>
        <a:blip xmlns:r="http://schemas.openxmlformats.org/officeDocument/2006/relationships" r:embed="rId2"/>
        <a:stretch>
          <a:fillRect/>
        </a:stretch>
      </xdr:blipFill>
      <xdr:spPr>
        <a:xfrm>
          <a:off x="15049500" y="1266825"/>
          <a:ext cx="6571429" cy="6152381"/>
        </a:xfrm>
        <a:prstGeom prst="rect">
          <a:avLst/>
        </a:prstGeom>
      </xdr:spPr>
    </xdr:pic>
    <xdr:clientData/>
  </xdr:twoCellAnchor>
  <xdr:twoCellAnchor editAs="oneCell">
    <xdr:from>
      <xdr:col>20</xdr:col>
      <xdr:colOff>295275</xdr:colOff>
      <xdr:row>6</xdr:row>
      <xdr:rowOff>0</xdr:rowOff>
    </xdr:from>
    <xdr:to>
      <xdr:col>29</xdr:col>
      <xdr:colOff>208789</xdr:colOff>
      <xdr:row>42</xdr:row>
      <xdr:rowOff>151588</xdr:rowOff>
    </xdr:to>
    <xdr:pic>
      <xdr:nvPicPr>
        <xdr:cNvPr id="4" name="图片 3">
          <a:extLst>
            <a:ext uri="{FF2B5EF4-FFF2-40B4-BE49-F238E27FC236}">
              <a16:creationId xmlns:a16="http://schemas.microsoft.com/office/drawing/2014/main" id="{D7DD5726-C9D0-31A9-0B5E-F8E400959352}"/>
            </a:ext>
          </a:extLst>
        </xdr:cNvPr>
        <xdr:cNvPicPr>
          <a:picLocks noChangeAspect="1"/>
        </xdr:cNvPicPr>
      </xdr:nvPicPr>
      <xdr:blipFill>
        <a:blip xmlns:r="http://schemas.openxmlformats.org/officeDocument/2006/relationships" r:embed="rId3"/>
        <a:stretch>
          <a:fillRect/>
        </a:stretch>
      </xdr:blipFill>
      <xdr:spPr>
        <a:xfrm>
          <a:off x="15059025" y="1200150"/>
          <a:ext cx="6085714" cy="6495238"/>
        </a:xfrm>
        <a:prstGeom prst="rect">
          <a:avLst/>
        </a:prstGeom>
      </xdr:spPr>
    </xdr:pic>
    <xdr:clientData/>
  </xdr:twoCellAnchor>
  <xdr:twoCellAnchor editAs="oneCell">
    <xdr:from>
      <xdr:col>27</xdr:col>
      <xdr:colOff>409575</xdr:colOff>
      <xdr:row>0</xdr:row>
      <xdr:rowOff>0</xdr:rowOff>
    </xdr:from>
    <xdr:to>
      <xdr:col>36</xdr:col>
      <xdr:colOff>656423</xdr:colOff>
      <xdr:row>53</xdr:row>
      <xdr:rowOff>17848</xdr:rowOff>
    </xdr:to>
    <xdr:pic>
      <xdr:nvPicPr>
        <xdr:cNvPr id="5" name="图片 4">
          <a:extLst>
            <a:ext uri="{FF2B5EF4-FFF2-40B4-BE49-F238E27FC236}">
              <a16:creationId xmlns:a16="http://schemas.microsoft.com/office/drawing/2014/main" id="{5D818C6A-B5C1-7314-BF98-59F38B934204}"/>
            </a:ext>
          </a:extLst>
        </xdr:cNvPr>
        <xdr:cNvPicPr>
          <a:picLocks noChangeAspect="1"/>
        </xdr:cNvPicPr>
      </xdr:nvPicPr>
      <xdr:blipFill>
        <a:blip xmlns:r="http://schemas.openxmlformats.org/officeDocument/2006/relationships" r:embed="rId4"/>
        <a:stretch>
          <a:fillRect/>
        </a:stretch>
      </xdr:blipFill>
      <xdr:spPr>
        <a:xfrm>
          <a:off x="21326475" y="0"/>
          <a:ext cx="6419048" cy="9619048"/>
        </a:xfrm>
        <a:prstGeom prst="rect">
          <a:avLst/>
        </a:prstGeom>
      </xdr:spPr>
    </xdr:pic>
    <xdr:clientData/>
  </xdr:twoCellAnchor>
  <xdr:twoCellAnchor editAs="oneCell">
    <xdr:from>
      <xdr:col>19</xdr:col>
      <xdr:colOff>209550</xdr:colOff>
      <xdr:row>16</xdr:row>
      <xdr:rowOff>9525</xdr:rowOff>
    </xdr:from>
    <xdr:to>
      <xdr:col>28</xdr:col>
      <xdr:colOff>399255</xdr:colOff>
      <xdr:row>56</xdr:row>
      <xdr:rowOff>132477</xdr:rowOff>
    </xdr:to>
    <xdr:pic>
      <xdr:nvPicPr>
        <xdr:cNvPr id="6" name="图片 5">
          <a:extLst>
            <a:ext uri="{FF2B5EF4-FFF2-40B4-BE49-F238E27FC236}">
              <a16:creationId xmlns:a16="http://schemas.microsoft.com/office/drawing/2014/main" id="{14E2B385-BE12-F208-72A3-E38517A45DB4}"/>
            </a:ext>
          </a:extLst>
        </xdr:cNvPr>
        <xdr:cNvPicPr>
          <a:picLocks noChangeAspect="1"/>
        </xdr:cNvPicPr>
      </xdr:nvPicPr>
      <xdr:blipFill>
        <a:blip xmlns:r="http://schemas.openxmlformats.org/officeDocument/2006/relationships" r:embed="rId5"/>
        <a:stretch>
          <a:fillRect/>
        </a:stretch>
      </xdr:blipFill>
      <xdr:spPr>
        <a:xfrm>
          <a:off x="15840075" y="3095625"/>
          <a:ext cx="6361905" cy="6980952"/>
        </a:xfrm>
        <a:prstGeom prst="rect">
          <a:avLst/>
        </a:prstGeom>
      </xdr:spPr>
    </xdr:pic>
    <xdr:clientData/>
  </xdr:twoCellAnchor>
  <xdr:twoCellAnchor editAs="oneCell">
    <xdr:from>
      <xdr:col>19</xdr:col>
      <xdr:colOff>219075</xdr:colOff>
      <xdr:row>23</xdr:row>
      <xdr:rowOff>133350</xdr:rowOff>
    </xdr:from>
    <xdr:to>
      <xdr:col>28</xdr:col>
      <xdr:colOff>370684</xdr:colOff>
      <xdr:row>59</xdr:row>
      <xdr:rowOff>123055</xdr:rowOff>
    </xdr:to>
    <xdr:pic>
      <xdr:nvPicPr>
        <xdr:cNvPr id="7" name="图片 6">
          <a:extLst>
            <a:ext uri="{FF2B5EF4-FFF2-40B4-BE49-F238E27FC236}">
              <a16:creationId xmlns:a16="http://schemas.microsoft.com/office/drawing/2014/main" id="{8279B77A-5634-E20A-CF2A-3CA2CFE74449}"/>
            </a:ext>
          </a:extLst>
        </xdr:cNvPr>
        <xdr:cNvPicPr>
          <a:picLocks noChangeAspect="1"/>
        </xdr:cNvPicPr>
      </xdr:nvPicPr>
      <xdr:blipFill>
        <a:blip xmlns:r="http://schemas.openxmlformats.org/officeDocument/2006/relationships" r:embed="rId6"/>
        <a:stretch>
          <a:fillRect/>
        </a:stretch>
      </xdr:blipFill>
      <xdr:spPr>
        <a:xfrm>
          <a:off x="15849600" y="4419600"/>
          <a:ext cx="6323809" cy="6161905"/>
        </a:xfrm>
        <a:prstGeom prst="rect">
          <a:avLst/>
        </a:prstGeom>
      </xdr:spPr>
    </xdr:pic>
    <xdr:clientData/>
  </xdr:twoCellAnchor>
  <xdr:twoCellAnchor editAs="oneCell">
    <xdr:from>
      <xdr:col>28</xdr:col>
      <xdr:colOff>39348</xdr:colOff>
      <xdr:row>20</xdr:row>
      <xdr:rowOff>85725</xdr:rowOff>
    </xdr:from>
    <xdr:to>
      <xdr:col>36</xdr:col>
      <xdr:colOff>294504</xdr:colOff>
      <xdr:row>70</xdr:row>
      <xdr:rowOff>36955</xdr:rowOff>
    </xdr:to>
    <xdr:pic>
      <xdr:nvPicPr>
        <xdr:cNvPr id="8" name="图片 7">
          <a:extLst>
            <a:ext uri="{FF2B5EF4-FFF2-40B4-BE49-F238E27FC236}">
              <a16:creationId xmlns:a16="http://schemas.microsoft.com/office/drawing/2014/main" id="{120AE2D2-92F6-84B8-216C-75C4D7A59A1C}"/>
            </a:ext>
          </a:extLst>
        </xdr:cNvPr>
        <xdr:cNvPicPr>
          <a:picLocks noChangeAspect="1"/>
        </xdr:cNvPicPr>
      </xdr:nvPicPr>
      <xdr:blipFill>
        <a:blip xmlns:r="http://schemas.openxmlformats.org/officeDocument/2006/relationships" r:embed="rId7"/>
        <a:stretch>
          <a:fillRect/>
        </a:stretch>
      </xdr:blipFill>
      <xdr:spPr>
        <a:xfrm>
          <a:off x="21842073" y="3857625"/>
          <a:ext cx="5741556" cy="8523730"/>
        </a:xfrm>
        <a:prstGeom prst="rect">
          <a:avLst/>
        </a:prstGeom>
      </xdr:spPr>
    </xdr:pic>
    <xdr:clientData/>
  </xdr:twoCellAnchor>
  <xdr:twoCellAnchor editAs="oneCell">
    <xdr:from>
      <xdr:col>21</xdr:col>
      <xdr:colOff>257175</xdr:colOff>
      <xdr:row>60</xdr:row>
      <xdr:rowOff>104775</xdr:rowOff>
    </xdr:from>
    <xdr:to>
      <xdr:col>30</xdr:col>
      <xdr:colOff>494499</xdr:colOff>
      <xdr:row>120</xdr:row>
      <xdr:rowOff>8251</xdr:rowOff>
    </xdr:to>
    <xdr:pic>
      <xdr:nvPicPr>
        <xdr:cNvPr id="9" name="图片 8">
          <a:extLst>
            <a:ext uri="{FF2B5EF4-FFF2-40B4-BE49-F238E27FC236}">
              <a16:creationId xmlns:a16="http://schemas.microsoft.com/office/drawing/2014/main" id="{4FBE123C-46B4-54F6-9779-BA170A44FCF7}"/>
            </a:ext>
          </a:extLst>
        </xdr:cNvPr>
        <xdr:cNvPicPr>
          <a:picLocks noChangeAspect="1"/>
        </xdr:cNvPicPr>
      </xdr:nvPicPr>
      <xdr:blipFill>
        <a:blip xmlns:r="http://schemas.openxmlformats.org/officeDocument/2006/relationships" r:embed="rId8"/>
        <a:stretch>
          <a:fillRect/>
        </a:stretch>
      </xdr:blipFill>
      <xdr:spPr>
        <a:xfrm>
          <a:off x="17259300" y="10906125"/>
          <a:ext cx="6409524" cy="10190476"/>
        </a:xfrm>
        <a:prstGeom prst="rect">
          <a:avLst/>
        </a:prstGeom>
      </xdr:spPr>
    </xdr:pic>
    <xdr:clientData/>
  </xdr:twoCellAnchor>
  <xdr:twoCellAnchor editAs="oneCell">
    <xdr:from>
      <xdr:col>29</xdr:col>
      <xdr:colOff>657225</xdr:colOff>
      <xdr:row>69</xdr:row>
      <xdr:rowOff>104775</xdr:rowOff>
    </xdr:from>
    <xdr:to>
      <xdr:col>40</xdr:col>
      <xdr:colOff>494377</xdr:colOff>
      <xdr:row>90</xdr:row>
      <xdr:rowOff>142420</xdr:rowOff>
    </xdr:to>
    <xdr:pic>
      <xdr:nvPicPr>
        <xdr:cNvPr id="10" name="图片 9">
          <a:extLst>
            <a:ext uri="{FF2B5EF4-FFF2-40B4-BE49-F238E27FC236}">
              <a16:creationId xmlns:a16="http://schemas.microsoft.com/office/drawing/2014/main" id="{CE091295-8CF6-7E02-AC9A-B0FEDED9C6AE}"/>
            </a:ext>
          </a:extLst>
        </xdr:cNvPr>
        <xdr:cNvPicPr>
          <a:picLocks noChangeAspect="1"/>
        </xdr:cNvPicPr>
      </xdr:nvPicPr>
      <xdr:blipFill>
        <a:blip xmlns:r="http://schemas.openxmlformats.org/officeDocument/2006/relationships" r:embed="rId9"/>
        <a:stretch>
          <a:fillRect/>
        </a:stretch>
      </xdr:blipFill>
      <xdr:spPr>
        <a:xfrm>
          <a:off x="23145750" y="12449175"/>
          <a:ext cx="7380952" cy="3638095"/>
        </a:xfrm>
        <a:prstGeom prst="rect">
          <a:avLst/>
        </a:prstGeom>
      </xdr:spPr>
    </xdr:pic>
    <xdr:clientData/>
  </xdr:twoCellAnchor>
  <xdr:twoCellAnchor editAs="oneCell">
    <xdr:from>
      <xdr:col>30</xdr:col>
      <xdr:colOff>123825</xdr:colOff>
      <xdr:row>89</xdr:row>
      <xdr:rowOff>38100</xdr:rowOff>
    </xdr:from>
    <xdr:to>
      <xdr:col>39</xdr:col>
      <xdr:colOff>180196</xdr:colOff>
      <xdr:row>117</xdr:row>
      <xdr:rowOff>170833</xdr:rowOff>
    </xdr:to>
    <xdr:pic>
      <xdr:nvPicPr>
        <xdr:cNvPr id="11" name="图片 10">
          <a:extLst>
            <a:ext uri="{FF2B5EF4-FFF2-40B4-BE49-F238E27FC236}">
              <a16:creationId xmlns:a16="http://schemas.microsoft.com/office/drawing/2014/main" id="{411A2BD4-5F1A-CBCC-4F7E-1F0E2C0E2D53}"/>
            </a:ext>
          </a:extLst>
        </xdr:cNvPr>
        <xdr:cNvPicPr>
          <a:picLocks noChangeAspect="1"/>
        </xdr:cNvPicPr>
      </xdr:nvPicPr>
      <xdr:blipFill>
        <a:blip xmlns:r="http://schemas.openxmlformats.org/officeDocument/2006/relationships" r:embed="rId10"/>
        <a:stretch>
          <a:fillRect/>
        </a:stretch>
      </xdr:blipFill>
      <xdr:spPr>
        <a:xfrm>
          <a:off x="23298150" y="15811500"/>
          <a:ext cx="6228571" cy="4933333"/>
        </a:xfrm>
        <a:prstGeom prst="rect">
          <a:avLst/>
        </a:prstGeom>
      </xdr:spPr>
    </xdr:pic>
    <xdr:clientData/>
  </xdr:twoCellAnchor>
  <xdr:twoCellAnchor editAs="oneCell">
    <xdr:from>
      <xdr:col>9</xdr:col>
      <xdr:colOff>495300</xdr:colOff>
      <xdr:row>24</xdr:row>
      <xdr:rowOff>0</xdr:rowOff>
    </xdr:from>
    <xdr:to>
      <xdr:col>17</xdr:col>
      <xdr:colOff>227683</xdr:colOff>
      <xdr:row>56</xdr:row>
      <xdr:rowOff>85029</xdr:rowOff>
    </xdr:to>
    <xdr:pic>
      <xdr:nvPicPr>
        <xdr:cNvPr id="12" name="图片 11">
          <a:extLst>
            <a:ext uri="{FF2B5EF4-FFF2-40B4-BE49-F238E27FC236}">
              <a16:creationId xmlns:a16="http://schemas.microsoft.com/office/drawing/2014/main" id="{CC2C6764-05B6-412C-38A0-1CE87C73D97E}"/>
            </a:ext>
          </a:extLst>
        </xdr:cNvPr>
        <xdr:cNvPicPr>
          <a:picLocks noChangeAspect="1"/>
        </xdr:cNvPicPr>
      </xdr:nvPicPr>
      <xdr:blipFill>
        <a:blip xmlns:r="http://schemas.openxmlformats.org/officeDocument/2006/relationships" r:embed="rId11"/>
        <a:stretch>
          <a:fillRect/>
        </a:stretch>
      </xdr:blipFill>
      <xdr:spPr>
        <a:xfrm>
          <a:off x="9324975" y="4629150"/>
          <a:ext cx="7333333" cy="5571429"/>
        </a:xfrm>
        <a:prstGeom prst="rect">
          <a:avLst/>
        </a:prstGeom>
      </xdr:spPr>
    </xdr:pic>
    <xdr:clientData/>
  </xdr:twoCellAnchor>
  <xdr:twoCellAnchor editAs="oneCell">
    <xdr:from>
      <xdr:col>0</xdr:col>
      <xdr:colOff>542546</xdr:colOff>
      <xdr:row>82</xdr:row>
      <xdr:rowOff>38100</xdr:rowOff>
    </xdr:from>
    <xdr:to>
      <xdr:col>7</xdr:col>
      <xdr:colOff>1504950</xdr:colOff>
      <xdr:row>117</xdr:row>
      <xdr:rowOff>162734</xdr:rowOff>
    </xdr:to>
    <xdr:pic>
      <xdr:nvPicPr>
        <xdr:cNvPr id="14" name="图片 13">
          <a:extLst>
            <a:ext uri="{FF2B5EF4-FFF2-40B4-BE49-F238E27FC236}">
              <a16:creationId xmlns:a16="http://schemas.microsoft.com/office/drawing/2014/main" id="{5D764B9A-2A83-D16F-E369-8D26032BA89C}"/>
            </a:ext>
          </a:extLst>
        </xdr:cNvPr>
        <xdr:cNvPicPr>
          <a:picLocks noChangeAspect="1"/>
        </xdr:cNvPicPr>
      </xdr:nvPicPr>
      <xdr:blipFill>
        <a:blip xmlns:r="http://schemas.openxmlformats.org/officeDocument/2006/relationships" r:embed="rId12"/>
        <a:stretch>
          <a:fillRect/>
        </a:stretch>
      </xdr:blipFill>
      <xdr:spPr>
        <a:xfrm>
          <a:off x="542546" y="14611350"/>
          <a:ext cx="5763004" cy="6125384"/>
        </a:xfrm>
        <a:prstGeom prst="rect">
          <a:avLst/>
        </a:prstGeom>
      </xdr:spPr>
    </xdr:pic>
    <xdr:clientData/>
  </xdr:twoCellAnchor>
  <xdr:twoCellAnchor editAs="oneCell">
    <xdr:from>
      <xdr:col>0</xdr:col>
      <xdr:colOff>0</xdr:colOff>
      <xdr:row>59</xdr:row>
      <xdr:rowOff>38247</xdr:rowOff>
    </xdr:from>
    <xdr:to>
      <xdr:col>7</xdr:col>
      <xdr:colOff>389367</xdr:colOff>
      <xdr:row>85</xdr:row>
      <xdr:rowOff>103765</xdr:rowOff>
    </xdr:to>
    <xdr:pic>
      <xdr:nvPicPr>
        <xdr:cNvPr id="15" name="图片 14">
          <a:extLst>
            <a:ext uri="{FF2B5EF4-FFF2-40B4-BE49-F238E27FC236}">
              <a16:creationId xmlns:a16="http://schemas.microsoft.com/office/drawing/2014/main" id="{8D746711-6A89-D748-258C-965A3CF43C63}"/>
            </a:ext>
          </a:extLst>
        </xdr:cNvPr>
        <xdr:cNvPicPr>
          <a:picLocks noChangeAspect="1"/>
        </xdr:cNvPicPr>
      </xdr:nvPicPr>
      <xdr:blipFill>
        <a:blip xmlns:r="http://schemas.openxmlformats.org/officeDocument/2006/relationships" r:embed="rId13"/>
        <a:stretch>
          <a:fillRect/>
        </a:stretch>
      </xdr:blipFill>
      <xdr:spPr>
        <a:xfrm>
          <a:off x="0" y="10668147"/>
          <a:ext cx="5189967" cy="4523218"/>
        </a:xfrm>
        <a:prstGeom prst="rect">
          <a:avLst/>
        </a:prstGeom>
      </xdr:spPr>
    </xdr:pic>
    <xdr:clientData/>
  </xdr:twoCellAnchor>
  <xdr:twoCellAnchor editAs="oneCell">
    <xdr:from>
      <xdr:col>0</xdr:col>
      <xdr:colOff>28575</xdr:colOff>
      <xdr:row>81</xdr:row>
      <xdr:rowOff>123825</xdr:rowOff>
    </xdr:from>
    <xdr:to>
      <xdr:col>7</xdr:col>
      <xdr:colOff>1613500</xdr:colOff>
      <xdr:row>114</xdr:row>
      <xdr:rowOff>65589</xdr:rowOff>
    </xdr:to>
    <xdr:pic>
      <xdr:nvPicPr>
        <xdr:cNvPr id="16" name="图片 15">
          <a:extLst>
            <a:ext uri="{FF2B5EF4-FFF2-40B4-BE49-F238E27FC236}">
              <a16:creationId xmlns:a16="http://schemas.microsoft.com/office/drawing/2014/main" id="{026A46AA-A8CD-409C-3572-B28C6C42CC8C}"/>
            </a:ext>
          </a:extLst>
        </xdr:cNvPr>
        <xdr:cNvPicPr>
          <a:picLocks noChangeAspect="1"/>
        </xdr:cNvPicPr>
      </xdr:nvPicPr>
      <xdr:blipFill>
        <a:blip xmlns:r="http://schemas.openxmlformats.org/officeDocument/2006/relationships" r:embed="rId14"/>
        <a:stretch>
          <a:fillRect/>
        </a:stretch>
      </xdr:blipFill>
      <xdr:spPr>
        <a:xfrm>
          <a:off x="28575" y="14525625"/>
          <a:ext cx="6385525" cy="5599614"/>
        </a:xfrm>
        <a:prstGeom prst="rect">
          <a:avLst/>
        </a:prstGeom>
      </xdr:spPr>
    </xdr:pic>
    <xdr:clientData/>
  </xdr:twoCellAnchor>
  <xdr:twoCellAnchor editAs="oneCell">
    <xdr:from>
      <xdr:col>0</xdr:col>
      <xdr:colOff>609461</xdr:colOff>
      <xdr:row>66</xdr:row>
      <xdr:rowOff>161924</xdr:rowOff>
    </xdr:from>
    <xdr:to>
      <xdr:col>7</xdr:col>
      <xdr:colOff>742075</xdr:colOff>
      <xdr:row>104</xdr:row>
      <xdr:rowOff>103629</xdr:rowOff>
    </xdr:to>
    <xdr:pic>
      <xdr:nvPicPr>
        <xdr:cNvPr id="17" name="图片 16">
          <a:extLst>
            <a:ext uri="{FF2B5EF4-FFF2-40B4-BE49-F238E27FC236}">
              <a16:creationId xmlns:a16="http://schemas.microsoft.com/office/drawing/2014/main" id="{3B7C4FC4-5E87-33BB-1193-7F50F38E70C9}"/>
            </a:ext>
          </a:extLst>
        </xdr:cNvPr>
        <xdr:cNvPicPr>
          <a:picLocks noChangeAspect="1"/>
        </xdr:cNvPicPr>
      </xdr:nvPicPr>
      <xdr:blipFill>
        <a:blip xmlns:r="http://schemas.openxmlformats.org/officeDocument/2006/relationships" r:embed="rId15"/>
        <a:stretch>
          <a:fillRect/>
        </a:stretch>
      </xdr:blipFill>
      <xdr:spPr>
        <a:xfrm>
          <a:off x="609461" y="11991974"/>
          <a:ext cx="4933214" cy="6456805"/>
        </a:xfrm>
        <a:prstGeom prst="rect">
          <a:avLst/>
        </a:prstGeom>
      </xdr:spPr>
    </xdr:pic>
    <xdr:clientData/>
  </xdr:twoCellAnchor>
  <xdr:twoCellAnchor editAs="oneCell">
    <xdr:from>
      <xdr:col>4</xdr:col>
      <xdr:colOff>38100</xdr:colOff>
      <xdr:row>25</xdr:row>
      <xdr:rowOff>104775</xdr:rowOff>
    </xdr:from>
    <xdr:to>
      <xdr:col>9</xdr:col>
      <xdr:colOff>884958</xdr:colOff>
      <xdr:row>35</xdr:row>
      <xdr:rowOff>66465</xdr:rowOff>
    </xdr:to>
    <xdr:pic>
      <xdr:nvPicPr>
        <xdr:cNvPr id="18" name="图片 17">
          <a:extLst>
            <a:ext uri="{FF2B5EF4-FFF2-40B4-BE49-F238E27FC236}">
              <a16:creationId xmlns:a16="http://schemas.microsoft.com/office/drawing/2014/main" id="{850BA367-F23E-B2D5-9A68-8E54E87C13A5}"/>
            </a:ext>
          </a:extLst>
        </xdr:cNvPr>
        <xdr:cNvPicPr>
          <a:picLocks noChangeAspect="1"/>
        </xdr:cNvPicPr>
      </xdr:nvPicPr>
      <xdr:blipFill>
        <a:blip xmlns:r="http://schemas.openxmlformats.org/officeDocument/2006/relationships" r:embed="rId16"/>
        <a:stretch>
          <a:fillRect/>
        </a:stretch>
      </xdr:blipFill>
      <xdr:spPr>
        <a:xfrm>
          <a:off x="2781300" y="4905375"/>
          <a:ext cx="6933333" cy="1676190"/>
        </a:xfrm>
        <a:prstGeom prst="rect">
          <a:avLst/>
        </a:prstGeom>
      </xdr:spPr>
    </xdr:pic>
    <xdr:clientData/>
  </xdr:twoCellAnchor>
  <xdr:twoCellAnchor editAs="oneCell">
    <xdr:from>
      <xdr:col>16</xdr:col>
      <xdr:colOff>485775</xdr:colOff>
      <xdr:row>75</xdr:row>
      <xdr:rowOff>57150</xdr:rowOff>
    </xdr:from>
    <xdr:to>
      <xdr:col>25</xdr:col>
      <xdr:colOff>408763</xdr:colOff>
      <xdr:row>119</xdr:row>
      <xdr:rowOff>141921</xdr:rowOff>
    </xdr:to>
    <xdr:pic>
      <xdr:nvPicPr>
        <xdr:cNvPr id="19" name="图片 18">
          <a:extLst>
            <a:ext uri="{FF2B5EF4-FFF2-40B4-BE49-F238E27FC236}">
              <a16:creationId xmlns:a16="http://schemas.microsoft.com/office/drawing/2014/main" id="{4379B79B-723B-0037-8B73-FEE45A87532F}"/>
            </a:ext>
          </a:extLst>
        </xdr:cNvPr>
        <xdr:cNvPicPr>
          <a:picLocks noChangeAspect="1"/>
        </xdr:cNvPicPr>
      </xdr:nvPicPr>
      <xdr:blipFill>
        <a:blip xmlns:r="http://schemas.openxmlformats.org/officeDocument/2006/relationships" r:embed="rId17"/>
        <a:stretch>
          <a:fillRect/>
        </a:stretch>
      </xdr:blipFill>
      <xdr:spPr>
        <a:xfrm>
          <a:off x="14173200" y="13430250"/>
          <a:ext cx="6495238" cy="7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6" t="s">
        <v>2580</v>
      </c>
      <c r="J2" s="3216"/>
      <c r="K2" s="3216"/>
      <c r="L2" s="3216"/>
      <c r="M2" s="3216"/>
      <c r="N2" s="3216"/>
      <c r="O2" s="3216"/>
      <c r="P2" s="3216"/>
      <c r="Q2" s="3216"/>
      <c r="R2" s="3216"/>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33" sqref="Q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7" t="s">
        <v>2177</v>
      </c>
      <c r="E8" s="2202"/>
      <c r="F8" s="2203"/>
      <c r="G8" s="2442"/>
      <c r="H8" s="2442"/>
      <c r="I8" s="2442"/>
      <c r="J8" s="2245"/>
      <c r="K8" s="2400"/>
      <c r="L8" s="2399"/>
      <c r="M8" s="2399"/>
      <c r="N8" s="2245"/>
      <c r="O8" s="1670"/>
      <c r="P8" s="2245"/>
      <c r="Q8" s="2245"/>
      <c r="R8" s="2245"/>
    </row>
    <row r="9" spans="1:30" ht="13.5" thickBot="1">
      <c r="A9" s="2204" t="s">
        <v>2178</v>
      </c>
      <c r="B9" s="2205"/>
      <c r="C9" s="2206"/>
      <c r="D9" s="3228"/>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4"/>
      <c r="C16" s="3235"/>
      <c r="D16" s="3236"/>
      <c r="E16" s="2222" t="s">
        <v>2194</v>
      </c>
      <c r="F16" s="3237"/>
      <c r="G16" s="3238"/>
      <c r="H16" s="3238"/>
      <c r="I16" s="3239"/>
      <c r="J16" s="2245"/>
      <c r="K16" s="2403"/>
      <c r="L16" s="1670"/>
      <c r="M16" s="1670"/>
      <c r="N16" s="2245"/>
      <c r="O16" s="1670"/>
      <c r="P16" s="2245"/>
      <c r="Q16" s="2245"/>
      <c r="R16" s="2245"/>
    </row>
    <row r="17" spans="1:28">
      <c r="A17" s="305" t="s">
        <v>2195</v>
      </c>
      <c r="B17" s="294" t="s">
        <v>2196</v>
      </c>
      <c r="C17" s="8">
        <f>'数据-汇总表'!E3</f>
        <v>0</v>
      </c>
      <c r="D17" s="1256" t="s">
        <v>2197</v>
      </c>
      <c r="E17" s="3240" t="s">
        <v>2198</v>
      </c>
      <c r="F17" s="3241"/>
      <c r="G17" s="3241"/>
      <c r="H17" s="3241"/>
      <c r="I17" s="3242"/>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3" t="s">
        <v>2202</v>
      </c>
      <c r="F18" s="3244"/>
      <c r="G18" s="3244"/>
      <c r="H18" s="3244"/>
      <c r="I18" s="324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0" t="s">
        <v>2206</v>
      </c>
      <c r="C20" s="3231"/>
      <c r="D20" s="3232" t="s">
        <v>2207</v>
      </c>
      <c r="E20" s="3233"/>
      <c r="F20" s="2430" t="s">
        <v>1056</v>
      </c>
      <c r="G20" s="2442"/>
      <c r="H20" s="2442"/>
      <c r="I20" s="2442"/>
      <c r="J20" s="2245"/>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7"/>
      <c r="B4" s="3258"/>
      <c r="C4" s="325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0" t="s">
        <v>1110</v>
      </c>
      <c r="C5" s="326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0" t="s">
        <v>1111</v>
      </c>
      <c r="C6" s="3260"/>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2286</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f>Sheet1!S5</f>
        <v>29481</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c r="D4" s="1626"/>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c r="D14" s="3300"/>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7" t="s">
        <v>2131</v>
      </c>
      <c r="F18" s="3288"/>
      <c r="G18" s="3288"/>
      <c r="H18" s="3288"/>
      <c r="I18" s="328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10">
        <v>1</v>
      </c>
      <c r="K46" s="3327" t="s">
        <v>1331</v>
      </c>
      <c r="L46" s="3327"/>
      <c r="M46" s="3347"/>
      <c r="N46" s="3347"/>
      <c r="O46" s="3347"/>
    </row>
    <row r="47" spans="1:15" ht="12" customHeight="1">
      <c r="A47" s="152" t="s">
        <v>1332</v>
      </c>
      <c r="B47" s="153"/>
      <c r="C47" s="154"/>
      <c r="D47" s="1024" t="s">
        <v>1333</v>
      </c>
      <c r="E47" s="294" t="s">
        <v>1334</v>
      </c>
      <c r="F47" s="155" t="s">
        <v>1335</v>
      </c>
      <c r="G47" s="2333" t="s">
        <v>1336</v>
      </c>
      <c r="H47" s="2334"/>
      <c r="I47" s="151"/>
      <c r="J47" s="2310">
        <v>2</v>
      </c>
      <c r="K47" s="3327" t="s">
        <v>1337</v>
      </c>
      <c r="L47" s="3327"/>
      <c r="M47" s="3348">
        <f>'数据-取费表'!B2</f>
        <v>0</v>
      </c>
      <c r="N47" s="3348"/>
      <c r="O47" s="3348"/>
    </row>
    <row r="48" spans="1:15" ht="25.5">
      <c r="A48" s="3296" t="s">
        <v>1338</v>
      </c>
      <c r="B48" s="3279"/>
      <c r="C48" s="327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7" t="s">
        <v>1340</v>
      </c>
      <c r="L48" s="3327"/>
      <c r="M48" s="3349" t="e">
        <f ca="1">H101</f>
        <v>#REF!</v>
      </c>
      <c r="N48" s="3349"/>
      <c r="O48" s="3349"/>
    </row>
    <row r="49" spans="1:35" ht="25.5" customHeight="1">
      <c r="A49" s="2152" t="s">
        <v>1341</v>
      </c>
      <c r="B49" s="3263" t="s">
        <v>1342</v>
      </c>
      <c r="C49" s="3263"/>
      <c r="D49" s="1478">
        <v>0</v>
      </c>
      <c r="E49" s="316" t="s">
        <v>1343</v>
      </c>
      <c r="F49" s="2233" t="s">
        <v>28</v>
      </c>
      <c r="G49" s="3333"/>
      <c r="H49" s="2134" t="s">
        <v>2134</v>
      </c>
      <c r="I49" s="2135"/>
      <c r="J49" s="2310">
        <v>4</v>
      </c>
      <c r="K49" s="3327" t="str">
        <f>IF(项目基本情况!E8="房地产抵押价值","房地产抵押价值","抵押担保权已注销时的房地产抵押价值")</f>
        <v>抵押担保权已注销时的房地产抵押价值</v>
      </c>
      <c r="L49" s="3327"/>
      <c r="M49" s="3349" t="str">
        <f>IF(项目基本情况!E8="房地产抵押价值",H107,H109)</f>
        <v>——</v>
      </c>
      <c r="N49" s="3349"/>
      <c r="O49" s="3349"/>
    </row>
    <row r="50" spans="1:35" ht="25.5" customHeight="1">
      <c r="A50" s="2338"/>
      <c r="B50" s="3263" t="s">
        <v>1344</v>
      </c>
      <c r="C50" s="3263"/>
      <c r="D50" s="2189"/>
      <c r="E50" s="323"/>
      <c r="F50" s="2233"/>
      <c r="G50" s="3334"/>
      <c r="H50" s="2136" t="s">
        <v>2135</v>
      </c>
      <c r="I50" s="2135"/>
      <c r="J50" s="3346" t="s">
        <v>1345</v>
      </c>
      <c r="K50" s="3346"/>
      <c r="L50" s="3346"/>
      <c r="M50" s="3346"/>
      <c r="N50" s="3346"/>
      <c r="O50" s="3346"/>
    </row>
    <row r="51" spans="1:35" ht="20.45" customHeight="1">
      <c r="A51" s="2339"/>
      <c r="B51" s="3263" t="s">
        <v>1346</v>
      </c>
      <c r="C51" s="3263"/>
      <c r="D51" s="1024"/>
      <c r="E51" s="319"/>
      <c r="F51" s="2233"/>
      <c r="G51" s="3335"/>
      <c r="H51" s="2136" t="s">
        <v>2136</v>
      </c>
      <c r="I51" s="2135"/>
      <c r="J51" s="2311" t="s">
        <v>1347</v>
      </c>
      <c r="K51" s="3327" t="s">
        <v>1348</v>
      </c>
      <c r="L51" s="3327"/>
      <c r="M51" s="2311" t="s">
        <v>1349</v>
      </c>
      <c r="N51" s="2311" t="s">
        <v>1350</v>
      </c>
      <c r="O51" s="2311" t="s">
        <v>1351</v>
      </c>
    </row>
    <row r="52" spans="1:35" ht="24" customHeight="1">
      <c r="A52" s="2153" t="s">
        <v>1352</v>
      </c>
      <c r="B52" s="3263" t="s">
        <v>1353</v>
      </c>
      <c r="C52" s="3263"/>
      <c r="D52" s="1024" t="e">
        <f ca="1">ROUND(D45*'数据-取费表'!B41/(1+'数据-取费表'!C42),0)</f>
        <v>#REF!</v>
      </c>
      <c r="E52" s="1256" t="s">
        <v>1354</v>
      </c>
      <c r="F52" s="2340">
        <f>'数据-取费表'!B41</f>
        <v>0</v>
      </c>
      <c r="G52" s="2341"/>
      <c r="H52" s="2331"/>
      <c r="I52" s="1669"/>
      <c r="J52" s="2310">
        <v>1</v>
      </c>
      <c r="K52" s="3328" t="s">
        <v>1355</v>
      </c>
      <c r="L52" s="3328"/>
      <c r="M52" s="2312" t="b">
        <f>D48</f>
        <v>0</v>
      </c>
      <c r="N52" s="2310" t="str">
        <f>E48</f>
        <v>销售额×税（费）率</v>
      </c>
      <c r="O52" s="2313">
        <f>F48</f>
        <v>0</v>
      </c>
    </row>
    <row r="53" spans="1:35" ht="12" customHeight="1">
      <c r="A53" s="2153" t="s">
        <v>1356</v>
      </c>
      <c r="B53" s="3289" t="s">
        <v>2291</v>
      </c>
      <c r="C53" s="3290"/>
      <c r="D53" s="1024" t="e">
        <f ca="1">ROUND(D45*'数据-取费表'!B41/(1+'数据-取费表'!C42),0)</f>
        <v>#REF!</v>
      </c>
      <c r="E53" s="1256" t="s">
        <v>1354</v>
      </c>
      <c r="F53" s="2340">
        <f>'数据-取费表'!B41</f>
        <v>0</v>
      </c>
      <c r="G53" s="2341"/>
      <c r="H53" s="2331"/>
      <c r="I53" s="1669"/>
      <c r="J53" s="2310">
        <v>2</v>
      </c>
      <c r="K53" s="3328" t="s">
        <v>1357</v>
      </c>
      <c r="L53" s="3328"/>
      <c r="M53" s="2312" t="e">
        <f t="shared" ref="M53:O54" ca="1" si="0">D55</f>
        <v>#REF!</v>
      </c>
      <c r="N53" s="2310" t="str">
        <f t="shared" si="0"/>
        <v>销售额×税（费）率</v>
      </c>
      <c r="O53" s="2313" t="str">
        <f t="shared" si="0"/>
        <v>免征</v>
      </c>
    </row>
    <row r="54" spans="1:35" ht="12" customHeight="1">
      <c r="A54" s="2153" t="s">
        <v>1358</v>
      </c>
      <c r="B54" s="3289" t="s">
        <v>2292</v>
      </c>
      <c r="C54" s="3290"/>
      <c r="D54" s="1024" t="e">
        <f ca="1">C68</f>
        <v>#REF!</v>
      </c>
      <c r="E54" s="319" t="s">
        <v>1359</v>
      </c>
      <c r="F54" s="2340">
        <f>'数据-取费表'!B41</f>
        <v>0</v>
      </c>
      <c r="G54" s="2341"/>
      <c r="H54" s="2342"/>
      <c r="I54" s="1669"/>
      <c r="J54" s="2310">
        <v>3</v>
      </c>
      <c r="K54" s="3328" t="s">
        <v>1360</v>
      </c>
      <c r="L54" s="3328"/>
      <c r="M54" s="2312" t="e">
        <f t="shared" ca="1" si="0"/>
        <v>#REF!</v>
      </c>
      <c r="N54" s="2310" t="str">
        <f t="shared" si="0"/>
        <v>增值额×税（费）率</v>
      </c>
      <c r="O54" s="2314" t="str">
        <f t="shared" si="0"/>
        <v>免征</v>
      </c>
    </row>
    <row r="55" spans="1:35" ht="24" customHeight="1">
      <c r="A55" s="3278" t="s">
        <v>1361</v>
      </c>
      <c r="B55" s="3279"/>
      <c r="C55" s="3279"/>
      <c r="D55" s="12" t="e">
        <f ca="1">IF(H55="个人住宅",0,ROUND(D45*I55,0))</f>
        <v>#REF!</v>
      </c>
      <c r="E55" s="1256" t="s">
        <v>1362</v>
      </c>
      <c r="F55" s="2340" t="str">
        <f>IF(H55="正常",I55,"免征")</f>
        <v>免征</v>
      </c>
      <c r="G55" s="2341"/>
      <c r="H55" s="2337"/>
      <c r="I55" s="157">
        <f>'数据-取费表'!B49</f>
        <v>0</v>
      </c>
      <c r="J55" s="2310">
        <f>IF(H59="非个人房产","",4)</f>
        <v>4</v>
      </c>
      <c r="K55" s="3328" t="str">
        <f>IF(H59="非个人房产","——","个人所得税")</f>
        <v>个人所得税</v>
      </c>
      <c r="L55" s="3328"/>
      <c r="M55" s="2315" t="e">
        <f ca="1">D59</f>
        <v>#REF!</v>
      </c>
      <c r="N55" s="1883" t="str">
        <f>E59</f>
        <v>差额计税</v>
      </c>
      <c r="O55" s="2316">
        <f>F59</f>
        <v>0.01</v>
      </c>
    </row>
    <row r="56" spans="1:35" ht="24.75">
      <c r="A56" s="3278" t="s">
        <v>1363</v>
      </c>
      <c r="B56" s="3279"/>
      <c r="C56" s="3279"/>
      <c r="D56" s="12" t="e">
        <f ca="1">IF(H56="个人住宅",D57,D58)</f>
        <v>#REF!</v>
      </c>
      <c r="E56" s="1256" t="s">
        <v>1364</v>
      </c>
      <c r="F56" s="2340" t="str">
        <f>IF(H56="正常",F58,"免征")</f>
        <v>免征</v>
      </c>
      <c r="G56" s="2343" t="s">
        <v>1365</v>
      </c>
      <c r="H56" s="2344"/>
      <c r="I56" s="1670"/>
      <c r="J56" s="2310" t="str">
        <f>IF(项目基本情况!K6="上海银行",IF(J55="",4,J55+1),"")</f>
        <v/>
      </c>
      <c r="K56" s="3351" t="str">
        <f>IF(项目基本情况!K6="上海银行","其他处置费用","")</f>
        <v/>
      </c>
      <c r="L56" s="3352"/>
      <c r="M56" s="2312" t="str">
        <f>IF(项目基本情况!K6="上海银行",M69,"")</f>
        <v/>
      </c>
      <c r="N56" s="3351" t="str">
        <f>IF(项目基本情况!K6="上海银行","包含处置中涉及的律师、诉讼、拍卖、评估等费用","")</f>
        <v/>
      </c>
      <c r="O56" s="3354"/>
    </row>
    <row r="57" spans="1:35" ht="12.75">
      <c r="A57" s="2153" t="s">
        <v>1341</v>
      </c>
      <c r="B57" s="3289" t="s">
        <v>1366</v>
      </c>
      <c r="C57" s="3290"/>
      <c r="D57" s="1478">
        <v>0</v>
      </c>
      <c r="E57" s="316" t="s">
        <v>1343</v>
      </c>
      <c r="F57" s="294"/>
      <c r="G57" s="2341"/>
      <c r="H57" s="2345"/>
      <c r="I57" s="1670"/>
      <c r="J57" s="3328">
        <f>IF(AND(J55="",J56=""),4,IF(项目基本情况!K6="上海银行",结果表!J56+1,结果表!J55+1))</f>
        <v>5</v>
      </c>
      <c r="K57" s="3328" t="s">
        <v>1367</v>
      </c>
      <c r="L57" s="2317" t="s">
        <v>1368</v>
      </c>
      <c r="M57" s="2318"/>
      <c r="N57" s="2319">
        <f ca="1">SUMIF(M52:M56,"&lt;9e307")</f>
        <v>0</v>
      </c>
      <c r="O57" s="2320"/>
      <c r="P57" s="2465" t="e">
        <f ca="1">N57/M49</f>
        <v>#VALUE!</v>
      </c>
    </row>
    <row r="58" spans="1:35" ht="24.75">
      <c r="A58" s="2153" t="s">
        <v>1352</v>
      </c>
      <c r="B58" s="3289" t="s">
        <v>1369</v>
      </c>
      <c r="C58" s="3263"/>
      <c r="D58" s="12" t="e">
        <f ca="1">IF(H58="转让取得",C81,C97)</f>
        <v>#REF!</v>
      </c>
      <c r="E58" s="1256" t="s">
        <v>1364</v>
      </c>
      <c r="F58" s="294" t="s">
        <v>28</v>
      </c>
      <c r="G58" s="2341"/>
      <c r="H58" s="2344"/>
      <c r="I58" s="1670"/>
      <c r="J58" s="3328"/>
      <c r="K58" s="3328"/>
      <c r="L58" s="2317" t="s">
        <v>1370</v>
      </c>
      <c r="M58" s="2321"/>
      <c r="N58" s="2322" t="str">
        <f ca="1">NUMBERSTRING(INT(N57*10000),2)&amp;"元整"</f>
        <v>零元整</v>
      </c>
      <c r="O58" s="2323"/>
    </row>
    <row r="59" spans="1:35" ht="24.75" thickBot="1">
      <c r="A59" s="3331" t="s">
        <v>1371</v>
      </c>
      <c r="B59" s="3332"/>
      <c r="C59" s="333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9">
        <f>J57+1</f>
        <v>6</v>
      </c>
      <c r="K59" s="3328" t="s">
        <v>1372</v>
      </c>
      <c r="L59" s="2310" t="s">
        <v>1368</v>
      </c>
      <c r="M59" s="2324"/>
      <c r="N59" s="2325" t="e">
        <f ca="1">M49-N57</f>
        <v>#VALUE!</v>
      </c>
      <c r="O59" s="2326"/>
    </row>
    <row r="60" spans="1:35" ht="12" customHeight="1">
      <c r="A60" s="1671"/>
      <c r="B60" s="646"/>
      <c r="C60" s="646"/>
      <c r="D60" s="646"/>
      <c r="E60" s="1466"/>
      <c r="F60" s="1670"/>
      <c r="G60" s="1670"/>
      <c r="H60" s="151"/>
      <c r="I60" s="121"/>
      <c r="J60" s="3330"/>
      <c r="K60" s="3328"/>
      <c r="L60" s="2317" t="s">
        <v>1370</v>
      </c>
      <c r="M60" s="2321"/>
      <c r="N60" s="2322" t="e">
        <f ca="1">NUMBERSTRING(INT(N59*10000),2)&amp;"元整"</f>
        <v>#VALUE!</v>
      </c>
      <c r="O60" s="2323"/>
    </row>
    <row r="61" spans="1:35" ht="13.5" thickBot="1">
      <c r="A61" s="3276" t="s">
        <v>1373</v>
      </c>
      <c r="B61" s="3276"/>
      <c r="C61" s="3276"/>
      <c r="D61" s="3276"/>
      <c r="E61" s="3276"/>
      <c r="F61" s="1670"/>
      <c r="G61" s="1670"/>
      <c r="H61" s="151"/>
      <c r="I61" s="121"/>
      <c r="J61" s="2310">
        <f>J59+1</f>
        <v>7</v>
      </c>
      <c r="K61" s="3328" t="s">
        <v>1374</v>
      </c>
      <c r="L61" s="3328"/>
      <c r="M61" s="2327"/>
      <c r="N61" s="2328" t="e">
        <f ca="1">ROUND(N59*10000/'数据-汇总表'!E3,0)</f>
        <v>#VALUE!</v>
      </c>
      <c r="O61" s="2329"/>
    </row>
    <row r="62" spans="1:35" ht="12.75">
      <c r="A62" s="3294" t="s">
        <v>1375</v>
      </c>
      <c r="B62" s="329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3"/>
      <c r="K69" s="1245" t="s">
        <v>1393</v>
      </c>
      <c r="L69" s="1245"/>
      <c r="M69" s="294" t="e">
        <f>ROUND(SUM(M63:M68),0)</f>
        <v>#VALUE!</v>
      </c>
      <c r="N69" s="2332"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5" t="s">
        <v>2129</v>
      </c>
      <c r="H90" s="335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3" t="s">
        <v>1422</v>
      </c>
      <c r="F92" s="3274"/>
      <c r="G92" s="3274"/>
      <c r="H92" s="328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1">
        <f>C4</f>
        <v>0</v>
      </c>
      <c r="D101" s="2372">
        <f>D4</f>
        <v>0</v>
      </c>
      <c r="E101" s="3350" t="s">
        <v>1431</v>
      </c>
      <c r="F101" s="3307"/>
      <c r="G101" s="1687" t="s">
        <v>1432</v>
      </c>
      <c r="H101" s="2381" t="e">
        <f ca="1">H118</f>
        <v>#REF!</v>
      </c>
      <c r="I101" s="121"/>
    </row>
    <row r="102" spans="1:35" ht="18.75" customHeight="1">
      <c r="A102" s="3309" t="s">
        <v>1433</v>
      </c>
      <c r="B102" s="2370" t="s">
        <v>1432</v>
      </c>
      <c r="C102" s="2371" t="e">
        <f ca="1">IF(D32="楼面单价",ROUND(C19,0),C19)</f>
        <v>#REF!</v>
      </c>
      <c r="D102" s="2372" t="e">
        <f ca="1">IF(D32="楼面单价",ROUND(D19,0),D19)</f>
        <v>#REF!</v>
      </c>
      <c r="E102" s="3350"/>
      <c r="F102" s="3307"/>
      <c r="G102" s="1687" t="s">
        <v>1434</v>
      </c>
      <c r="H102" s="2341" t="e">
        <f ca="1">I118</f>
        <v>#REF!</v>
      </c>
      <c r="I102" s="121"/>
    </row>
    <row r="103" spans="1:35" ht="42.75" customHeight="1">
      <c r="A103" s="3309"/>
      <c r="B103" s="2370" t="s">
        <v>1434</v>
      </c>
      <c r="C103" s="2373" t="e">
        <f ca="1">C20</f>
        <v>#REF!</v>
      </c>
      <c r="D103" s="2374" t="e">
        <f ca="1">D20</f>
        <v>#REF!</v>
      </c>
      <c r="E103" s="3344" t="s">
        <v>1435</v>
      </c>
      <c r="F103" s="3345"/>
      <c r="G103" s="1688" t="s">
        <v>1436</v>
      </c>
      <c r="H103" s="2381">
        <f>IF(D36="正常操作",H104+H105+H106,H105+H106)</f>
        <v>0</v>
      </c>
      <c r="I103" s="121"/>
    </row>
    <row r="104" spans="1:35" ht="18.75" customHeight="1">
      <c r="A104" s="330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307"/>
      <c r="G107" s="1687" t="s">
        <v>1432</v>
      </c>
      <c r="H107" s="2381" t="e">
        <f ca="1">IF(E107="——","——",H101-H103)</f>
        <v>#REF!</v>
      </c>
      <c r="I107" s="121"/>
    </row>
    <row r="108" spans="1:35" ht="18.75" customHeight="1">
      <c r="A108" s="121"/>
      <c r="B108" s="121"/>
      <c r="C108" s="121"/>
      <c r="D108" s="121"/>
      <c r="E108" s="3306"/>
      <c r="F108" s="3307"/>
      <c r="G108" s="1687" t="s">
        <v>1434</v>
      </c>
      <c r="H108" s="2341">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4" t="str">
        <f>IF(E109="——","——",H101-H105-H106)</f>
        <v>——</v>
      </c>
      <c r="I109" s="121"/>
    </row>
    <row r="110" spans="1:35" ht="18.75" customHeight="1">
      <c r="A110" s="121"/>
      <c r="B110" s="121"/>
      <c r="C110" s="121"/>
      <c r="D110" s="121"/>
      <c r="E110" s="3306"/>
      <c r="F110" s="3307"/>
      <c r="G110" s="1687" t="s">
        <v>1434</v>
      </c>
      <c r="H110" s="2341"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39"/>
      <c r="F112" s="3340"/>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7" t="s">
        <v>1591</v>
      </c>
    </row>
    <row r="43" spans="1:7" ht="13.5" customHeight="1">
      <c r="A43" s="734" t="s">
        <v>347</v>
      </c>
      <c r="B43" s="207" t="s">
        <v>1545</v>
      </c>
      <c r="C43" s="230">
        <f ca="1">ROUND(IF('数据-取费表'!B22&lt;=1,C39*F22*'数据-取费表'!B20/2,C39*(POWER((1+F22),'数据-取费表'!B20/2)-1)),0)</f>
        <v>0</v>
      </c>
      <c r="D43" s="230"/>
      <c r="E43" s="230"/>
      <c r="F43" s="231"/>
      <c r="G43" s="3358"/>
    </row>
    <row r="44" spans="1:7" ht="13.5" customHeight="1">
      <c r="A44" s="734" t="s">
        <v>348</v>
      </c>
      <c r="B44" s="207" t="s">
        <v>1546</v>
      </c>
      <c r="C44" s="230">
        <f ca="1">ROUND(IF('数据-取费表'!B22&lt;=1,C40*F22*'数据-取费表'!B20/2,C40*(POWER((1+F22),'数据-取费表'!B20/2)-1)),4)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1" t="s">
        <v>2317</v>
      </c>
      <c r="K2" s="3372"/>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3" t="s">
        <v>2327</v>
      </c>
      <c r="K3" s="3374"/>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3" t="s">
        <v>2329</v>
      </c>
      <c r="K4" s="3374"/>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9" t="s">
        <v>2333</v>
      </c>
      <c r="B6" s="3380"/>
      <c r="C6" s="3381"/>
      <c r="D6" s="2622"/>
      <c r="E6" s="2623"/>
      <c r="F6" s="2624"/>
      <c r="G6" s="2625"/>
      <c r="H6" s="2600"/>
      <c r="I6" s="2601"/>
      <c r="J6" s="3365">
        <v>1</v>
      </c>
      <c r="K6" s="336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5"/>
      <c r="K7" s="336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2" t="s">
        <v>2347</v>
      </c>
      <c r="C8" s="3383"/>
      <c r="D8" s="2641" t="s">
        <v>2348</v>
      </c>
      <c r="E8" s="2642" t="s">
        <v>2349</v>
      </c>
      <c r="F8" s="2643" t="s">
        <v>2350</v>
      </c>
      <c r="G8" s="2644"/>
      <c r="H8" s="2600"/>
      <c r="I8" s="2601"/>
      <c r="J8" s="3365"/>
      <c r="K8" s="336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2" t="s">
        <v>2353</v>
      </c>
      <c r="C9" s="3383"/>
      <c r="D9" s="2641">
        <f>ROUND(D6*E9,0)</f>
        <v>0</v>
      </c>
      <c r="E9" s="2645"/>
      <c r="F9" s="2646" t="s">
        <v>2354</v>
      </c>
      <c r="G9" s="2625"/>
      <c r="H9" s="2600"/>
      <c r="I9" s="2601"/>
      <c r="J9" s="3365"/>
      <c r="K9" s="3367"/>
      <c r="L9" s="2635" t="s">
        <v>2355</v>
      </c>
      <c r="M9" s="2636"/>
      <c r="N9" s="2612"/>
      <c r="O9" s="2637"/>
      <c r="P9" s="2637"/>
      <c r="Q9" s="2638">
        <v>365</v>
      </c>
      <c r="R9" s="2639">
        <f t="shared" si="0"/>
        <v>0</v>
      </c>
      <c r="S9" s="2593"/>
      <c r="T9" s="2593"/>
      <c r="U9" s="2593"/>
      <c r="V9" s="2601"/>
    </row>
    <row r="10" spans="1:22" s="2605" customFormat="1" ht="13.15" customHeight="1">
      <c r="A10" s="2640">
        <v>2</v>
      </c>
      <c r="B10" s="3382" t="s">
        <v>2356</v>
      </c>
      <c r="C10" s="3383"/>
      <c r="D10" s="2641">
        <f>ROUND(D6*E10,0)</f>
        <v>0</v>
      </c>
      <c r="E10" s="2645"/>
      <c r="F10" s="2646" t="s">
        <v>2357</v>
      </c>
      <c r="G10" s="2625"/>
      <c r="H10" s="2600"/>
      <c r="I10" s="2601"/>
      <c r="J10" s="3365"/>
      <c r="K10" s="3367"/>
      <c r="L10" s="2635" t="s">
        <v>2358</v>
      </c>
      <c r="M10" s="2636"/>
      <c r="N10" s="2612"/>
      <c r="O10" s="2637"/>
      <c r="P10" s="2637"/>
      <c r="Q10" s="2638">
        <v>365</v>
      </c>
      <c r="R10" s="2639">
        <f t="shared" si="0"/>
        <v>0</v>
      </c>
      <c r="S10" s="2593"/>
      <c r="T10" s="2593"/>
      <c r="U10" s="2593"/>
      <c r="V10" s="2601"/>
    </row>
    <row r="11" spans="1:22" s="2605" customFormat="1" ht="13.15" customHeight="1">
      <c r="A11" s="2640">
        <v>3</v>
      </c>
      <c r="B11" s="3382" t="s">
        <v>2359</v>
      </c>
      <c r="C11" s="3383"/>
      <c r="D11" s="2641">
        <f>D12+D14+D15+D16</f>
        <v>0</v>
      </c>
      <c r="E11" s="2647" t="e">
        <f>D11/D6</f>
        <v>#DIV/0!</v>
      </c>
      <c r="F11" s="2643"/>
      <c r="G11" s="2644"/>
      <c r="H11" s="2600"/>
      <c r="I11" s="2601"/>
      <c r="J11" s="3365"/>
      <c r="K11" s="336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5" t="s">
        <v>2362</v>
      </c>
      <c r="C12" s="3376"/>
      <c r="D12" s="2649">
        <f>ROUND(D13*1.2%*(1-30%),0)</f>
        <v>0</v>
      </c>
      <c r="E12" s="2650">
        <v>1.2E-2</v>
      </c>
      <c r="F12" s="2643" t="s">
        <v>2363</v>
      </c>
      <c r="G12" s="2644"/>
      <c r="H12" s="2600"/>
      <c r="I12" s="2601"/>
      <c r="J12" s="3365"/>
      <c r="K12" s="336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5"/>
      <c r="K13" s="336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5" t="s">
        <v>2368</v>
      </c>
      <c r="C14" s="3376"/>
      <c r="D14" s="2649">
        <f>ROUND(E14*B5/10000,0)</f>
        <v>0</v>
      </c>
      <c r="E14" s="2638"/>
      <c r="F14" s="2643" t="s">
        <v>2369</v>
      </c>
      <c r="G14" s="2644"/>
      <c r="H14" s="2600"/>
      <c r="I14" s="2601"/>
      <c r="J14" s="3365"/>
      <c r="K14" s="336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5" t="s">
        <v>2372</v>
      </c>
      <c r="C15" s="3376"/>
      <c r="D15" s="2649">
        <f>ROUND(D6*E15,0)</f>
        <v>0</v>
      </c>
      <c r="E15" s="2650">
        <v>5.5E-2</v>
      </c>
      <c r="F15" s="2643" t="s">
        <v>2373</v>
      </c>
      <c r="G15" s="2625"/>
      <c r="H15" s="2600"/>
      <c r="I15" s="2601"/>
      <c r="J15" s="3365">
        <v>2</v>
      </c>
      <c r="K15" s="336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5" t="s">
        <v>2381</v>
      </c>
      <c r="C16" s="3376"/>
      <c r="D16" s="2660">
        <f>D6*E16</f>
        <v>0</v>
      </c>
      <c r="E16" s="2661"/>
      <c r="F16" s="2646" t="s">
        <v>2382</v>
      </c>
      <c r="G16" s="2625"/>
      <c r="H16" s="2600"/>
      <c r="I16" s="2601"/>
      <c r="J16" s="3365"/>
      <c r="K16" s="336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2384</v>
      </c>
      <c r="C17" s="3378"/>
      <c r="D17" s="2663">
        <f>ROUND(D6*E17,0)</f>
        <v>0</v>
      </c>
      <c r="E17" s="2664"/>
      <c r="F17" s="2665" t="s">
        <v>2385</v>
      </c>
      <c r="G17" s="2625"/>
      <c r="H17" s="2600"/>
      <c r="I17" s="2601"/>
      <c r="J17" s="3365"/>
      <c r="K17" s="336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5"/>
      <c r="K18" s="336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5"/>
      <c r="K19" s="336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5"/>
      <c r="K21" s="336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5"/>
      <c r="K22" s="336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5"/>
      <c r="K23" s="336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5"/>
      <c r="K24" s="336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1" t="s">
        <v>2317</v>
      </c>
      <c r="K32" s="3372"/>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3" t="s">
        <v>2327</v>
      </c>
      <c r="K33" s="3374"/>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3" t="s">
        <v>2329</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5">
        <v>1</v>
      </c>
      <c r="K36" s="336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5"/>
      <c r="K40" s="336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4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00" t="str">
        <f>A49</f>
        <v>比较价值（元/平方米）</v>
      </c>
      <c r="Q49" s="3389"/>
      <c r="R49" s="3390" t="e">
        <f>IF(F1="售价",ROUND(PRODUCT(R48,AA7:AA47),0),ROUND(PRODUCT(R48,AA7:AA47),1))</f>
        <v>#N/A</v>
      </c>
      <c r="S49" s="3390"/>
      <c r="T49" s="3390" t="e">
        <f>IF(F1="售价",ROUND(PRODUCT(T48,AB7:AB47),0),ROUND(PRODUCT(T48,AB7:AB47),1))</f>
        <v>#N/A</v>
      </c>
      <c r="U49" s="3390"/>
      <c r="V49" s="3390" t="e">
        <f>IF(F1="售价",ROUND(PRODUCT(V48,AC7:AC47),0),ROUND(PRODUCT(V48,AC7:AC47),1))</f>
        <v>#N/A</v>
      </c>
      <c r="W49" s="3390"/>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#N/A</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9" t="str">
        <f>A42</f>
        <v>比较价值（元/平方米）</v>
      </c>
      <c r="Q42" s="3389"/>
      <c r="R42" s="3390" t="e">
        <f>IF(F1="售价",ROUND(PRODUCT(R41,AA7:AA40),0),ROUND(PRODUCT(R41,AA7:AA40),1))</f>
        <v>#N/A</v>
      </c>
      <c r="S42" s="3390"/>
      <c r="T42" s="3390" t="e">
        <f>IF(F1="售价",ROUND(PRODUCT(T41,AB7:AB40),0),ROUND(PRODUCT(T41,AB7:AB40),1))</f>
        <v>#N/A</v>
      </c>
      <c r="U42" s="3390"/>
      <c r="V42" s="3390" t="e">
        <f>IF(F1="售价",ROUND(PRODUCT(V41,AC7:AC40),0),ROUND(PRODUCT(V41,AC7:AC40),1))</f>
        <v>#N/A</v>
      </c>
      <c r="W42" s="3390"/>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#N/A</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89" t="str">
        <f>A36</f>
        <v>比较价值（元/平方米）</v>
      </c>
      <c r="Q36" s="3389"/>
      <c r="R36" s="3390" t="e">
        <f>IF(F1="售价",ROUND(PRODUCT(R35,AA7:AA34),0),ROUND(PRODUCT(R35,AA7:AA34),1))</f>
        <v>#N/A</v>
      </c>
      <c r="S36" s="3390"/>
      <c r="T36" s="3390" t="e">
        <f>IF(F1="售价",ROUND(PRODUCT(T35,AB7:AB34),0),ROUND(PRODUCT(T35,AB7:AB34),1))</f>
        <v>#N/A</v>
      </c>
      <c r="U36" s="3390"/>
      <c r="V36" s="3390" t="e">
        <f>IF(F1="售价",ROUND(PRODUCT(V35,AC7:AC34),0),ROUND(PRODUCT(V35,AC7:AC34),1))</f>
        <v>#N/A</v>
      </c>
      <c r="W36" s="3390"/>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#N/A</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3254</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3292</v>
      </c>
      <c r="B103" s="3474"/>
      <c r="C103" s="3474"/>
      <c r="D103" s="3474"/>
      <c r="E103" s="3474"/>
      <c r="F103" s="3474"/>
      <c r="G103" s="3474"/>
      <c r="H103" s="3474"/>
      <c r="I103" s="3474"/>
      <c r="J103" s="3474"/>
      <c r="K103" s="1667"/>
      <c r="L103" s="1667"/>
      <c r="M103" s="1667"/>
      <c r="N103" s="1667"/>
    </row>
    <row r="104" spans="1:14">
      <c r="A104" s="3475" t="s">
        <v>3293</v>
      </c>
      <c r="B104" s="3475" t="s">
        <v>3294</v>
      </c>
      <c r="C104" s="3091" t="s">
        <v>3295</v>
      </c>
      <c r="D104" s="3092"/>
      <c r="E104" s="3092"/>
      <c r="F104" s="3092"/>
      <c r="G104" s="3092"/>
      <c r="H104" s="3092"/>
      <c r="I104" s="3092"/>
      <c r="J104" s="3093"/>
      <c r="K104" s="3094"/>
      <c r="L104" s="3094"/>
      <c r="M104" s="3094"/>
      <c r="N104" s="3094"/>
    </row>
    <row r="105" spans="1:14">
      <c r="A105" s="3475"/>
      <c r="B105" s="34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3309</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1" t="s">
        <v>2607</v>
      </c>
      <c r="B20" s="3484" t="s">
        <v>2628</v>
      </c>
      <c r="C20" s="3169" t="s">
        <v>2439</v>
      </c>
      <c r="D20" s="3169"/>
      <c r="E20" s="2845">
        <v>1</v>
      </c>
      <c r="F20" s="2846" t="s">
        <v>2440</v>
      </c>
      <c r="G20" s="2846"/>
    </row>
    <row r="21" spans="1:13" ht="19.5" customHeight="1">
      <c r="A21" s="3492"/>
      <c r="B21" s="3480"/>
      <c r="C21" s="2858" t="s">
        <v>2441</v>
      </c>
      <c r="D21" s="2858"/>
      <c r="E21" s="2849">
        <v>1</v>
      </c>
      <c r="F21" s="2846" t="s">
        <v>2442</v>
      </c>
      <c r="G21" s="2846"/>
    </row>
    <row r="22" spans="1:13" ht="19.5" customHeight="1">
      <c r="A22" s="3492"/>
      <c r="B22" s="3480"/>
      <c r="C22" s="2858" t="s">
        <v>2443</v>
      </c>
      <c r="D22" s="2858"/>
      <c r="E22" s="2849">
        <v>0.9</v>
      </c>
      <c r="F22" s="2846" t="s">
        <v>2444</v>
      </c>
      <c r="G22" s="2846"/>
    </row>
    <row r="23" spans="1:13" ht="19.5" customHeight="1">
      <c r="A23" s="3492"/>
      <c r="B23" s="3480"/>
      <c r="C23" s="2858" t="s">
        <v>2445</v>
      </c>
      <c r="D23" s="2858"/>
      <c r="E23" s="2849">
        <v>0.9</v>
      </c>
      <c r="F23" s="2846" t="s">
        <v>2446</v>
      </c>
      <c r="G23" s="2846"/>
    </row>
    <row r="24" spans="1:13" ht="19.5" customHeight="1">
      <c r="A24" s="3492"/>
      <c r="B24" s="3480"/>
      <c r="C24" s="2858" t="s">
        <v>2447</v>
      </c>
      <c r="D24" s="2858"/>
      <c r="E24" s="2849">
        <v>0.8</v>
      </c>
      <c r="F24" s="2846" t="s">
        <v>2448</v>
      </c>
      <c r="G24" s="2846"/>
    </row>
    <row r="25" spans="1:13" ht="19.5" customHeight="1">
      <c r="A25" s="3492"/>
      <c r="B25" s="3480"/>
      <c r="C25" s="2858" t="s">
        <v>2449</v>
      </c>
      <c r="D25" s="2858"/>
      <c r="E25" s="2849">
        <v>0.8</v>
      </c>
      <c r="F25" s="2846"/>
      <c r="G25" s="2846"/>
    </row>
    <row r="26" spans="1:13" ht="19.5" customHeight="1">
      <c r="A26" s="3492"/>
      <c r="B26" s="3480"/>
      <c r="C26" s="2858" t="s">
        <v>3407</v>
      </c>
      <c r="D26" s="2858"/>
      <c r="E26" s="2849">
        <v>0.43</v>
      </c>
      <c r="F26" s="2846"/>
      <c r="G26" s="2846"/>
    </row>
    <row r="27" spans="1:13" ht="19.5" customHeight="1" thickBot="1">
      <c r="A27" s="3493"/>
      <c r="B27" s="3485"/>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6" t="s">
        <v>2631</v>
      </c>
      <c r="B29" s="3489" t="s">
        <v>2612</v>
      </c>
      <c r="C29" s="2843" t="s">
        <v>2452</v>
      </c>
      <c r="D29" s="2844"/>
      <c r="E29" s="2845">
        <v>1</v>
      </c>
      <c r="F29" s="2846" t="s">
        <v>2453</v>
      </c>
      <c r="G29" s="2846"/>
    </row>
    <row r="30" spans="1:13" ht="19.5" customHeight="1">
      <c r="A30" s="3487"/>
      <c r="B30" s="3483"/>
      <c r="C30" s="2847" t="s">
        <v>2454</v>
      </c>
      <c r="D30" s="2848"/>
      <c r="E30" s="2849">
        <v>1</v>
      </c>
      <c r="F30" s="2846" t="s">
        <v>2455</v>
      </c>
      <c r="G30" s="2846"/>
    </row>
    <row r="31" spans="1:13" ht="19.5" customHeight="1">
      <c r="A31" s="3487"/>
      <c r="B31" s="3483"/>
      <c r="C31" s="2847" t="s">
        <v>2456</v>
      </c>
      <c r="D31" s="2848"/>
      <c r="E31" s="2849">
        <v>0.8</v>
      </c>
      <c r="F31" s="2846" t="s">
        <v>2457</v>
      </c>
      <c r="G31" s="2846"/>
    </row>
    <row r="32" spans="1:13" ht="19.5" customHeight="1">
      <c r="A32" s="3487"/>
      <c r="B32" s="3483"/>
      <c r="C32" s="2847" t="s">
        <v>2458</v>
      </c>
      <c r="D32" s="2848"/>
      <c r="E32" s="2849">
        <v>0.8</v>
      </c>
      <c r="F32" s="2846" t="s">
        <v>2459</v>
      </c>
      <c r="G32" s="2846"/>
    </row>
    <row r="33" spans="1:7" ht="19.5" customHeight="1">
      <c r="A33" s="3487"/>
      <c r="B33" s="3483"/>
      <c r="C33" s="2847" t="s">
        <v>2460</v>
      </c>
      <c r="D33" s="2848"/>
      <c r="E33" s="2849">
        <v>0.8</v>
      </c>
      <c r="F33" s="2846" t="s">
        <v>2461</v>
      </c>
      <c r="G33" s="2846"/>
    </row>
    <row r="34" spans="1:7" ht="19.5" customHeight="1">
      <c r="A34" s="3487"/>
      <c r="B34" s="3483"/>
      <c r="C34" s="2847" t="s">
        <v>2462</v>
      </c>
      <c r="D34" s="2848"/>
      <c r="E34" s="2849">
        <v>0.7</v>
      </c>
      <c r="F34" s="2846" t="s">
        <v>2463</v>
      </c>
      <c r="G34" s="2846"/>
    </row>
    <row r="35" spans="1:7" ht="19.5" customHeight="1">
      <c r="A35" s="3487"/>
      <c r="B35" s="3483"/>
      <c r="C35" s="2847" t="s">
        <v>2464</v>
      </c>
      <c r="D35" s="2848"/>
      <c r="E35" s="2849">
        <v>0.8</v>
      </c>
      <c r="F35" s="2846" t="s">
        <v>2465</v>
      </c>
      <c r="G35" s="2846"/>
    </row>
    <row r="36" spans="1:7" ht="19.5" customHeight="1">
      <c r="A36" s="3487"/>
      <c r="B36" s="3483"/>
      <c r="C36" s="2847" t="s">
        <v>2466</v>
      </c>
      <c r="D36" s="2848"/>
      <c r="E36" s="2849">
        <v>0.6</v>
      </c>
      <c r="F36" s="2846" t="s">
        <v>2467</v>
      </c>
      <c r="G36" s="2846"/>
    </row>
    <row r="37" spans="1:7" ht="19.5" customHeight="1">
      <c r="A37" s="3487"/>
      <c r="B37" s="3483"/>
      <c r="C37" s="2847" t="s">
        <v>2468</v>
      </c>
      <c r="D37" s="2848"/>
      <c r="E37" s="2849">
        <v>0.2</v>
      </c>
      <c r="F37" s="2846" t="s">
        <v>2469</v>
      </c>
      <c r="G37" s="2846"/>
    </row>
    <row r="38" spans="1:7" ht="19.5" customHeight="1">
      <c r="A38" s="3487"/>
      <c r="B38" s="3483"/>
      <c r="C38" s="2847" t="s">
        <v>2470</v>
      </c>
      <c r="D38" s="2848"/>
      <c r="E38" s="2849">
        <v>0.2</v>
      </c>
      <c r="F38" s="2846" t="s">
        <v>2471</v>
      </c>
      <c r="G38" s="2846"/>
    </row>
    <row r="39" spans="1:7" ht="19.5" customHeight="1">
      <c r="A39" s="3487"/>
      <c r="B39" s="3481" t="s">
        <v>2632</v>
      </c>
      <c r="C39" s="2847" t="s">
        <v>2472</v>
      </c>
      <c r="D39" s="2848"/>
      <c r="E39" s="2849">
        <v>0.6</v>
      </c>
      <c r="F39" s="2846" t="s">
        <v>2473</v>
      </c>
      <c r="G39" s="2846"/>
    </row>
    <row r="40" spans="1:7" ht="19.5" customHeight="1">
      <c r="A40" s="3487"/>
      <c r="B40" s="3483"/>
      <c r="C40" s="2847" t="s">
        <v>2474</v>
      </c>
      <c r="D40" s="2848"/>
      <c r="E40" s="2849">
        <v>0.6</v>
      </c>
      <c r="F40" s="2846" t="s">
        <v>2475</v>
      </c>
      <c r="G40" s="2846"/>
    </row>
    <row r="41" spans="1:7" ht="19.5" customHeight="1" thickBot="1">
      <c r="A41" s="3488"/>
      <c r="B41" s="3490"/>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1" t="s">
        <v>2610</v>
      </c>
      <c r="B43" s="3489" t="s">
        <v>2634</v>
      </c>
      <c r="C43" s="2843" t="s">
        <v>2479</v>
      </c>
      <c r="D43" s="2844"/>
      <c r="E43" s="2845">
        <v>1</v>
      </c>
      <c r="F43" s="2846" t="s">
        <v>2480</v>
      </c>
      <c r="G43" s="2846"/>
    </row>
    <row r="44" spans="1:7" ht="19.5" customHeight="1">
      <c r="A44" s="3492"/>
      <c r="B44" s="3483"/>
      <c r="C44" s="2847" t="s">
        <v>2481</v>
      </c>
      <c r="D44" s="2848"/>
      <c r="E44" s="2849">
        <v>1</v>
      </c>
      <c r="F44" s="2846" t="s">
        <v>2482</v>
      </c>
      <c r="G44" s="2846"/>
    </row>
    <row r="45" spans="1:7" ht="19.5" customHeight="1">
      <c r="A45" s="3492"/>
      <c r="B45" s="3482"/>
      <c r="C45" s="2847" t="s">
        <v>2483</v>
      </c>
      <c r="D45" s="2848"/>
      <c r="E45" s="2849">
        <v>1.5</v>
      </c>
      <c r="F45" s="2846" t="s">
        <v>2484</v>
      </c>
      <c r="G45" s="2846"/>
    </row>
    <row r="46" spans="1:7" ht="19.5" customHeight="1">
      <c r="A46" s="3492"/>
      <c r="B46" s="2858" t="s">
        <v>2635</v>
      </c>
      <c r="C46" s="2847" t="s">
        <v>2636</v>
      </c>
      <c r="D46" s="2848"/>
      <c r="E46" s="2849">
        <v>2</v>
      </c>
      <c r="F46" s="2846" t="s">
        <v>2485</v>
      </c>
      <c r="G46" s="2846"/>
    </row>
    <row r="47" spans="1:7" ht="19.5" customHeight="1">
      <c r="A47" s="3492"/>
      <c r="B47" s="3481" t="s">
        <v>2637</v>
      </c>
      <c r="C47" s="2847" t="s">
        <v>2486</v>
      </c>
      <c r="D47" s="2848"/>
      <c r="E47" s="2849">
        <v>1</v>
      </c>
      <c r="F47" s="2846" t="s">
        <v>2487</v>
      </c>
      <c r="G47" s="2846"/>
    </row>
    <row r="48" spans="1:7" ht="19.5" customHeight="1">
      <c r="A48" s="3492"/>
      <c r="B48" s="3483"/>
      <c r="C48" s="2847" t="s">
        <v>2488</v>
      </c>
      <c r="D48" s="2848"/>
      <c r="E48" s="2849">
        <v>1</v>
      </c>
      <c r="F48" s="2846" t="s">
        <v>2489</v>
      </c>
      <c r="G48" s="2846"/>
    </row>
    <row r="49" spans="1:7" ht="19.5" customHeight="1">
      <c r="A49" s="3492"/>
      <c r="B49" s="3483"/>
      <c r="C49" s="2847" t="s">
        <v>2490</v>
      </c>
      <c r="D49" s="2848"/>
      <c r="E49" s="2849">
        <v>1</v>
      </c>
      <c r="F49" s="2846" t="s">
        <v>2491</v>
      </c>
      <c r="G49" s="2846"/>
    </row>
    <row r="50" spans="1:7" ht="19.5" customHeight="1">
      <c r="A50" s="3492"/>
      <c r="B50" s="3483"/>
      <c r="C50" s="2847" t="s">
        <v>2492</v>
      </c>
      <c r="D50" s="2848"/>
      <c r="E50" s="2849">
        <v>1</v>
      </c>
      <c r="F50" s="2846" t="s">
        <v>2493</v>
      </c>
      <c r="G50" s="2846"/>
    </row>
    <row r="51" spans="1:7" ht="19.5" customHeight="1">
      <c r="A51" s="3492"/>
      <c r="B51" s="3483"/>
      <c r="C51" s="2847" t="s">
        <v>2494</v>
      </c>
      <c r="D51" s="2848"/>
      <c r="E51" s="2849">
        <v>1</v>
      </c>
      <c r="F51" s="2846" t="s">
        <v>2495</v>
      </c>
      <c r="G51" s="2846"/>
    </row>
    <row r="52" spans="1:7" ht="19.5" customHeight="1">
      <c r="A52" s="3492"/>
      <c r="B52" s="3483"/>
      <c r="C52" s="2847" t="s">
        <v>2496</v>
      </c>
      <c r="D52" s="2848"/>
      <c r="E52" s="2849">
        <v>1</v>
      </c>
      <c r="F52" s="2846" t="s">
        <v>2497</v>
      </c>
      <c r="G52" s="2846"/>
    </row>
    <row r="53" spans="1:7" ht="19.5" customHeight="1" thickBot="1">
      <c r="A53" s="3493"/>
      <c r="B53" s="3490"/>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1" t="s">
        <v>2651</v>
      </c>
      <c r="C75" s="2832" t="s">
        <v>2652</v>
      </c>
      <c r="D75" s="2832" t="s">
        <v>2653</v>
      </c>
      <c r="E75" s="2858">
        <v>0.2</v>
      </c>
      <c r="F75" s="2858">
        <v>25</v>
      </c>
    </row>
    <row r="76" spans="1:7" ht="24">
      <c r="A76" s="2858">
        <v>2</v>
      </c>
      <c r="B76" s="3483"/>
      <c r="C76" s="2832" t="s">
        <v>2654</v>
      </c>
      <c r="D76" s="2832" t="s">
        <v>2655</v>
      </c>
      <c r="E76" s="2858">
        <v>0.2</v>
      </c>
      <c r="F76" s="2858">
        <v>25</v>
      </c>
    </row>
    <row r="77" spans="1:7" ht="24">
      <c r="A77" s="2858">
        <v>3</v>
      </c>
      <c r="B77" s="3483"/>
      <c r="C77" s="2832" t="s">
        <v>2656</v>
      </c>
      <c r="D77" s="2832" t="s">
        <v>2657</v>
      </c>
      <c r="E77" s="2858">
        <v>0.2</v>
      </c>
      <c r="F77" s="2858">
        <v>25</v>
      </c>
    </row>
    <row r="78" spans="1:7" ht="13.5">
      <c r="A78" s="2858">
        <v>4</v>
      </c>
      <c r="B78" s="3483"/>
      <c r="C78" s="2832" t="s">
        <v>2658</v>
      </c>
      <c r="D78" s="2832" t="s">
        <v>2659</v>
      </c>
      <c r="E78" s="2858">
        <v>0.15</v>
      </c>
      <c r="F78" s="2858">
        <v>20</v>
      </c>
    </row>
    <row r="79" spans="1:7" ht="24">
      <c r="A79" s="2858">
        <v>5</v>
      </c>
      <c r="B79" s="3483"/>
      <c r="C79" s="2832" t="s">
        <v>2660</v>
      </c>
      <c r="D79" s="2832" t="s">
        <v>2661</v>
      </c>
      <c r="E79" s="2858">
        <v>0.15</v>
      </c>
      <c r="F79" s="2858">
        <v>20</v>
      </c>
    </row>
    <row r="80" spans="1:7" ht="24">
      <c r="A80" s="2858">
        <v>6</v>
      </c>
      <c r="B80" s="3483"/>
      <c r="C80" s="2832" t="s">
        <v>2662</v>
      </c>
      <c r="D80" s="2832" t="s">
        <v>2663</v>
      </c>
      <c r="E80" s="2858">
        <v>0.15</v>
      </c>
      <c r="F80" s="2858">
        <v>20</v>
      </c>
    </row>
    <row r="81" spans="1:6" ht="24">
      <c r="A81" s="2858">
        <v>7</v>
      </c>
      <c r="B81" s="3483"/>
      <c r="C81" s="2832" t="s">
        <v>2664</v>
      </c>
      <c r="D81" s="2832" t="s">
        <v>2665</v>
      </c>
      <c r="E81" s="2858">
        <v>0.15</v>
      </c>
      <c r="F81" s="2858">
        <v>20</v>
      </c>
    </row>
    <row r="82" spans="1:6" ht="24">
      <c r="A82" s="2858">
        <v>8</v>
      </c>
      <c r="B82" s="3483"/>
      <c r="C82" s="2832" t="s">
        <v>2666</v>
      </c>
      <c r="D82" s="2832" t="s">
        <v>2667</v>
      </c>
      <c r="E82" s="2858">
        <v>0.1</v>
      </c>
      <c r="F82" s="2858">
        <v>15</v>
      </c>
    </row>
    <row r="83" spans="1:6" ht="24">
      <c r="A83" s="2858">
        <v>9</v>
      </c>
      <c r="B83" s="3483"/>
      <c r="C83" s="2832" t="s">
        <v>2668</v>
      </c>
      <c r="D83" s="2832" t="s">
        <v>2669</v>
      </c>
      <c r="E83" s="2858">
        <v>0.1</v>
      </c>
      <c r="F83" s="2858">
        <v>15</v>
      </c>
    </row>
    <row r="84" spans="1:6" ht="24">
      <c r="A84" s="2858">
        <v>10</v>
      </c>
      <c r="B84" s="3483"/>
      <c r="C84" s="2832" t="s">
        <v>2670</v>
      </c>
      <c r="D84" s="2832" t="s">
        <v>2671</v>
      </c>
      <c r="E84" s="2858">
        <v>0.1</v>
      </c>
      <c r="F84" s="2858">
        <v>15</v>
      </c>
    </row>
    <row r="85" spans="1:6" ht="24">
      <c r="A85" s="2858">
        <v>11</v>
      </c>
      <c r="B85" s="3483"/>
      <c r="C85" s="2832" t="s">
        <v>2672</v>
      </c>
      <c r="D85" s="2832" t="s">
        <v>2673</v>
      </c>
      <c r="E85" s="2858">
        <v>0.1</v>
      </c>
      <c r="F85" s="2858">
        <v>15</v>
      </c>
    </row>
    <row r="86" spans="1:6" ht="24">
      <c r="A86" s="2858">
        <v>12</v>
      </c>
      <c r="B86" s="3483"/>
      <c r="C86" s="2832" t="s">
        <v>2674</v>
      </c>
      <c r="D86" s="2832" t="s">
        <v>2675</v>
      </c>
      <c r="E86" s="2858">
        <v>0.1</v>
      </c>
      <c r="F86" s="2858">
        <v>15</v>
      </c>
    </row>
    <row r="87" spans="1:6" ht="13.5">
      <c r="A87" s="2858">
        <v>13</v>
      </c>
      <c r="B87" s="3483"/>
      <c r="C87" s="2832" t="s">
        <v>2676</v>
      </c>
      <c r="D87" s="2832" t="s">
        <v>2677</v>
      </c>
      <c r="E87" s="2858">
        <v>0.1</v>
      </c>
      <c r="F87" s="2858">
        <v>15</v>
      </c>
    </row>
    <row r="88" spans="1:6" ht="13.5">
      <c r="A88" s="2858">
        <v>14</v>
      </c>
      <c r="B88" s="3483"/>
      <c r="C88" s="2832" t="s">
        <v>2678</v>
      </c>
      <c r="D88" s="2832" t="s">
        <v>2679</v>
      </c>
      <c r="E88" s="2858">
        <v>0.1</v>
      </c>
      <c r="F88" s="2858">
        <v>15</v>
      </c>
    </row>
    <row r="89" spans="1:6" ht="13.5">
      <c r="A89" s="2858">
        <v>15</v>
      </c>
      <c r="B89" s="3483"/>
      <c r="C89" s="2832" t="s">
        <v>2680</v>
      </c>
      <c r="D89" s="2832" t="s">
        <v>2681</v>
      </c>
      <c r="E89" s="2858">
        <v>0.1</v>
      </c>
      <c r="F89" s="2858">
        <v>15</v>
      </c>
    </row>
    <row r="90" spans="1:6" ht="24">
      <c r="A90" s="2858">
        <v>16</v>
      </c>
      <c r="B90" s="3483"/>
      <c r="C90" s="2832" t="s">
        <v>2682</v>
      </c>
      <c r="D90" s="2832" t="s">
        <v>2683</v>
      </c>
      <c r="E90" s="2858">
        <v>0.1</v>
      </c>
      <c r="F90" s="2858">
        <v>15</v>
      </c>
    </row>
    <row r="91" spans="1:6" ht="24">
      <c r="A91" s="2858">
        <v>17</v>
      </c>
      <c r="B91" s="3482"/>
      <c r="C91" s="2832" t="s">
        <v>2684</v>
      </c>
      <c r="D91" s="2832" t="s">
        <v>2685</v>
      </c>
      <c r="E91" s="2858">
        <v>0.1</v>
      </c>
      <c r="F91" s="2858">
        <v>15</v>
      </c>
    </row>
    <row r="92" spans="1:6" ht="13.5">
      <c r="A92" s="2858">
        <v>18</v>
      </c>
      <c r="B92" s="3481" t="s">
        <v>2686</v>
      </c>
      <c r="C92" s="2832" t="s">
        <v>2687</v>
      </c>
      <c r="D92" s="2832" t="s">
        <v>2688</v>
      </c>
      <c r="E92" s="2858">
        <v>0.2</v>
      </c>
      <c r="F92" s="2858">
        <v>25</v>
      </c>
    </row>
    <row r="93" spans="1:6" ht="24">
      <c r="A93" s="2858">
        <v>19</v>
      </c>
      <c r="B93" s="3483"/>
      <c r="C93" s="2832" t="s">
        <v>2689</v>
      </c>
      <c r="D93" s="2832" t="s">
        <v>2690</v>
      </c>
      <c r="E93" s="2858">
        <v>0.2</v>
      </c>
      <c r="F93" s="2858">
        <v>25</v>
      </c>
    </row>
    <row r="94" spans="1:6" ht="13.5">
      <c r="A94" s="2858">
        <v>20</v>
      </c>
      <c r="B94" s="3483"/>
      <c r="C94" s="2832" t="s">
        <v>2691</v>
      </c>
      <c r="D94" s="2832" t="s">
        <v>2692</v>
      </c>
      <c r="E94" s="2858">
        <v>0.15</v>
      </c>
      <c r="F94" s="2858">
        <v>20</v>
      </c>
    </row>
    <row r="95" spans="1:6" ht="13.5">
      <c r="A95" s="2858">
        <v>21</v>
      </c>
      <c r="B95" s="3483"/>
      <c r="C95" s="2832" t="s">
        <v>2693</v>
      </c>
      <c r="D95" s="2832" t="s">
        <v>2694</v>
      </c>
      <c r="E95" s="2858">
        <v>0.15</v>
      </c>
      <c r="F95" s="2858">
        <v>20</v>
      </c>
    </row>
    <row r="96" spans="1:6" ht="13.5">
      <c r="A96" s="2858">
        <v>22</v>
      </c>
      <c r="B96" s="3483"/>
      <c r="C96" s="2832" t="s">
        <v>2695</v>
      </c>
      <c r="D96" s="2832" t="s">
        <v>2696</v>
      </c>
      <c r="E96" s="2858">
        <v>0.15</v>
      </c>
      <c r="F96" s="2858">
        <v>20</v>
      </c>
    </row>
    <row r="97" spans="1:6" ht="36">
      <c r="A97" s="2858">
        <v>23</v>
      </c>
      <c r="B97" s="3483"/>
      <c r="C97" s="2832" t="s">
        <v>2697</v>
      </c>
      <c r="D97" s="2832" t="s">
        <v>2698</v>
      </c>
      <c r="E97" s="2858">
        <v>0.15</v>
      </c>
      <c r="F97" s="2858">
        <v>20</v>
      </c>
    </row>
    <row r="98" spans="1:6" ht="13.5">
      <c r="A98" s="2858">
        <v>24</v>
      </c>
      <c r="B98" s="3483"/>
      <c r="C98" s="2832" t="s">
        <v>2699</v>
      </c>
      <c r="D98" s="2832" t="s">
        <v>2700</v>
      </c>
      <c r="E98" s="2858">
        <v>0.1</v>
      </c>
      <c r="F98" s="2858">
        <v>15</v>
      </c>
    </row>
    <row r="99" spans="1:6" ht="13.5">
      <c r="A99" s="2858">
        <v>25</v>
      </c>
      <c r="B99" s="3483"/>
      <c r="C99" s="2832" t="s">
        <v>2701</v>
      </c>
      <c r="D99" s="2832" t="s">
        <v>2702</v>
      </c>
      <c r="E99" s="2858">
        <v>0.1</v>
      </c>
      <c r="F99" s="2858">
        <v>15</v>
      </c>
    </row>
    <row r="100" spans="1:6" ht="24">
      <c r="A100" s="2858">
        <v>26</v>
      </c>
      <c r="B100" s="3483"/>
      <c r="C100" s="2832" t="s">
        <v>2703</v>
      </c>
      <c r="D100" s="2832" t="s">
        <v>2704</v>
      </c>
      <c r="E100" s="2858">
        <v>0.1</v>
      </c>
      <c r="F100" s="2858">
        <v>15</v>
      </c>
    </row>
    <row r="101" spans="1:6" ht="24">
      <c r="A101" s="2858">
        <v>27</v>
      </c>
      <c r="B101" s="3483"/>
      <c r="C101" s="2832" t="s">
        <v>2705</v>
      </c>
      <c r="D101" s="2832" t="s">
        <v>2706</v>
      </c>
      <c r="E101" s="2858">
        <v>0.1</v>
      </c>
      <c r="F101" s="2858">
        <v>15</v>
      </c>
    </row>
    <row r="102" spans="1:6" ht="13.5">
      <c r="A102" s="2858">
        <v>28</v>
      </c>
      <c r="B102" s="3483"/>
      <c r="C102" s="2832" t="s">
        <v>2707</v>
      </c>
      <c r="D102" s="2832" t="s">
        <v>2708</v>
      </c>
      <c r="E102" s="2858">
        <v>0.1</v>
      </c>
      <c r="F102" s="2858">
        <v>15</v>
      </c>
    </row>
    <row r="103" spans="1:6" ht="13.5">
      <c r="A103" s="2858">
        <v>29</v>
      </c>
      <c r="B103" s="3483"/>
      <c r="C103" s="2832" t="s">
        <v>2709</v>
      </c>
      <c r="D103" s="2832" t="s">
        <v>2710</v>
      </c>
      <c r="E103" s="2858">
        <v>0.1</v>
      </c>
      <c r="F103" s="2858">
        <v>15</v>
      </c>
    </row>
    <row r="104" spans="1:6" ht="13.5">
      <c r="A104" s="2858">
        <v>30</v>
      </c>
      <c r="B104" s="3483"/>
      <c r="C104" s="2832" t="s">
        <v>2711</v>
      </c>
      <c r="D104" s="2832" t="s">
        <v>2712</v>
      </c>
      <c r="E104" s="2858">
        <v>0.1</v>
      </c>
      <c r="F104" s="2858">
        <v>15</v>
      </c>
    </row>
    <row r="105" spans="1:6" ht="24">
      <c r="A105" s="2858">
        <v>31</v>
      </c>
      <c r="B105" s="3483"/>
      <c r="C105" s="2832" t="s">
        <v>2713</v>
      </c>
      <c r="D105" s="2832" t="s">
        <v>2714</v>
      </c>
      <c r="E105" s="2858">
        <v>0.1</v>
      </c>
      <c r="F105" s="2858">
        <v>15</v>
      </c>
    </row>
    <row r="106" spans="1:6" ht="24">
      <c r="A106" s="2858">
        <v>32</v>
      </c>
      <c r="B106" s="3483"/>
      <c r="C106" s="2832" t="s">
        <v>2715</v>
      </c>
      <c r="D106" s="2832" t="s">
        <v>2716</v>
      </c>
      <c r="E106" s="2858">
        <v>0.1</v>
      </c>
      <c r="F106" s="2858">
        <v>15</v>
      </c>
    </row>
    <row r="107" spans="1:6" ht="24">
      <c r="A107" s="2858">
        <v>33</v>
      </c>
      <c r="B107" s="3483"/>
      <c r="C107" s="2832" t="s">
        <v>2717</v>
      </c>
      <c r="D107" s="2832" t="s">
        <v>2718</v>
      </c>
      <c r="E107" s="2858">
        <v>0.1</v>
      </c>
      <c r="F107" s="2858">
        <v>15</v>
      </c>
    </row>
    <row r="108" spans="1:6" ht="24">
      <c r="A108" s="2858">
        <v>34</v>
      </c>
      <c r="B108" s="3482"/>
      <c r="C108" s="2832" t="s">
        <v>2719</v>
      </c>
      <c r="D108" s="2832" t="s">
        <v>2720</v>
      </c>
      <c r="E108" s="2858">
        <v>0.1</v>
      </c>
      <c r="F108" s="2858">
        <v>15</v>
      </c>
    </row>
    <row r="109" spans="1:6" ht="24">
      <c r="A109" s="2858">
        <v>35</v>
      </c>
      <c r="B109" s="3481" t="s">
        <v>2721</v>
      </c>
      <c r="C109" s="2858" t="s">
        <v>2722</v>
      </c>
      <c r="D109" s="2832" t="s">
        <v>2723</v>
      </c>
      <c r="E109" s="2858">
        <v>0.15</v>
      </c>
      <c r="F109" s="2858">
        <v>20</v>
      </c>
    </row>
    <row r="110" spans="1:6" ht="13.5">
      <c r="A110" s="2858">
        <v>36</v>
      </c>
      <c r="B110" s="3483"/>
      <c r="C110" s="2858" t="s">
        <v>2724</v>
      </c>
      <c r="D110" s="2832" t="s">
        <v>2725</v>
      </c>
      <c r="E110" s="2858">
        <v>0.15</v>
      </c>
      <c r="F110" s="2858">
        <v>20</v>
      </c>
    </row>
    <row r="111" spans="1:6" ht="13.5">
      <c r="A111" s="2858">
        <v>37</v>
      </c>
      <c r="B111" s="3483"/>
      <c r="C111" s="2858" t="s">
        <v>2726</v>
      </c>
      <c r="D111" s="2832" t="s">
        <v>2727</v>
      </c>
      <c r="E111" s="2858">
        <v>0.15</v>
      </c>
      <c r="F111" s="2858">
        <v>20</v>
      </c>
    </row>
    <row r="112" spans="1:6" ht="13.5">
      <c r="A112" s="2858">
        <v>38</v>
      </c>
      <c r="B112" s="3483"/>
      <c r="C112" s="2858" t="s">
        <v>2728</v>
      </c>
      <c r="D112" s="2832" t="s">
        <v>2729</v>
      </c>
      <c r="E112" s="2858">
        <v>0.1</v>
      </c>
      <c r="F112" s="2858">
        <v>15</v>
      </c>
    </row>
    <row r="113" spans="1:6" ht="24">
      <c r="A113" s="2858">
        <v>39</v>
      </c>
      <c r="B113" s="3483"/>
      <c r="C113" s="2858" t="s">
        <v>2730</v>
      </c>
      <c r="D113" s="2832" t="s">
        <v>2731</v>
      </c>
      <c r="E113" s="2858">
        <v>0.1</v>
      </c>
      <c r="F113" s="2858">
        <v>15</v>
      </c>
    </row>
    <row r="114" spans="1:6" ht="24">
      <c r="A114" s="2858">
        <v>40</v>
      </c>
      <c r="B114" s="3482"/>
      <c r="C114" s="2858" t="s">
        <v>2732</v>
      </c>
      <c r="D114" s="2832" t="s">
        <v>2733</v>
      </c>
      <c r="E114" s="2858">
        <v>0.1</v>
      </c>
      <c r="F114" s="2858">
        <v>15</v>
      </c>
    </row>
    <row r="115" spans="1:6" ht="13.5">
      <c r="A115" s="2858">
        <v>41</v>
      </c>
      <c r="B115" s="3480" t="s">
        <v>2734</v>
      </c>
      <c r="C115" s="2858" t="s">
        <v>2735</v>
      </c>
      <c r="D115" s="2832" t="s">
        <v>2736</v>
      </c>
      <c r="E115" s="2858">
        <v>0.1</v>
      </c>
      <c r="F115" s="2858">
        <v>15</v>
      </c>
    </row>
    <row r="116" spans="1:6" ht="13.5">
      <c r="A116" s="2858">
        <v>42</v>
      </c>
      <c r="B116" s="3480"/>
      <c r="C116" s="2858" t="s">
        <v>2737</v>
      </c>
      <c r="D116" s="2832" t="s">
        <v>2738</v>
      </c>
      <c r="E116" s="2858">
        <v>0.1</v>
      </c>
      <c r="F116" s="2858">
        <v>15</v>
      </c>
    </row>
    <row r="117" spans="1:6" ht="24">
      <c r="A117" s="2858">
        <v>43</v>
      </c>
      <c r="B117" s="3480"/>
      <c r="C117" s="2858" t="s">
        <v>2739</v>
      </c>
      <c r="D117" s="2832" t="s">
        <v>2740</v>
      </c>
      <c r="E117" s="2858">
        <v>0.1</v>
      </c>
      <c r="F117" s="2858">
        <v>15</v>
      </c>
    </row>
    <row r="118" spans="1:6" ht="13.5">
      <c r="A118" s="2858">
        <v>44</v>
      </c>
      <c r="B118" s="3481" t="s">
        <v>2741</v>
      </c>
      <c r="C118" s="2858" t="s">
        <v>2742</v>
      </c>
      <c r="D118" s="2832" t="s">
        <v>2743</v>
      </c>
      <c r="E118" s="2858">
        <v>0.1</v>
      </c>
      <c r="F118" s="2858">
        <v>15</v>
      </c>
    </row>
    <row r="119" spans="1:6" ht="24">
      <c r="A119" s="2858">
        <v>45</v>
      </c>
      <c r="B119" s="3482"/>
      <c r="C119" s="2832" t="s">
        <v>2744</v>
      </c>
      <c r="D119" s="2832" t="s">
        <v>2745</v>
      </c>
      <c r="E119" s="2858">
        <v>0.1</v>
      </c>
      <c r="F119" s="2858">
        <v>15</v>
      </c>
    </row>
    <row r="120" spans="1:6" ht="24">
      <c r="A120" s="2858">
        <v>46</v>
      </c>
      <c r="B120" s="3481" t="s">
        <v>2746</v>
      </c>
      <c r="C120" s="2858" t="s">
        <v>2747</v>
      </c>
      <c r="D120" s="2832" t="s">
        <v>2748</v>
      </c>
      <c r="E120" s="2858">
        <v>0.1</v>
      </c>
      <c r="F120" s="2858">
        <v>15</v>
      </c>
    </row>
    <row r="121" spans="1:6" ht="24">
      <c r="A121" s="2858">
        <v>47</v>
      </c>
      <c r="B121" s="3482"/>
      <c r="C121" s="2858" t="s">
        <v>2749</v>
      </c>
      <c r="D121" s="2832" t="s">
        <v>2750</v>
      </c>
      <c r="E121" s="2858">
        <v>0.1</v>
      </c>
      <c r="F121" s="2858">
        <v>15</v>
      </c>
    </row>
    <row r="122" spans="1:6" ht="13.5">
      <c r="A122" s="2858">
        <v>48</v>
      </c>
      <c r="B122" s="3481" t="s">
        <v>2751</v>
      </c>
      <c r="C122" s="2858" t="s">
        <v>2752</v>
      </c>
      <c r="D122" s="2832" t="s">
        <v>2753</v>
      </c>
      <c r="E122" s="2858">
        <v>0.1</v>
      </c>
      <c r="F122" s="2858">
        <v>15</v>
      </c>
    </row>
    <row r="123" spans="1:6" ht="13.5">
      <c r="A123" s="2858">
        <v>49</v>
      </c>
      <c r="B123" s="3482"/>
      <c r="C123" s="2858" t="s">
        <v>2754</v>
      </c>
      <c r="D123" s="2832" t="s">
        <v>2755</v>
      </c>
      <c r="E123" s="2858">
        <v>0.1</v>
      </c>
      <c r="F123" s="2858">
        <v>15</v>
      </c>
    </row>
    <row r="124" spans="1:6" ht="24">
      <c r="A124" s="2858">
        <v>50</v>
      </c>
      <c r="B124" s="3480" t="s">
        <v>2756</v>
      </c>
      <c r="C124" s="2858" t="s">
        <v>2757</v>
      </c>
      <c r="D124" s="2832" t="s">
        <v>2758</v>
      </c>
      <c r="E124" s="2858">
        <v>0.1</v>
      </c>
      <c r="F124" s="2858">
        <v>15</v>
      </c>
    </row>
    <row r="125" spans="1:6" ht="24">
      <c r="A125" s="2858">
        <v>51</v>
      </c>
      <c r="B125" s="3480"/>
      <c r="C125" s="2858" t="s">
        <v>2759</v>
      </c>
      <c r="D125" s="2832" t="s">
        <v>2760</v>
      </c>
      <c r="E125" s="2858">
        <v>0.1</v>
      </c>
      <c r="F125" s="2858">
        <v>15</v>
      </c>
    </row>
    <row r="126" spans="1:6" ht="24">
      <c r="A126" s="2858">
        <v>52</v>
      </c>
      <c r="B126" s="3480" t="s">
        <v>2761</v>
      </c>
      <c r="C126" s="2858" t="s">
        <v>2762</v>
      </c>
      <c r="D126" s="2832" t="s">
        <v>2763</v>
      </c>
      <c r="E126" s="2858">
        <v>0.1</v>
      </c>
      <c r="F126" s="2858">
        <v>15</v>
      </c>
    </row>
    <row r="127" spans="1:6" ht="24">
      <c r="A127" s="2858">
        <v>53</v>
      </c>
      <c r="B127" s="3480"/>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0" t="s">
        <v>2769</v>
      </c>
      <c r="C129" s="2858" t="s">
        <v>2770</v>
      </c>
      <c r="D129" s="2832" t="s">
        <v>2771</v>
      </c>
      <c r="E129" s="2858">
        <v>0.1</v>
      </c>
      <c r="F129" s="2858">
        <v>15</v>
      </c>
    </row>
    <row r="130" spans="1:6" ht="13.5">
      <c r="A130" s="2858">
        <v>56</v>
      </c>
      <c r="B130" s="3480"/>
      <c r="C130" s="2858" t="s">
        <v>2772</v>
      </c>
      <c r="D130" s="2832" t="s">
        <v>2773</v>
      </c>
      <c r="E130" s="2858">
        <v>0.1</v>
      </c>
      <c r="F130" s="2858">
        <v>15</v>
      </c>
    </row>
    <row r="131" spans="1:6" ht="24">
      <c r="A131" s="2858">
        <v>57</v>
      </c>
      <c r="B131" s="3480"/>
      <c r="C131" s="2858" t="s">
        <v>2774</v>
      </c>
      <c r="D131" s="2832" t="s">
        <v>2775</v>
      </c>
      <c r="E131" s="2858">
        <v>0.1</v>
      </c>
      <c r="F131" s="2858">
        <v>15</v>
      </c>
    </row>
    <row r="132" spans="1:6" ht="24">
      <c r="A132" s="2858">
        <v>58</v>
      </c>
      <c r="B132" s="3480" t="s">
        <v>2776</v>
      </c>
      <c r="C132" s="2858" t="s">
        <v>2777</v>
      </c>
      <c r="D132" s="2832" t="s">
        <v>2778</v>
      </c>
      <c r="E132" s="2858">
        <v>0.1</v>
      </c>
      <c r="F132" s="2858">
        <v>15</v>
      </c>
    </row>
    <row r="133" spans="1:6" ht="13.5">
      <c r="A133" s="2858">
        <v>59</v>
      </c>
      <c r="B133" s="3480"/>
      <c r="C133" s="2858" t="s">
        <v>2779</v>
      </c>
      <c r="D133" s="2832" t="s">
        <v>2780</v>
      </c>
      <c r="E133" s="2858">
        <v>0.1</v>
      </c>
      <c r="F133" s="2858">
        <v>15</v>
      </c>
    </row>
    <row r="134" spans="1:6" ht="13.5">
      <c r="A134" s="2858">
        <v>60</v>
      </c>
      <c r="B134" s="3481" t="s">
        <v>2781</v>
      </c>
      <c r="C134" s="2858" t="s">
        <v>2782</v>
      </c>
      <c r="D134" s="2832" t="s">
        <v>2783</v>
      </c>
      <c r="E134" s="2858">
        <v>0.1</v>
      </c>
      <c r="F134" s="2858">
        <v>15</v>
      </c>
    </row>
    <row r="135" spans="1:6" ht="13.5">
      <c r="A135" s="2858">
        <v>61</v>
      </c>
      <c r="B135" s="3482"/>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0" t="s">
        <v>2789</v>
      </c>
      <c r="C137" s="2858" t="s">
        <v>2790</v>
      </c>
      <c r="D137" s="2832" t="s">
        <v>2791</v>
      </c>
      <c r="E137" s="2858">
        <v>0.1</v>
      </c>
      <c r="F137" s="2858">
        <v>15</v>
      </c>
    </row>
    <row r="138" spans="1:6" ht="13.5">
      <c r="A138" s="2858">
        <v>64</v>
      </c>
      <c r="B138" s="3480"/>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0</v>
      </c>
      <c r="D44" s="230"/>
      <c r="E44" s="230"/>
      <c r="F44" s="231"/>
      <c r="G44" s="335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t="e">
        <f ca="1">结果表!H101</f>
        <v>#REF!</v>
      </c>
    </row>
    <row r="6" spans="1:5" ht="15.75">
      <c r="B6" s="3177"/>
      <c r="C6" s="1392" t="s">
        <v>911</v>
      </c>
      <c r="D6" s="797" t="e">
        <f ca="1">NUMBERSTRING(INT(D5*10000),2)&amp;"元整"</f>
        <v>#REF!</v>
      </c>
    </row>
    <row r="7" spans="1:5" ht="15.75">
      <c r="B7" s="3182"/>
      <c r="C7" s="1393" t="s">
        <v>912</v>
      </c>
      <c r="D7" s="798" t="e">
        <f ca="1">结果表!H102</f>
        <v>#REF!</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t="e">
        <f ca="1">结果表!H107</f>
        <v>#REF!</v>
      </c>
    </row>
    <row r="14" spans="1:5" ht="15.75">
      <c r="B14" s="3177"/>
      <c r="C14" s="1392" t="s">
        <v>911</v>
      </c>
      <c r="D14" s="797" t="e">
        <f ca="1">NUMBERSTRING(INT(D13*10000),2)&amp;"元整"</f>
        <v>#REF!</v>
      </c>
    </row>
    <row r="15" spans="1:5" ht="15">
      <c r="B15" s="3182"/>
      <c r="C15" s="1393" t="s">
        <v>921</v>
      </c>
      <c r="D15" s="806" t="e">
        <f ca="1">结果表!H108</f>
        <v>#REF!</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3181</v>
      </c>
      <c r="B1" s="349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5" t="s">
        <v>3232</v>
      </c>
      <c r="B1" s="3495"/>
      <c r="C1" s="3495"/>
      <c r="D1" s="3495"/>
      <c r="E1" s="3495"/>
      <c r="F1" s="349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7" t="s">
        <v>2827</v>
      </c>
      <c r="S29" s="3498"/>
      <c r="T29" s="3498"/>
      <c r="U29" s="3498"/>
      <c r="V29" s="3498"/>
      <c r="W29" s="3498"/>
      <c r="X29" s="2897"/>
      <c r="Y29" s="3497" t="s">
        <v>2828</v>
      </c>
      <c r="Z29" s="3498"/>
      <c r="AA29" s="3498"/>
      <c r="AB29" s="3498"/>
      <c r="AC29" s="3498"/>
      <c r="AD29" s="349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0" t="s">
        <v>2839</v>
      </c>
      <c r="B1" s="3510"/>
      <c r="C1" s="3510"/>
      <c r="D1" s="3510"/>
      <c r="E1" s="3510"/>
      <c r="F1" s="3510"/>
      <c r="G1" s="351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79BF-4442-4695-8C5E-BEB438A990BD}">
  <dimension ref="G3:T22"/>
  <sheetViews>
    <sheetView tabSelected="1" topLeftCell="C1" workbookViewId="0">
      <selection activeCell="H15" sqref="H15"/>
    </sheetView>
  </sheetViews>
  <sheetFormatPr defaultRowHeight="13.5"/>
  <cols>
    <col min="8" max="8" width="37.75" style="3171" customWidth="1"/>
    <col min="9" max="9" width="15.125" style="3171" bestFit="1" customWidth="1"/>
    <col min="10" max="10" width="21" bestFit="1" customWidth="1"/>
    <col min="12" max="12" width="11.625" bestFit="1" customWidth="1"/>
    <col min="13" max="13" width="11.625" customWidth="1"/>
    <col min="14" max="14" width="11.625" bestFit="1" customWidth="1"/>
    <col min="15" max="15" width="11.625" customWidth="1"/>
    <col min="16" max="18" width="11.625" bestFit="1" customWidth="1"/>
  </cols>
  <sheetData>
    <row r="3" spans="7:20">
      <c r="P3" s="3174">
        <v>46101</v>
      </c>
      <c r="Q3" s="3173"/>
    </row>
    <row r="4" spans="7:20">
      <c r="H4" s="3170" t="s">
        <v>3420</v>
      </c>
      <c r="I4" s="3170" t="s">
        <v>3425</v>
      </c>
      <c r="J4" s="1405" t="s">
        <v>3426</v>
      </c>
      <c r="K4" s="1405" t="s">
        <v>3424</v>
      </c>
      <c r="L4" s="1405" t="s">
        <v>3422</v>
      </c>
      <c r="M4" s="1405"/>
      <c r="N4" s="1405" t="s">
        <v>3423</v>
      </c>
      <c r="O4" s="1405"/>
      <c r="P4" s="1405" t="s">
        <v>3435</v>
      </c>
      <c r="Q4" s="1405" t="s">
        <v>3436</v>
      </c>
      <c r="R4" s="1405" t="s">
        <v>3445</v>
      </c>
      <c r="S4" s="1405" t="s">
        <v>3446</v>
      </c>
    </row>
    <row r="5" spans="7:20" ht="27">
      <c r="G5" s="1405" t="s">
        <v>3417</v>
      </c>
      <c r="H5" s="3170" t="s">
        <v>3418</v>
      </c>
      <c r="I5" s="3170" t="s">
        <v>3421</v>
      </c>
      <c r="J5" s="1405" t="s">
        <v>3419</v>
      </c>
      <c r="K5">
        <v>29500</v>
      </c>
      <c r="L5" s="3172">
        <v>45259</v>
      </c>
      <c r="M5" s="3172">
        <v>45990</v>
      </c>
      <c r="N5" s="3172">
        <v>45648</v>
      </c>
      <c r="O5" s="3172">
        <v>46013</v>
      </c>
      <c r="P5" s="3512">
        <f>ROUND(YEARFRAC(O5,$P$3,3)+1,4)</f>
        <v>1.2411000000000001</v>
      </c>
      <c r="Q5">
        <f>ROUND(YEARFRAC(M5,$P$3,3)+2,4)</f>
        <v>2.3041</v>
      </c>
      <c r="R5" s="3173">
        <v>1.0500000000000001E-2</v>
      </c>
      <c r="S5">
        <f>ROUND(K5*(1-2%*P5+$R$5*Q5),0)</f>
        <v>29481</v>
      </c>
      <c r="T5">
        <f>S5-K5</f>
        <v>-19</v>
      </c>
    </row>
    <row r="6" spans="7:20" ht="27">
      <c r="H6" s="3170" t="s">
        <v>3427</v>
      </c>
      <c r="I6" s="3170" t="s">
        <v>3428</v>
      </c>
      <c r="J6" s="1405" t="s">
        <v>3429</v>
      </c>
      <c r="K6">
        <v>29500</v>
      </c>
      <c r="L6" s="3172">
        <v>45259</v>
      </c>
      <c r="M6" s="3172">
        <v>45990</v>
      </c>
      <c r="N6" s="3172">
        <v>45646</v>
      </c>
      <c r="O6" s="3172">
        <v>46011</v>
      </c>
      <c r="P6" s="3512">
        <f>ROUND(YEARFRAC(O6,$P$3,3)+1,4)</f>
        <v>1.2465999999999999</v>
      </c>
      <c r="Q6">
        <f>ROUND(YEARFRAC(M6,$P$3,3)+2,4)</f>
        <v>2.3041</v>
      </c>
      <c r="R6" s="3173">
        <v>1.0500000000000001E-2</v>
      </c>
      <c r="S6">
        <f>ROUND(K6*(1-2%*P6+$R$5*Q6),0)</f>
        <v>29478</v>
      </c>
      <c r="T6">
        <f>S6-K6</f>
        <v>-22</v>
      </c>
    </row>
    <row r="8" spans="7:20" ht="27">
      <c r="G8" s="1405" t="s">
        <v>3430</v>
      </c>
      <c r="H8" s="3170" t="s">
        <v>3431</v>
      </c>
      <c r="I8" s="3170" t="s">
        <v>3432</v>
      </c>
      <c r="J8" s="1405" t="s">
        <v>3433</v>
      </c>
      <c r="K8">
        <v>30000</v>
      </c>
      <c r="L8" s="3172">
        <v>44192</v>
      </c>
      <c r="M8" s="3172">
        <v>46018</v>
      </c>
      <c r="N8" s="3172">
        <v>44862</v>
      </c>
      <c r="O8" s="3172">
        <v>45958</v>
      </c>
      <c r="P8" s="3512">
        <f>ROUND(YEARFRAC(O8,$P$3,3)+3,4)</f>
        <v>3.3917999999999999</v>
      </c>
      <c r="Q8">
        <f>ROUND(YEARFRAC(M8,$P$3,3)+5,4)</f>
        <v>5.2274000000000003</v>
      </c>
      <c r="R8" s="3173">
        <v>1.2999999999999999E-2</v>
      </c>
      <c r="S8">
        <f>ROUND(K8*(1-2%*P8+$R$5*Q8),0)</f>
        <v>29612</v>
      </c>
      <c r="T8">
        <f>S8-K8</f>
        <v>-388</v>
      </c>
    </row>
    <row r="14" spans="7:20">
      <c r="P14" s="3172">
        <v>45958</v>
      </c>
    </row>
    <row r="15" spans="7:20">
      <c r="P15">
        <f>P3-P14</f>
        <v>143</v>
      </c>
      <c r="Q15" s="3172"/>
    </row>
    <row r="16" spans="7:20">
      <c r="I16" s="1405" t="s">
        <v>3434</v>
      </c>
      <c r="P16">
        <f>P15/365</f>
        <v>0.39178082191780822</v>
      </c>
      <c r="Q16" s="3172"/>
      <c r="R16">
        <f>ROUND(YEARFRAC(P14,$P$3,3),4)</f>
        <v>0.39179999999999998</v>
      </c>
    </row>
    <row r="17" spans="9:18">
      <c r="Q17" s="3172"/>
    </row>
    <row r="18" spans="9:18">
      <c r="J18" s="1405" t="s">
        <v>3441</v>
      </c>
      <c r="K18" s="1405" t="s">
        <v>3442</v>
      </c>
      <c r="L18" s="1405" t="s">
        <v>3443</v>
      </c>
      <c r="M18" s="1405"/>
      <c r="N18" s="1405" t="s">
        <v>3444</v>
      </c>
      <c r="O18" s="1405"/>
      <c r="R18" s="3172"/>
    </row>
    <row r="19" spans="9:18">
      <c r="I19" s="3170" t="s">
        <v>3437</v>
      </c>
      <c r="J19">
        <v>0.95</v>
      </c>
      <c r="K19">
        <v>0.95</v>
      </c>
      <c r="L19">
        <v>0.95</v>
      </c>
      <c r="N19">
        <v>0.95</v>
      </c>
      <c r="R19" s="3172"/>
    </row>
    <row r="20" spans="9:18">
      <c r="I20" s="3170" t="s">
        <v>3438</v>
      </c>
      <c r="J20">
        <v>1.05</v>
      </c>
      <c r="K20">
        <v>1.05</v>
      </c>
      <c r="L20">
        <v>1.05</v>
      </c>
      <c r="N20">
        <v>1.05</v>
      </c>
      <c r="Q20" s="3513"/>
    </row>
    <row r="21" spans="9:18">
      <c r="I21" s="3170" t="s">
        <v>3439</v>
      </c>
      <c r="J21">
        <v>1.25</v>
      </c>
      <c r="K21">
        <v>1.25</v>
      </c>
      <c r="L21">
        <v>1.25</v>
      </c>
      <c r="N21">
        <v>1.25</v>
      </c>
    </row>
    <row r="22" spans="9:18">
      <c r="I22" s="3170" t="s">
        <v>3440</v>
      </c>
      <c r="J22">
        <v>1.3</v>
      </c>
      <c r="K22">
        <v>1.3</v>
      </c>
      <c r="L22">
        <v>1.3</v>
      </c>
      <c r="N22">
        <v>1.3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t="e">
        <f ca="1">结果表!D122</f>
        <v>#REF!</v>
      </c>
      <c r="E8" s="3188"/>
      <c r="F8" s="3188"/>
      <c r="G8" s="3188"/>
      <c r="H8" s="3188"/>
      <c r="I8" s="3188"/>
    </row>
    <row r="9" spans="1:9" ht="15">
      <c r="A9" s="3189" t="s">
        <v>927</v>
      </c>
      <c r="B9" s="3189"/>
      <c r="C9" s="3189"/>
      <c r="D9" s="3189" t="e">
        <f ca="1">结果表!D123</f>
        <v>#REF!</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5" t="str">
        <f>IF(项目基本情况!B8="抵押","3.抵押双方在办理抵押登记手续时，应使用本公司出具的正式《房地产评估报告》，特提醒报告使用者注意。","——")</f>
        <v>——</v>
      </c>
      <c r="B13" s="3200"/>
      <c r="C13" s="3200"/>
      <c r="D13" s="3200"/>
    </row>
    <row r="14" spans="1:4" ht="15.75" customHeight="1">
      <c r="A14" s="3195" t="str">
        <f>IF(项目基本情况!B8="抵押","4.本次评估估价师所知悉的法定优先受偿款情况说明如下：","——")</f>
        <v>——</v>
      </c>
      <c r="B14" s="3200"/>
      <c r="C14" s="3200"/>
      <c r="D14" s="3200"/>
    </row>
    <row r="15" spans="1:4" ht="42" customHeight="1">
      <c r="A15" s="3195" t="str">
        <f>IF(项目基本情况!B8="抵押","（1）"&amp;CONCATENATE(项目基本情况!L20,项目基本情况!L21,项目基本情况!L22),"——")</f>
        <v>——</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2026-03-20T05:36:33Z</dcterms:modified>
</cp:coreProperties>
</file>